
<file path=[Content_Types].xml><?xml version="1.0" encoding="utf-8"?>
<Types xmlns="http://schemas.openxmlformats.org/package/2006/content-type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omments1.xml" ContentType="application/vnd.openxmlformats-officedocument.spreadsheetml.comments+xml"/>
  <Override PartName="/xl/comments2.xml" ContentType="application/vnd.openxmlformats-officedocument.spreadsheetml.comments+xml"/>
  <Override PartName="/xl/tables/table1.xml" ContentType="application/vnd.openxmlformats-officedocument.spreadsheetml.table+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11011"/>
  <workbookPr date1904="1"/>
  <mc:AlternateContent xmlns:mc="http://schemas.openxmlformats.org/markup-compatibility/2006">
    <mc:Choice Requires="x15">
      <x15ac:absPath xmlns:x15ac="http://schemas.microsoft.com/office/spreadsheetml/2010/11/ac" url="/Users/Shared/Previously Relocated Items/Security/All My Stuff/Home Page 2002/pc/"/>
    </mc:Choice>
  </mc:AlternateContent>
  <xr:revisionPtr revIDLastSave="0" documentId="13_ncr:1_{483EAC8A-144B-2749-9BEA-AA9B3BE9CEAC}" xr6:coauthVersionLast="47" xr6:coauthVersionMax="47" xr10:uidLastSave="{00000000-0000-0000-0000-000000000000}"/>
  <bookViews>
    <workbookView xWindow="0" yWindow="760" windowWidth="30240" windowHeight="18880" activeTab="1" xr2:uid="{00000000-000D-0000-FFFF-FFFF00000000}"/>
  </bookViews>
  <sheets>
    <sheet name="Read me first" sheetId="4" r:id="rId1"/>
    <sheet name="Inputs" sheetId="3" r:id="rId2"/>
    <sheet name="Analysis of past dividends" sheetId="2" r:id="rId3"/>
    <sheet name="Forecasted Dividends &amp; FCFE" sheetId="1" r:id="rId4"/>
    <sheet name="Historical Stock and T.Bills" sheetId="5" r:id="rId5"/>
    <sheet name="Sheet1" sheetId="8" r:id="rId6"/>
  </sheets>
  <calcPr calcId="191029" iterate="1"/>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E50" i="3" l="1"/>
  <c r="E49" i="3"/>
  <c r="E48" i="3"/>
  <c r="E47" i="3"/>
  <c r="E46" i="3"/>
  <c r="E45" i="3"/>
  <c r="E44" i="3"/>
  <c r="E43" i="3"/>
  <c r="E42" i="3"/>
  <c r="C22" i="2"/>
  <c r="C23" i="2" s="1"/>
  <c r="D50" i="3"/>
  <c r="D49" i="3"/>
  <c r="D48" i="3"/>
  <c r="D47" i="3"/>
  <c r="D46" i="3"/>
  <c r="D45" i="3"/>
  <c r="D44" i="3"/>
  <c r="E22" i="2" s="1"/>
  <c r="D43" i="3"/>
  <c r="D22" i="2" s="1"/>
  <c r="D23" i="2" s="1"/>
  <c r="D42" i="3"/>
  <c r="E41" i="3"/>
  <c r="D41" i="3"/>
  <c r="B22" i="2" s="1"/>
  <c r="A31" i="3"/>
  <c r="K2" i="2"/>
  <c r="A30" i="3"/>
  <c r="J2" i="2"/>
  <c r="J4" i="2"/>
  <c r="A29" i="3"/>
  <c r="I2" i="2"/>
  <c r="A28" i="3"/>
  <c r="H2" i="2"/>
  <c r="C46" i="3"/>
  <c r="E64" i="3"/>
  <c r="B10" i="1"/>
  <c r="E63" i="3"/>
  <c r="E62" i="3"/>
  <c r="E61" i="3"/>
  <c r="A26" i="3"/>
  <c r="F2" i="2"/>
  <c r="F3" i="2"/>
  <c r="F16" i="2"/>
  <c r="A25" i="3"/>
  <c r="E2" i="2"/>
  <c r="A24" i="3"/>
  <c r="D2" i="2"/>
  <c r="A23" i="3"/>
  <c r="C2" i="2"/>
  <c r="A22" i="3"/>
  <c r="B2" i="2"/>
  <c r="A27" i="3"/>
  <c r="G2" i="2"/>
  <c r="F18" i="3"/>
  <c r="F17" i="3"/>
  <c r="F16" i="3"/>
  <c r="F15" i="3"/>
  <c r="F14" i="3"/>
  <c r="F13" i="3"/>
  <c r="F11" i="3"/>
  <c r="F10" i="3"/>
  <c r="F9" i="3"/>
  <c r="A41" i="3"/>
  <c r="A42" i="3"/>
  <c r="A43" i="3"/>
  <c r="A44" i="3"/>
  <c r="A45" i="3"/>
  <c r="A46" i="3"/>
  <c r="A47" i="3"/>
  <c r="A48" i="3"/>
  <c r="A49" i="3"/>
  <c r="A50" i="3"/>
  <c r="B2" i="1"/>
  <c r="E7" i="1"/>
  <c r="E9" i="1"/>
  <c r="E11" i="1"/>
  <c r="A9" i="3"/>
  <c r="A10" i="3"/>
  <c r="A11" i="3"/>
  <c r="A12" i="3"/>
  <c r="A13" i="3"/>
  <c r="A14" i="3"/>
  <c r="A15" i="3"/>
  <c r="A16" i="3"/>
  <c r="A17" i="3"/>
  <c r="A18" i="3"/>
  <c r="B6" i="1"/>
  <c r="C6" i="1"/>
  <c r="D6" i="1"/>
  <c r="E6" i="1"/>
  <c r="F6" i="1"/>
  <c r="B13" i="1"/>
  <c r="B14" i="1"/>
  <c r="B8" i="1"/>
  <c r="C13" i="1"/>
  <c r="C14" i="1"/>
  <c r="C8" i="1"/>
  <c r="D13" i="1"/>
  <c r="D14" i="1"/>
  <c r="D8" i="1"/>
  <c r="D9" i="1"/>
  <c r="D11" i="1"/>
  <c r="E13" i="1"/>
  <c r="E14" i="1"/>
  <c r="E8" i="1"/>
  <c r="F13" i="1"/>
  <c r="F14" i="1"/>
  <c r="F8" i="1"/>
  <c r="J3" i="2"/>
  <c r="J11" i="2"/>
  <c r="J8" i="2"/>
  <c r="J22" i="2"/>
  <c r="J26" i="2" s="1"/>
  <c r="J27" i="2"/>
  <c r="J25" i="2"/>
  <c r="J9" i="2"/>
  <c r="J12" i="2"/>
  <c r="J23" i="2"/>
  <c r="J28" i="2"/>
  <c r="J21" i="2"/>
  <c r="D3" i="2"/>
  <c r="D11" i="2"/>
  <c r="D12" i="2"/>
  <c r="D25" i="2"/>
  <c r="E12" i="2"/>
  <c r="E28" i="2"/>
  <c r="E25" i="2"/>
  <c r="E5" i="2"/>
  <c r="E11" i="2"/>
  <c r="E21" i="2"/>
  <c r="E3" i="2"/>
  <c r="E9" i="2"/>
  <c r="E4" i="2"/>
  <c r="E7" i="2"/>
  <c r="F10" i="1"/>
  <c r="E10" i="1"/>
  <c r="F7" i="1"/>
  <c r="F9" i="1"/>
  <c r="F11" i="1"/>
  <c r="F11" i="2"/>
  <c r="C10" i="1"/>
  <c r="D7" i="1"/>
  <c r="D10" i="1"/>
  <c r="C7" i="1"/>
  <c r="C9" i="1"/>
  <c r="C11" i="1"/>
  <c r="F7" i="2"/>
  <c r="F22" i="2"/>
  <c r="F26" i="2" s="1"/>
  <c r="F27" i="2" s="1"/>
  <c r="C3" i="2"/>
  <c r="C4" i="2"/>
  <c r="C21" i="2"/>
  <c r="C5" i="2"/>
  <c r="C9" i="2"/>
  <c r="C28" i="2"/>
  <c r="C25" i="2"/>
  <c r="J13" i="2"/>
  <c r="D13" i="2"/>
  <c r="D5" i="2"/>
  <c r="J7" i="2"/>
  <c r="J5" i="2"/>
  <c r="E13" i="2"/>
  <c r="D28" i="2"/>
  <c r="J17" i="2"/>
  <c r="J16" i="2"/>
  <c r="D16" i="2"/>
  <c r="D7" i="2"/>
  <c r="J6" i="2"/>
  <c r="H3" i="2"/>
  <c r="H22" i="2"/>
  <c r="H26" i="2" s="1"/>
  <c r="H21" i="2"/>
  <c r="H4" i="2"/>
  <c r="H27" i="2"/>
  <c r="H12" i="2"/>
  <c r="H25" i="2"/>
  <c r="H23" i="2"/>
  <c r="H7" i="2"/>
  <c r="H8" i="2"/>
  <c r="H5" i="2"/>
  <c r="H17" i="2"/>
  <c r="H11" i="2"/>
  <c r="H28" i="2"/>
  <c r="H6" i="2"/>
  <c r="H16" i="2"/>
  <c r="H9" i="2"/>
  <c r="H13" i="2"/>
  <c r="I8" i="2"/>
  <c r="I27" i="2"/>
  <c r="I6" i="2"/>
  <c r="I25" i="2"/>
  <c r="I22" i="2"/>
  <c r="I26" i="2" s="1"/>
  <c r="I3" i="2"/>
  <c r="I11" i="2"/>
  <c r="I17" i="2"/>
  <c r="I23" i="2"/>
  <c r="I5" i="2"/>
  <c r="I4" i="2"/>
  <c r="I28" i="2"/>
  <c r="I16" i="2"/>
  <c r="I9" i="2"/>
  <c r="I12" i="2"/>
  <c r="I7" i="2"/>
  <c r="I21" i="2"/>
  <c r="I13" i="2"/>
  <c r="G7" i="2"/>
  <c r="G4" i="2"/>
  <c r="G22" i="2"/>
  <c r="G26" i="2"/>
  <c r="G12" i="2"/>
  <c r="G3" i="2"/>
  <c r="G8" i="2"/>
  <c r="G17" i="2"/>
  <c r="G23" i="2"/>
  <c r="G6" i="2"/>
  <c r="G5" i="2"/>
  <c r="G28" i="2"/>
  <c r="G11" i="2"/>
  <c r="G21" i="2"/>
  <c r="G16" i="2"/>
  <c r="G27" i="2"/>
  <c r="G25" i="2"/>
  <c r="G9" i="2"/>
  <c r="G13" i="2"/>
  <c r="B28" i="2"/>
  <c r="B12" i="2"/>
  <c r="B4" i="2"/>
  <c r="B11" i="2"/>
  <c r="B21" i="2"/>
  <c r="B7" i="2"/>
  <c r="B3" i="2"/>
  <c r="B5" i="2"/>
  <c r="B25" i="2"/>
  <c r="K25" i="2"/>
  <c r="K22" i="2"/>
  <c r="K26" i="2"/>
  <c r="K13" i="2"/>
  <c r="K21" i="2"/>
  <c r="K7" i="2"/>
  <c r="K16" i="2"/>
  <c r="K8" i="2"/>
  <c r="K3" i="2"/>
  <c r="K4" i="2"/>
  <c r="K11" i="2"/>
  <c r="K5" i="2"/>
  <c r="K6" i="2"/>
  <c r="K12" i="2"/>
  <c r="K9" i="2"/>
  <c r="K23" i="2"/>
  <c r="K17" i="2"/>
  <c r="K27" i="2"/>
  <c r="K28" i="2"/>
  <c r="B7" i="1"/>
  <c r="B9" i="1"/>
  <c r="B11" i="1"/>
  <c r="F4" i="2"/>
  <c r="F8" i="2"/>
  <c r="E16" i="2"/>
  <c r="E6" i="2"/>
  <c r="D4" i="2"/>
  <c r="D6" i="2"/>
  <c r="C12" i="2"/>
  <c r="C11" i="2"/>
  <c r="F21" i="2"/>
  <c r="F12" i="2"/>
  <c r="F13" i="2"/>
  <c r="E8" i="2"/>
  <c r="D21" i="2"/>
  <c r="C7" i="2"/>
  <c r="C8" i="2"/>
  <c r="F28" i="2"/>
  <c r="C16" i="2"/>
  <c r="C6" i="2"/>
  <c r="F5" i="2"/>
  <c r="F6" i="2"/>
  <c r="F25" i="2"/>
  <c r="D8" i="2"/>
  <c r="D17" i="2"/>
  <c r="L3" i="2"/>
  <c r="D9" i="2"/>
  <c r="E17" i="2"/>
  <c r="L4" i="2"/>
  <c r="L12" i="2"/>
  <c r="B35" i="2"/>
  <c r="C35" i="2"/>
  <c r="B8" i="2"/>
  <c r="L8" i="2"/>
  <c r="B39" i="2"/>
  <c r="L7" i="2"/>
  <c r="B9" i="2"/>
  <c r="C32" i="2"/>
  <c r="B32" i="2"/>
  <c r="B6" i="2"/>
  <c r="L6" i="2"/>
  <c r="B38" i="2"/>
  <c r="F17" i="2"/>
  <c r="B46" i="2"/>
  <c r="B13" i="2"/>
  <c r="F9" i="2"/>
  <c r="B45" i="2"/>
  <c r="L5" i="2"/>
  <c r="C13" i="2"/>
  <c r="C17" i="2"/>
  <c r="B16" i="2"/>
  <c r="C34" i="2"/>
  <c r="L11" i="2"/>
  <c r="B33" i="2"/>
  <c r="L9" i="2"/>
  <c r="B40" i="2"/>
  <c r="C40" i="2"/>
  <c r="C38" i="2"/>
  <c r="L13" i="2"/>
  <c r="B17" i="2"/>
  <c r="B36" i="2"/>
  <c r="C33" i="2"/>
  <c r="C36" i="2"/>
  <c r="B34" i="2"/>
  <c r="C39" i="2"/>
  <c r="B43" i="2"/>
  <c r="B37" i="2"/>
  <c r="B42" i="2"/>
  <c r="B41" i="2"/>
  <c r="E23" i="2" l="1"/>
  <c r="E26" i="2"/>
  <c r="E27" i="2" s="1"/>
  <c r="B26" i="2"/>
  <c r="B23" i="2"/>
  <c r="F23" i="2"/>
  <c r="B27" i="2"/>
  <c r="D26" i="2"/>
  <c r="D27" i="2" s="1"/>
  <c r="C26" i="2"/>
  <c r="C27" i="2" s="1"/>
  <c r="B47" i="2" l="1"/>
  <c r="B49" i="2" l="1"/>
  <c r="B48" i="2"/>
</calcChain>
</file>

<file path=xl/comments1.xml><?xml version="1.0" encoding="utf-8"?>
<comments xmlns="http://schemas.openxmlformats.org/spreadsheetml/2006/main" xmlns:mc="http://schemas.openxmlformats.org/markup-compatibility/2006" xmlns:xr="http://schemas.microsoft.com/office/spreadsheetml/2014/revision" mc:Ignorable="xr">
  <authors>
    <author>A satisfied Microsoft Office user</author>
    <author>Aswath Damodaran</author>
  </authors>
  <commentList>
    <comment ref="E2" authorId="0" shapeId="0" xr:uid="{00000000-0006-0000-0100-000001000000}">
      <text>
        <r>
          <rPr>
            <sz val="9"/>
            <color indexed="8"/>
            <rFont val="Geneva"/>
            <family val="2"/>
            <charset val="1"/>
          </rPr>
          <t>Enter the number of years of data you have (upto 10 years)</t>
        </r>
      </text>
    </comment>
    <comment ref="A7" authorId="0" shapeId="0" xr:uid="{00000000-0006-0000-0100-000002000000}">
      <text>
        <r>
          <rPr>
            <sz val="9"/>
            <color indexed="8"/>
            <rFont val="Geneva"/>
            <family val="2"/>
            <charset val="1"/>
          </rPr>
          <t>(Do not delete any rows; if you have fewer years of data, leave the last few rows untouched. I will ignore them)</t>
        </r>
      </text>
    </comment>
    <comment ref="A8" authorId="0" shapeId="0" xr:uid="{00000000-0006-0000-0100-000003000000}">
      <text>
        <r>
          <rPr>
            <sz val="9"/>
            <color indexed="81"/>
            <rFont val="Geneva"/>
            <family val="2"/>
            <charset val="1"/>
          </rPr>
          <t>Start with the earliest year first.</t>
        </r>
      </text>
    </comment>
    <comment ref="B8" authorId="0" shapeId="0" xr:uid="{00000000-0006-0000-0100-000004000000}">
      <text>
        <r>
          <rPr>
            <sz val="9"/>
            <color indexed="8"/>
            <rFont val="Geneva"/>
            <family val="2"/>
            <charset val="1"/>
          </rPr>
          <t>Net income before extraordinary charges in each year.</t>
        </r>
      </text>
    </comment>
    <comment ref="C8" authorId="0" shapeId="0" xr:uid="{00000000-0006-0000-0100-000005000000}">
      <text>
        <r>
          <rPr>
            <sz val="9"/>
            <color indexed="8"/>
            <rFont val="Geneva"/>
            <family val="2"/>
            <charset val="1"/>
          </rPr>
          <t>Enter depreciation, amortization and other non-cash charges. (Check your statement of cash flows)</t>
        </r>
      </text>
    </comment>
    <comment ref="D8" authorId="0" shapeId="0" xr:uid="{00000000-0006-0000-0100-000006000000}">
      <text>
        <r>
          <rPr>
            <sz val="9"/>
            <color indexed="8"/>
            <rFont val="Geneva"/>
            <family val="2"/>
            <charset val="1"/>
          </rPr>
          <t>Capital expenditures from each year, including acquisitions of other firms. You can sometimes use the total under investing activities in the statement of cash flows, but check the activities to make sure that they relate to operations. (Enter as a positive number)</t>
        </r>
      </text>
    </comment>
    <comment ref="E8" authorId="0" shapeId="0" xr:uid="{00000000-0006-0000-0100-000007000000}">
      <text>
        <r>
          <rPr>
            <sz val="9"/>
            <color indexed="8"/>
            <rFont val="Geneva"/>
            <family val="2"/>
            <charset val="1"/>
          </rPr>
          <t xml:space="preserve">Enter changes in non-cash working capital. 
</t>
        </r>
        <r>
          <rPr>
            <i/>
            <sz val="9"/>
            <color indexed="8"/>
            <rFont val="Geneva"/>
            <family val="2"/>
            <charset val="1"/>
          </rPr>
          <t>Using Balance Sheet:</t>
        </r>
        <r>
          <rPr>
            <sz val="9"/>
            <color indexed="8"/>
            <rFont val="Geneva"/>
            <family val="2"/>
            <charset val="1"/>
          </rPr>
          <t xml:space="preserve">
</t>
        </r>
        <r>
          <rPr>
            <sz val="9"/>
            <color indexed="8"/>
            <rFont val="Geneva"/>
            <family val="2"/>
            <charset val="1"/>
          </rPr>
          <t xml:space="preserve">= Non-cash Working capital this year - Non-cash Working capital last year
</t>
        </r>
        <r>
          <rPr>
            <i/>
            <sz val="9"/>
            <color indexed="8"/>
            <rFont val="Geneva"/>
            <family val="2"/>
            <charset val="1"/>
          </rPr>
          <t>Using statement of cash flows</t>
        </r>
        <r>
          <rPr>
            <sz val="9"/>
            <color indexed="8"/>
            <rFont val="Geneva"/>
            <family val="2"/>
            <charset val="1"/>
          </rPr>
          <t xml:space="preserve">
</t>
        </r>
        <r>
          <rPr>
            <sz val="9"/>
            <color indexed="8"/>
            <rFont val="Geneva"/>
            <family val="2"/>
            <charset val="1"/>
          </rPr>
          <t xml:space="preserve">= - (Change in non-cash working capital)
</t>
        </r>
        <r>
          <rPr>
            <sz val="9"/>
            <color indexed="8"/>
            <rFont val="Geneva"/>
            <family val="2"/>
            <charset val="1"/>
          </rPr>
          <t>Please remember to reverse the sign. An increase (decrease) in non-cash working capital should be entered a positive (negative) number.</t>
        </r>
      </text>
    </comment>
    <comment ref="F8" authorId="1" shapeId="0" xr:uid="{00000000-0006-0000-0100-000008000000}">
      <text>
        <r>
          <rPr>
            <b/>
            <sz val="9"/>
            <color indexed="8"/>
            <rFont val="Geneva"/>
            <family val="2"/>
            <charset val="1"/>
          </rPr>
          <t>Aswath Damodaran:</t>
        </r>
        <r>
          <rPr>
            <sz val="9"/>
            <color indexed="8"/>
            <rFont val="Geneva"/>
            <family val="2"/>
            <charset val="1"/>
          </rPr>
          <t xml:space="preserve">
</t>
        </r>
        <r>
          <rPr>
            <sz val="9"/>
            <color indexed="8"/>
            <rFont val="Geneva"/>
            <family val="2"/>
            <charset val="1"/>
          </rPr>
          <t xml:space="preserve">Enter the change in interest-bearing debt from the previous year. 
</t>
        </r>
        <r>
          <rPr>
            <sz val="9"/>
            <color indexed="8"/>
            <rFont val="Geneva"/>
            <family val="2"/>
            <charset val="1"/>
          </rPr>
          <t xml:space="preserve">Using balance sheets:
</t>
        </r>
        <r>
          <rPr>
            <sz val="9"/>
            <color indexed="8"/>
            <rFont val="Geneva"/>
            <family val="2"/>
            <charset val="1"/>
          </rPr>
          <t xml:space="preserve">Interest-bearing debt this year - interest-bearing debt last year
</t>
        </r>
        <r>
          <rPr>
            <sz val="9"/>
            <color indexed="8"/>
            <rFont val="Geneva"/>
            <family val="2"/>
            <charset val="1"/>
          </rPr>
          <t xml:space="preserve">Using statement of cash flow
</t>
        </r>
        <r>
          <rPr>
            <sz val="9"/>
            <color indexed="8"/>
            <rFont val="Geneva"/>
            <family val="2"/>
            <charset val="1"/>
          </rPr>
          <t xml:space="preserve">= (Increase in LT Borrowing - Decrease in LT Borrowing + Increase in ST Borrowing - Decrease in ST Borrowing) </t>
        </r>
      </text>
    </comment>
    <comment ref="B21" authorId="0" shapeId="0" xr:uid="{00000000-0006-0000-0100-000009000000}">
      <text>
        <r>
          <rPr>
            <sz val="9"/>
            <color indexed="8"/>
            <rFont val="Geneva"/>
            <family val="2"/>
            <charset val="1"/>
          </rPr>
          <t>Total dollar dividends paid to common stockholders (not preferred) during the period. Should be in statement of cash flows. (Please remove the negative sign, if you are pulling this number from the statement of cash flows)</t>
        </r>
      </text>
    </comment>
    <comment ref="C21" authorId="0" shapeId="0" xr:uid="{00000000-0006-0000-0100-00000A000000}">
      <text>
        <r>
          <rPr>
            <sz val="9"/>
            <color indexed="8"/>
            <rFont val="Geneva"/>
            <family val="2"/>
            <charset val="1"/>
          </rPr>
          <t>Enter the stock buybacks  in statement of cashflows. Do not net out stock issuances, if there are any. (Make sure that you don't enter a negative sign, if you are pulling this number from the statement of cash flows).</t>
        </r>
      </text>
    </comment>
    <comment ref="D37" authorId="0" shapeId="0" xr:uid="{00000000-0006-0000-0100-00000B000000}">
      <text>
        <r>
          <rPr>
            <sz val="9"/>
            <color indexed="81"/>
            <rFont val="Geneva"/>
            <family val="2"/>
            <charset val="1"/>
          </rPr>
          <t>Enter the beta of the company during the period. If you have a bottom up beta, use it. If not, use a regression beta.</t>
        </r>
      </text>
    </comment>
    <comment ref="B40" authorId="0" shapeId="0" xr:uid="{00000000-0006-0000-0100-00000C000000}">
      <text>
        <r>
          <rPr>
            <sz val="9"/>
            <color indexed="81"/>
            <rFont val="Geneva"/>
            <family val="2"/>
            <charset val="1"/>
          </rPr>
          <t>Enter the book value of common equity for each year (preferably at start) in the sample. If you want beginning of year equity, use the previous year's equity; for instance, enter the book value of equity for 1997 and the book value of equity for 1998…. You can also compute the average book equity each year...</t>
        </r>
      </text>
    </comment>
    <comment ref="C40" authorId="0" shapeId="0" xr:uid="{00000000-0006-0000-0100-00000D000000}">
      <text>
        <r>
          <rPr>
            <sz val="9"/>
            <color indexed="81"/>
            <rFont val="Geneva"/>
            <family val="2"/>
            <charset val="1"/>
          </rPr>
          <t>This is the return you would have made on investing in the stock, inclusive of dividends and price appreciation.</t>
        </r>
      </text>
    </comment>
    <comment ref="D40" authorId="0" shapeId="0" xr:uid="{00000000-0006-0000-0100-00000E000000}">
      <text>
        <r>
          <rPr>
            <sz val="9"/>
            <color indexed="8"/>
            <rFont val="Geneva"/>
            <family val="2"/>
            <charset val="1"/>
          </rPr>
          <t>Enter the treasury bill rate at the start of each period. This is available in the attached worksheet.</t>
        </r>
      </text>
    </comment>
    <comment ref="E40" authorId="0" shapeId="0" xr:uid="{00000000-0006-0000-0100-00000F000000}">
      <text>
        <r>
          <rPr>
            <sz val="9"/>
            <color indexed="81"/>
            <rFont val="Geneva"/>
            <family val="2"/>
            <charset val="1"/>
          </rPr>
          <t>This is the return on the stock index, each year of the analysis. This is also available in the attached worksheet.</t>
        </r>
      </text>
    </comment>
    <comment ref="E55" authorId="0" shapeId="0" xr:uid="{00000000-0006-0000-0100-000010000000}">
      <text>
        <r>
          <rPr>
            <sz val="9"/>
            <color indexed="8"/>
            <rFont val="Geneva"/>
            <family val="2"/>
            <charset val="1"/>
          </rPr>
          <t xml:space="preserve">Projected growth rate in sales; if unavailable, look at historical growth.
</t>
        </r>
      </text>
    </comment>
    <comment ref="E56" authorId="0" shapeId="0" xr:uid="{00000000-0006-0000-0100-000011000000}">
      <text>
        <r>
          <rPr>
            <sz val="9"/>
            <color indexed="81"/>
            <rFont val="Geneva"/>
            <family val="2"/>
            <charset val="1"/>
          </rPr>
          <t>Enter projected growth in EPS, estimated by analysts for next 5 years (zacks.com)</t>
        </r>
      </text>
    </comment>
    <comment ref="E57" authorId="0" shapeId="0" xr:uid="{00000000-0006-0000-0100-000012000000}">
      <text>
        <r>
          <rPr>
            <sz val="9"/>
            <color indexed="8"/>
            <rFont val="Geneva"/>
            <family val="2"/>
            <charset val="1"/>
          </rPr>
          <t>Set equal to growth in revenues, if you do not have any information on growth.</t>
        </r>
      </text>
    </comment>
    <comment ref="E58" authorId="0" shapeId="0" xr:uid="{00000000-0006-0000-0100-000013000000}">
      <text>
        <r>
          <rPr>
            <sz val="9"/>
            <color indexed="81"/>
            <rFont val="Geneva"/>
            <family val="2"/>
            <charset val="1"/>
          </rPr>
          <t>Generally, set equal to the growth rate in cap ex. If cap ex is significantly higher than depreciation, this growth rate can be set higher than cap ex growth.</t>
        </r>
      </text>
    </comment>
    <comment ref="E59" authorId="1" shapeId="0" xr:uid="{00000000-0006-0000-0100-000014000000}">
      <text>
        <r>
          <rPr>
            <b/>
            <sz val="9"/>
            <color indexed="81"/>
            <rFont val="Geneva"/>
            <family val="2"/>
            <charset val="1"/>
          </rPr>
          <t>Aswath Damodaran:</t>
        </r>
        <r>
          <rPr>
            <sz val="9"/>
            <color indexed="81"/>
            <rFont val="Geneva"/>
            <family val="2"/>
            <charset val="1"/>
          </rPr>
          <t xml:space="preserve">
You can use the estimate from the most recent year, or use the industry average.</t>
        </r>
      </text>
    </comment>
    <comment ref="E60" authorId="0" shapeId="0" xr:uid="{00000000-0006-0000-0100-000015000000}">
      <text>
        <r>
          <rPr>
            <sz val="9"/>
            <color indexed="81"/>
            <rFont val="Geneva"/>
            <family val="2"/>
            <charset val="1"/>
          </rPr>
          <t>Current year's revenues</t>
        </r>
      </text>
    </comment>
    <comment ref="E61" authorId="1" shapeId="0" xr:uid="{00000000-0006-0000-0100-000016000000}">
      <text>
        <r>
          <rPr>
            <b/>
            <sz val="9"/>
            <color indexed="81"/>
            <rFont val="Geneva"/>
            <family val="2"/>
            <charset val="1"/>
          </rPr>
          <t>Aswath Damodaran:</t>
        </r>
        <r>
          <rPr>
            <sz val="9"/>
            <color indexed="81"/>
            <rFont val="Geneva"/>
            <family val="2"/>
            <charset val="1"/>
          </rPr>
          <t xml:space="preserve">
If your net income in the current year is not normal or negative, this is your change to replace it with a normalized value.</t>
        </r>
      </text>
    </comment>
    <comment ref="E62" authorId="1" shapeId="0" xr:uid="{00000000-0006-0000-0100-000017000000}">
      <text>
        <r>
          <rPr>
            <b/>
            <sz val="9"/>
            <color indexed="81"/>
            <rFont val="Geneva"/>
            <family val="2"/>
            <charset val="1"/>
          </rPr>
          <t>Aswath Damodaran:</t>
        </r>
        <r>
          <rPr>
            <sz val="9"/>
            <color indexed="81"/>
            <rFont val="Geneva"/>
            <family val="2"/>
            <charset val="1"/>
          </rPr>
          <t xml:space="preserve">
If capital expenditures are volatile, you can average it out over time and use a normalized value in here.</t>
        </r>
      </text>
    </comment>
    <comment ref="D66" authorId="0" shapeId="0" xr:uid="{00000000-0006-0000-0100-000018000000}">
      <text>
        <r>
          <rPr>
            <sz val="9"/>
            <color indexed="81"/>
            <rFont val="Geneva"/>
            <family val="2"/>
            <charset val="1"/>
          </rPr>
          <t>This growth rate can reflect expected growth in earnings and management targets for dividends.</t>
        </r>
      </text>
    </comment>
  </commentList>
</comments>
</file>

<file path=xl/comments2.xml><?xml version="1.0" encoding="utf-8"?>
<comments xmlns="http://schemas.openxmlformats.org/spreadsheetml/2006/main" xmlns:mc="http://schemas.openxmlformats.org/markup-compatibility/2006" xmlns:xr="http://schemas.microsoft.com/office/spreadsheetml/2014/revision" mc:Ignorable="xr">
  <authors>
    <author>Aswath Damodaran</author>
  </authors>
  <commentList>
    <comment ref="A22" authorId="0" shapeId="0" xr:uid="{00000000-0006-0000-0200-000001000000}">
      <text>
        <r>
          <rPr>
            <b/>
            <sz val="9"/>
            <color indexed="81"/>
            <rFont val="Geneva"/>
            <family val="2"/>
            <charset val="1"/>
          </rPr>
          <t>Aswath Damodaran:</t>
        </r>
        <r>
          <rPr>
            <sz val="9"/>
            <color indexed="81"/>
            <rFont val="Geneva"/>
            <family val="2"/>
            <charset val="1"/>
          </rPr>
          <t xml:space="preserve">
This is the expected return from the CAPM, using the beta, riskfre rates and return on the market each period. Note that it can be a negative number if the market went down during the year.</t>
        </r>
      </text>
    </comment>
  </commentList>
</comments>
</file>

<file path=xl/sharedStrings.xml><?xml version="1.0" encoding="utf-8"?>
<sst xmlns="http://schemas.openxmlformats.org/spreadsheetml/2006/main" count="141" uniqueCount="128">
  <si>
    <t>2. To provide an assessment of project quality (ROE compared to cost of equity) and stock price performance over the period.</t>
  </si>
  <si>
    <t>T.Bill rate</t>
    <phoneticPr fontId="11" type="noConversion"/>
  </si>
  <si>
    <t>1. Forecasted FCFE for next 5 years</t>
  </si>
  <si>
    <t>2. Forecasted dividends for next 5 years</t>
  </si>
  <si>
    <t>3. Cash available each year for stock buybacks for next 5 years.</t>
  </si>
  <si>
    <t>Required Return</t>
  </si>
  <si>
    <t xml:space="preserve">The following section of the dividend policy analysis looks at the quality of your firm's investments and the risk-adjusted, market-adjusted performance of your stock over the period. If </t>
    <phoneticPr fontId="11" type="noConversion"/>
  </si>
  <si>
    <t>you have a measure of excess returns (ROIC- Cost of capital) or  a Jensen's alpha computed for your stock, you can use those measures instead of the ones computed here.</t>
    <phoneticPr fontId="11" type="noConversion"/>
  </si>
  <si>
    <t>Section 1: Inputs for estimating Dividends and FCFE</t>
    <phoneticPr fontId="11" type="noConversion"/>
  </si>
  <si>
    <t>Section 2: Assessing Investment Quality and Stock Performance</t>
    <phoneticPr fontId="11" type="noConversion"/>
  </si>
  <si>
    <t>Return on Stock</t>
  </si>
  <si>
    <t>FORECASTED FCFE AND DIVIDENDS</t>
  </si>
  <si>
    <t>Expected growth in Revenues over next 5 years =</t>
  </si>
  <si>
    <t>Expected growth in Net Income over next 5 years =</t>
  </si>
  <si>
    <t>Expected growth in capital expenditures in next 5 years =</t>
  </si>
  <si>
    <t>Expected growth in depreciation in next 5 years =</t>
  </si>
  <si>
    <t>Enter revenues from most recent year =</t>
  </si>
  <si>
    <t>Expected growth in dividends</t>
  </si>
  <si>
    <t>Forecasted FCFE</t>
  </si>
  <si>
    <t>Net Income</t>
  </si>
  <si>
    <t xml:space="preserve"> - (Cap Ex - Deprec'n) (1 - DR)</t>
  </si>
  <si>
    <t xml:space="preserve"> -  Change in Working Capital (1 - DR)</t>
  </si>
  <si>
    <t>FCFE</t>
  </si>
  <si>
    <t>Expected Dividends</t>
  </si>
  <si>
    <t>Debt Ratio used in forecasting FCFE =</t>
  </si>
  <si>
    <t>Enter non-cash working capital as a percent of revenues</t>
  </si>
  <si>
    <t>Analysis of Past Dividends</t>
  </si>
  <si>
    <t>Use less years, if you do not have the data.</t>
  </si>
  <si>
    <t>Enter depreciation in most recent year =</t>
  </si>
  <si>
    <t>Enter net income from most recent year or normalized value =</t>
  </si>
  <si>
    <t>Enter capital expenditures from most recent year or normalized value =</t>
  </si>
  <si>
    <t>Enter dividends paid in the most recent year =</t>
  </si>
  <si>
    <t>Analysis of Dividend Policy</t>
  </si>
  <si>
    <t>Objective</t>
  </si>
  <si>
    <t>1. To compare how much a firm has returned to its stockholder historically (up to 10 years) with how much it could have returned.</t>
  </si>
  <si>
    <t>3. To provide forecasts of how much cash the firm will have available for stock buybacks in the future</t>
  </si>
  <si>
    <t>Inputs needed</t>
  </si>
  <si>
    <t>e. Dividends: Only cash dividends should be shown here (ignore stock dividends)</t>
  </si>
  <si>
    <t>f. Stock Buybacks: Include the cash flow associated with stock buybacks.</t>
  </si>
  <si>
    <t>For project assessment and stock price performance analysis</t>
  </si>
  <si>
    <t>a. Expected growth rates in net income, dividends, depreciation, capital expenditures and revenues</t>
  </si>
  <si>
    <t>c. Debt as a percent of reinvestment, looking forward. As a default, you can use your historical average.</t>
  </si>
  <si>
    <t>Output</t>
  </si>
  <si>
    <t>Historical Analysis</t>
  </si>
  <si>
    <t>1. FCFE and Cash Returned each year for the historical period</t>
  </si>
  <si>
    <t>2. Returns on equity, the stock and your required return each year for the historical period</t>
  </si>
  <si>
    <t>3. Averages of both over the entire period</t>
  </si>
  <si>
    <t>Year</t>
  </si>
  <si>
    <t xml:space="preserve">For historical analysis: </t>
  </si>
  <si>
    <t>For forecasts</t>
  </si>
  <si>
    <t>b. Working capital as a percent of revenues</t>
  </si>
  <si>
    <t>Enter the beta for the equity of this firm:</t>
  </si>
  <si>
    <t>BV: Equity</t>
  </si>
  <si>
    <t>Returns on stock</t>
  </si>
  <si>
    <t>Return on market</t>
  </si>
  <si>
    <t>Dividends</t>
  </si>
  <si>
    <t xml:space="preserve"> + Equity Repurchases</t>
  </si>
  <si>
    <t>Forecasts</t>
  </si>
  <si>
    <t>Equity Repurchases (in $)</t>
  </si>
  <si>
    <t>The last set of inputs to this analysis relate to project choice and performance:</t>
  </si>
  <si>
    <t>Cash available for stock buybacks</t>
  </si>
  <si>
    <t>Revenues</t>
  </si>
  <si>
    <t>Non-cash WC</t>
  </si>
  <si>
    <t>How many years of historical data do you have available?</t>
  </si>
  <si>
    <t>(number of years)</t>
  </si>
  <si>
    <t xml:space="preserve"> = Cash to Stockholders</t>
  </si>
  <si>
    <t>Dividend Ratios</t>
  </si>
  <si>
    <t>Payout Ratio</t>
  </si>
  <si>
    <t>Cash Paid as % of FCFE</t>
  </si>
  <si>
    <t>Performance Ratios</t>
  </si>
  <si>
    <t>1. Accounting Measure</t>
  </si>
  <si>
    <t>ROE</t>
  </si>
  <si>
    <t>Required rate of return</t>
  </si>
  <si>
    <t>ROE - Cost of Equity</t>
  </si>
  <si>
    <t>2. Stock Performance Measure</t>
  </si>
  <si>
    <t>Jensen's alpha</t>
  </si>
  <si>
    <t>Index</t>
  </si>
  <si>
    <t>Average</t>
  </si>
  <si>
    <t>Dividend Payout Ratio</t>
  </si>
  <si>
    <t>ROE - Required return</t>
  </si>
  <si>
    <t>Actual - Required Return</t>
  </si>
  <si>
    <t>Chg in Non-Cash WC</t>
  </si>
  <si>
    <t>Net Debt Issued</t>
  </si>
  <si>
    <t xml:space="preserve"> + Net Debt Issued</t>
  </si>
  <si>
    <t xml:space="preserve"> - (Cap. Exp - Depr)</t>
  </si>
  <si>
    <t xml:space="preserve"> - ∂ Working Capital</t>
  </si>
  <si>
    <t>Use these inputs if you want to make projection of FCFE for the future</t>
  </si>
  <si>
    <t>b. Depreciation, amortization and other non-cash charges</t>
  </si>
  <si>
    <t xml:space="preserve">a. Net Income </t>
  </si>
  <si>
    <t>c. Capital expenditures: Please include acquisitions as part of capital expenditures</t>
  </si>
  <si>
    <t>d. Non-cash working capital changes</t>
  </si>
  <si>
    <t>In entering these numbers, please make sure that you get the signs right (check the comment box on each of these inputs)</t>
  </si>
  <si>
    <t>Section 3: Inputs for forecasting future dividends and FCFE</t>
  </si>
  <si>
    <t>Dividends (aggregate)</t>
  </si>
  <si>
    <t>Depreciation &amp; Amortization</t>
  </si>
  <si>
    <t>Annual return on stock</t>
  </si>
  <si>
    <t>3-month T.Bill</t>
  </si>
  <si>
    <t>have these numbers, leave them at the US levels.</t>
  </si>
  <si>
    <t>Note: I have the numbers for the US in the Historical stock &amp; t.bill worksheet.</t>
  </si>
  <si>
    <t>Please match up the annual data for the years for your company.</t>
  </si>
  <si>
    <t>If you are in foreign market and don't</t>
  </si>
  <si>
    <t>No</t>
  </si>
  <si>
    <t>Aggregate</t>
  </si>
  <si>
    <t>Free CF to Equity (pre-debt)</t>
  </si>
  <si>
    <t>Do you want to want to change this ratio to a target debt ratio?</t>
  </si>
  <si>
    <t>If yes, enter the target debt ratio to use =</t>
  </si>
  <si>
    <t>Current debt to capital ratio =</t>
  </si>
  <si>
    <t>Yes</t>
  </si>
  <si>
    <t>Free CF to Equity (target debt ratio)</t>
  </si>
  <si>
    <t>Stock Buybacks</t>
  </si>
  <si>
    <t>Dividends + Buybacks</t>
  </si>
  <si>
    <t>Cash Payout Ratio</t>
  </si>
  <si>
    <t>Free CF to Equity (actual debt)</t>
  </si>
  <si>
    <t>Cash payout as % of target FCFE</t>
  </si>
  <si>
    <t>Cash payout as % of pre-debt FCFE</t>
  </si>
  <si>
    <t>Cash payout as % of actual FCFE</t>
  </si>
  <si>
    <t xml:space="preserve"> = Free CF to Equity (actual debt)</t>
  </si>
  <si>
    <t>Enter the following data for the years for which you have data (starting with the most recent year of data and working backwards).</t>
  </si>
  <si>
    <t>Enter the dollar dividends paid and equity repurchases for each year of historical data (staring with most recent year): (Equity repurchases are in the statement of cash flows)</t>
  </si>
  <si>
    <t>Enter the following data relating to performance (starting with most recent year): (Make sure that you update the riskfree rate and return on the market from the attached worksheet to reflect the time period for your data)</t>
  </si>
  <si>
    <t>S&amp;P 500 (includes dividends)</t>
  </si>
  <si>
    <r>
      <rPr>
        <b/>
        <sz val="14"/>
        <rFont val="Times"/>
        <family val="1"/>
      </rPr>
      <t>a. Beta</t>
    </r>
    <r>
      <rPr>
        <sz val="14"/>
        <rFont val="Times"/>
        <family val="1"/>
      </rPr>
      <t>: You should really use an average beta over the historical period, but go ahead and use your current beta if you do not have this.</t>
    </r>
  </si>
  <si>
    <r>
      <rPr>
        <b/>
        <sz val="14"/>
        <rFont val="Times"/>
        <family val="1"/>
      </rPr>
      <t>b. Book Value of Equity</t>
    </r>
    <r>
      <rPr>
        <sz val="14"/>
        <rFont val="Times"/>
        <family val="1"/>
      </rPr>
      <t xml:space="preserve">: To compute return on equity. </t>
    </r>
  </si>
  <si>
    <r>
      <rPr>
        <b/>
        <sz val="14"/>
        <rFont val="Times"/>
        <family val="1"/>
      </rPr>
      <t>c. Return on the stock</t>
    </r>
    <r>
      <rPr>
        <sz val="14"/>
        <rFont val="Times"/>
        <family val="1"/>
      </rPr>
      <t>: This is the total return you would have made as an investor: It includes price appreciation + dividend yield each year</t>
    </r>
  </si>
  <si>
    <r>
      <rPr>
        <b/>
        <sz val="14"/>
        <rFont val="Times"/>
        <family val="1"/>
      </rPr>
      <t>d. Short term Riskfree rate</t>
    </r>
    <r>
      <rPr>
        <sz val="14"/>
        <rFont val="Times"/>
        <family val="1"/>
      </rPr>
      <t>: The short term government security rate at the start of each year (use the T.Bill rate from the worksheet)</t>
    </r>
  </si>
  <si>
    <r>
      <rPr>
        <b/>
        <sz val="14"/>
        <rFont val="Times"/>
        <family val="1"/>
      </rPr>
      <t>e. Return on Stock Market</t>
    </r>
    <r>
      <rPr>
        <sz val="14"/>
        <rFont val="Times"/>
        <family val="1"/>
      </rPr>
      <t>: This is the total return on the stock market each year. You can get the numbers from the historical stocks and T.Bills worksheet.</t>
    </r>
  </si>
  <si>
    <t>Capital Spending &amp; Cash Acquisitions</t>
  </si>
  <si>
    <t>US T. Bond (10-year)</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</si>
</sst>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6" formatCode="&quot;$&quot;#,##0_);[Red]\(&quot;$&quot;#,##0\)"/>
    <numFmt numFmtId="8" formatCode="&quot;$&quot;#,##0.00_);[Red]\(&quot;$&quot;#,##0.00\)"/>
  </numFmts>
  <fonts count="26">
    <font>
      <sz val="10"/>
      <name val="Geneva"/>
      <charset val="1"/>
    </font>
    <font>
      <sz val="10"/>
      <name val="Geneva"/>
      <family val="2"/>
      <charset val="1"/>
    </font>
    <font>
      <sz val="10"/>
      <name val="Times"/>
      <family val="1"/>
    </font>
    <font>
      <i/>
      <sz val="10"/>
      <name val="Times"/>
      <family val="1"/>
    </font>
    <font>
      <sz val="10"/>
      <name val="Geneva"/>
      <family val="2"/>
      <charset val="1"/>
    </font>
    <font>
      <sz val="9"/>
      <color indexed="81"/>
      <name val="Geneva"/>
      <family val="2"/>
      <charset val="1"/>
    </font>
    <font>
      <b/>
      <sz val="9"/>
      <color indexed="81"/>
      <name val="Geneva"/>
      <family val="2"/>
      <charset val="1"/>
    </font>
    <font>
      <b/>
      <sz val="14"/>
      <name val="Times"/>
      <family val="1"/>
    </font>
    <font>
      <sz val="14"/>
      <name val="Times"/>
      <family val="1"/>
    </font>
    <font>
      <b/>
      <sz val="14"/>
      <name val="Geneva"/>
      <family val="2"/>
      <charset val="1"/>
    </font>
    <font>
      <sz val="8"/>
      <name val="Geneva"/>
      <family val="2"/>
      <charset val="1"/>
    </font>
    <font>
      <sz val="8"/>
      <name val="Verdana"/>
      <family val="2"/>
    </font>
    <font>
      <sz val="14"/>
      <color indexed="10"/>
      <name val="Times"/>
      <family val="1"/>
    </font>
    <font>
      <i/>
      <sz val="14"/>
      <name val="Times"/>
      <family val="1"/>
    </font>
    <font>
      <sz val="9"/>
      <color indexed="8"/>
      <name val="Geneva"/>
      <family val="2"/>
      <charset val="1"/>
    </font>
    <font>
      <i/>
      <sz val="9"/>
      <color indexed="8"/>
      <name val="Geneva"/>
      <family val="2"/>
      <charset val="1"/>
    </font>
    <font>
      <b/>
      <sz val="9"/>
      <color indexed="8"/>
      <name val="Geneva"/>
      <family val="2"/>
      <charset val="1"/>
    </font>
    <font>
      <b/>
      <sz val="12"/>
      <name val="Helvetica"/>
      <family val="2"/>
    </font>
    <font>
      <sz val="12"/>
      <name val="Helvetica"/>
      <family val="2"/>
    </font>
    <font>
      <i/>
      <sz val="12"/>
      <name val="Helvetica"/>
      <family val="2"/>
    </font>
    <font>
      <sz val="12"/>
      <color theme="1"/>
      <name val="Calibri"/>
      <family val="2"/>
      <scheme val="minor"/>
    </font>
    <font>
      <i/>
      <sz val="12"/>
      <name val="Calibri"/>
      <family val="2"/>
      <scheme val="minor"/>
    </font>
    <font>
      <sz val="12"/>
      <name val="Calibri"/>
      <family val="2"/>
      <scheme val="minor"/>
    </font>
    <font>
      <b/>
      <sz val="12"/>
      <name val="Calibri"/>
      <family val="2"/>
      <scheme val="minor"/>
    </font>
    <font>
      <b/>
      <i/>
      <sz val="12"/>
      <color theme="0"/>
      <name val="Calibri"/>
      <family val="2"/>
      <scheme val="minor"/>
    </font>
    <font>
      <sz val="10"/>
      <color theme="0"/>
      <name val="Geneva"/>
      <family val="2"/>
      <charset val="1"/>
    </font>
  </fonts>
  <fills count="7">
    <fill>
      <patternFill patternType="none"/>
    </fill>
    <fill>
      <patternFill patternType="gray125"/>
    </fill>
    <fill>
      <patternFill patternType="solid">
        <fgColor indexed="13"/>
        <bgColor indexed="64"/>
      </patternFill>
    </fill>
    <fill>
      <patternFill patternType="solid">
        <fgColor rgb="FFFFFF00"/>
        <bgColor indexed="64"/>
      </patternFill>
    </fill>
    <fill>
      <patternFill patternType="solid">
        <fgColor rgb="FFCCFFCC"/>
        <bgColor indexed="64"/>
      </patternFill>
    </fill>
    <fill>
      <patternFill patternType="solid">
        <fgColor theme="0" tint="-0.14999847407452621"/>
        <bgColor theme="0" tint="-0.14999847407452621"/>
      </patternFill>
    </fill>
    <fill>
      <patternFill patternType="solid">
        <fgColor theme="2"/>
        <bgColor indexed="64"/>
      </patternFill>
    </fill>
  </fills>
  <borders count="27">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style="thin">
        <color indexed="64"/>
      </right>
      <top style="thin">
        <color indexed="64"/>
      </top>
      <bottom/>
      <diagonal/>
    </border>
    <border>
      <left style="medium">
        <color indexed="64"/>
      </left>
      <right style="thin">
        <color indexed="64"/>
      </right>
      <top style="medium">
        <color indexed="64"/>
      </top>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thin">
        <color indexed="64"/>
      </left>
      <right style="thin">
        <color indexed="64"/>
      </right>
      <top/>
      <bottom/>
      <diagonal/>
    </border>
    <border>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style="thin">
        <color indexed="64"/>
      </left>
      <right style="thin">
        <color indexed="64"/>
      </right>
      <top style="medium">
        <color indexed="64"/>
      </top>
      <bottom/>
      <diagonal/>
    </border>
    <border>
      <left style="thin">
        <color indexed="64"/>
      </left>
      <right style="medium">
        <color indexed="64"/>
      </right>
      <top style="medium">
        <color indexed="64"/>
      </top>
      <bottom/>
      <diagonal/>
    </border>
    <border>
      <left/>
      <right/>
      <top/>
      <bottom style="thin">
        <color indexed="64"/>
      </bottom>
      <diagonal/>
    </border>
    <border>
      <left style="thin">
        <color indexed="64"/>
      </left>
      <right/>
      <top style="thin">
        <color indexed="64"/>
      </top>
      <bottom/>
      <diagonal/>
    </border>
    <border>
      <left style="medium">
        <color indexed="64"/>
      </left>
      <right style="medium">
        <color indexed="64"/>
      </right>
      <top style="medium">
        <color indexed="64"/>
      </top>
      <bottom style="medium">
        <color indexed="64"/>
      </bottom>
      <diagonal/>
    </border>
    <border>
      <left/>
      <right style="thin">
        <color indexed="64"/>
      </right>
      <top/>
      <bottom/>
      <diagonal/>
    </border>
    <border>
      <left/>
      <right style="medium">
        <color indexed="64"/>
      </right>
      <top style="medium">
        <color indexed="64"/>
      </top>
      <bottom/>
      <diagonal/>
    </border>
    <border>
      <left style="medium">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style="medium">
        <color indexed="64"/>
      </left>
      <right style="medium">
        <color indexed="64"/>
      </right>
      <top style="medium">
        <color indexed="64"/>
      </top>
      <bottom style="thin">
        <color indexed="64"/>
      </bottom>
      <diagonal/>
    </border>
    <border>
      <left style="medium">
        <color indexed="64"/>
      </left>
      <right style="medium">
        <color indexed="64"/>
      </right>
      <top style="thin">
        <color indexed="64"/>
      </top>
      <bottom style="thin">
        <color indexed="64"/>
      </bottom>
      <diagonal/>
    </border>
    <border>
      <left style="thin">
        <color indexed="64"/>
      </left>
      <right/>
      <top/>
      <bottom style="thin">
        <color indexed="64"/>
      </bottom>
      <diagonal/>
    </border>
    <border>
      <left style="medium">
        <color indexed="64"/>
      </left>
      <right style="medium">
        <color indexed="64"/>
      </right>
      <top style="thin">
        <color indexed="64"/>
      </top>
      <bottom style="medium">
        <color indexed="64"/>
      </bottom>
      <diagonal/>
    </border>
    <border>
      <left style="thin">
        <color indexed="64"/>
      </left>
      <right style="thin">
        <color indexed="64"/>
      </right>
      <top style="thin">
        <color indexed="64"/>
      </top>
      <bottom style="thin">
        <color theme="1"/>
      </bottom>
      <diagonal/>
    </border>
  </borders>
  <cellStyleXfs count="3">
    <xf numFmtId="0" fontId="0" fillId="0" borderId="0"/>
    <xf numFmtId="8" fontId="1" fillId="0" borderId="0" applyFont="0" applyFill="0" applyBorder="0" applyAlignment="0" applyProtection="0"/>
    <xf numFmtId="9" fontId="1" fillId="0" borderId="0" applyFont="0" applyFill="0" applyBorder="0" applyAlignment="0" applyProtection="0"/>
  </cellStyleXfs>
  <cellXfs count="134">
    <xf numFmtId="0" fontId="0" fillId="0" borderId="0" xfId="0"/>
    <xf numFmtId="0" fontId="2" fillId="0" borderId="0" xfId="0" applyFont="1"/>
    <xf numFmtId="0" fontId="3" fillId="0" borderId="0" xfId="0" applyFont="1"/>
    <xf numFmtId="0" fontId="2" fillId="0" borderId="0" xfId="0" applyFont="1" applyAlignment="1">
      <alignment horizontal="center"/>
    </xf>
    <xf numFmtId="0" fontId="2" fillId="0" borderId="1" xfId="0" applyFont="1" applyBorder="1"/>
    <xf numFmtId="0" fontId="2" fillId="0" borderId="0" xfId="0" applyFont="1" applyAlignment="1">
      <alignment horizontal="left"/>
    </xf>
    <xf numFmtId="0" fontId="4" fillId="0" borderId="0" xfId="0" applyFont="1"/>
    <xf numFmtId="0" fontId="2" fillId="0" borderId="2" xfId="0" applyFont="1" applyBorder="1" applyAlignment="1">
      <alignment horizontal="center"/>
    </xf>
    <xf numFmtId="9" fontId="2" fillId="0" borderId="0" xfId="1" applyNumberFormat="1" applyFont="1" applyBorder="1"/>
    <xf numFmtId="0" fontId="2" fillId="0" borderId="3" xfId="0" applyFont="1" applyBorder="1"/>
    <xf numFmtId="0" fontId="2" fillId="0" borderId="4" xfId="0" applyFont="1" applyBorder="1"/>
    <xf numFmtId="0" fontId="2" fillId="0" borderId="2" xfId="0" applyFont="1" applyBorder="1"/>
    <xf numFmtId="0" fontId="3" fillId="0" borderId="5" xfId="0" applyFont="1" applyBorder="1" applyAlignment="1">
      <alignment horizontal="centerContinuous"/>
    </xf>
    <xf numFmtId="0" fontId="3" fillId="0" borderId="6" xfId="0" applyFont="1" applyBorder="1" applyAlignment="1">
      <alignment horizontal="centerContinuous"/>
    </xf>
    <xf numFmtId="0" fontId="3" fillId="0" borderId="7" xfId="0" applyFont="1" applyBorder="1" applyAlignment="1">
      <alignment horizontal="centerContinuous"/>
    </xf>
    <xf numFmtId="0" fontId="7" fillId="0" borderId="0" xfId="0" applyFont="1" applyAlignment="1">
      <alignment horizontal="centerContinuous"/>
    </xf>
    <xf numFmtId="0" fontId="8" fillId="0" borderId="0" xfId="0" applyFont="1"/>
    <xf numFmtId="0" fontId="9" fillId="0" borderId="0" xfId="0" applyFont="1"/>
    <xf numFmtId="0" fontId="12" fillId="0" borderId="3" xfId="0" applyFont="1" applyBorder="1"/>
    <xf numFmtId="0" fontId="8" fillId="0" borderId="3" xfId="0" applyFont="1" applyBorder="1"/>
    <xf numFmtId="0" fontId="8" fillId="0" borderId="8" xfId="0" applyFont="1" applyBorder="1"/>
    <xf numFmtId="0" fontId="8" fillId="0" borderId="2" xfId="0" applyFont="1" applyBorder="1"/>
    <xf numFmtId="0" fontId="13" fillId="0" borderId="3" xfId="0" applyFont="1" applyBorder="1"/>
    <xf numFmtId="0" fontId="13" fillId="0" borderId="8" xfId="0" applyFont="1" applyBorder="1"/>
    <xf numFmtId="0" fontId="21" fillId="0" borderId="0" xfId="0" applyFont="1"/>
    <xf numFmtId="0" fontId="22" fillId="0" borderId="0" xfId="0" applyFont="1"/>
    <xf numFmtId="0" fontId="23" fillId="0" borderId="0" xfId="0" applyFont="1"/>
    <xf numFmtId="0" fontId="22" fillId="2" borderId="1" xfId="0" applyFont="1" applyFill="1" applyBorder="1" applyAlignment="1">
      <alignment horizontal="center"/>
    </xf>
    <xf numFmtId="0" fontId="21" fillId="0" borderId="1" xfId="0" applyFont="1" applyBorder="1" applyAlignment="1">
      <alignment horizontal="left"/>
    </xf>
    <xf numFmtId="0" fontId="21" fillId="0" borderId="1" xfId="0" applyFont="1" applyBorder="1" applyAlignment="1">
      <alignment horizontal="center"/>
    </xf>
    <xf numFmtId="0" fontId="21" fillId="0" borderId="1" xfId="0" applyFont="1" applyBorder="1"/>
    <xf numFmtId="0" fontId="22" fillId="0" borderId="1" xfId="0" applyFont="1" applyBorder="1" applyAlignment="1">
      <alignment horizontal="center"/>
    </xf>
    <xf numFmtId="8" fontId="22" fillId="2" borderId="9" xfId="1" applyFont="1" applyFill="1" applyBorder="1" applyAlignment="1">
      <alignment horizontal="center"/>
    </xf>
    <xf numFmtId="8" fontId="22" fillId="2" borderId="1" xfId="1" applyFont="1" applyFill="1" applyBorder="1" applyAlignment="1">
      <alignment horizontal="center"/>
    </xf>
    <xf numFmtId="0" fontId="21" fillId="0" borderId="0" xfId="0" applyFont="1" applyAlignment="1">
      <alignment horizontal="center"/>
    </xf>
    <xf numFmtId="2" fontId="22" fillId="2" borderId="1" xfId="0" applyNumberFormat="1" applyFont="1" applyFill="1" applyBorder="1" applyAlignment="1">
      <alignment horizontal="center"/>
    </xf>
    <xf numFmtId="0" fontId="22" fillId="0" borderId="0" xfId="0" applyFont="1" applyAlignment="1">
      <alignment horizontal="center"/>
    </xf>
    <xf numFmtId="10" fontId="22" fillId="2" borderId="1" xfId="0" applyNumberFormat="1" applyFont="1" applyFill="1" applyBorder="1" applyAlignment="1">
      <alignment horizontal="center"/>
    </xf>
    <xf numFmtId="0" fontId="22" fillId="0" borderId="1" xfId="0" applyFont="1" applyBorder="1"/>
    <xf numFmtId="10" fontId="22" fillId="2" borderId="1" xfId="0" applyNumberFormat="1" applyFont="1" applyFill="1" applyBorder="1"/>
    <xf numFmtId="0" fontId="22" fillId="0" borderId="10" xfId="0" applyFont="1" applyBorder="1"/>
    <xf numFmtId="0" fontId="22" fillId="0" borderId="11" xfId="0" applyFont="1" applyBorder="1"/>
    <xf numFmtId="0" fontId="22" fillId="0" borderId="10" xfId="0" applyFont="1" applyBorder="1" applyAlignment="1">
      <alignment horizontal="left"/>
    </xf>
    <xf numFmtId="0" fontId="22" fillId="0" borderId="11" xfId="0" applyFont="1" applyBorder="1" applyAlignment="1">
      <alignment horizontal="left"/>
    </xf>
    <xf numFmtId="6" fontId="22" fillId="2" borderId="1" xfId="1" applyNumberFormat="1" applyFont="1" applyFill="1" applyBorder="1"/>
    <xf numFmtId="0" fontId="22" fillId="0" borderId="0" xfId="0" applyFont="1" applyAlignment="1">
      <alignment horizontal="left"/>
    </xf>
    <xf numFmtId="9" fontId="22" fillId="0" borderId="0" xfId="1" applyNumberFormat="1" applyFont="1" applyBorder="1"/>
    <xf numFmtId="0" fontId="22" fillId="0" borderId="1" xfId="0" applyFont="1" applyBorder="1" applyAlignment="1">
      <alignment horizontal="left"/>
    </xf>
    <xf numFmtId="9" fontId="22" fillId="2" borderId="1" xfId="0" applyNumberFormat="1" applyFont="1" applyFill="1" applyBorder="1" applyAlignment="1">
      <alignment horizontal="center"/>
    </xf>
    <xf numFmtId="10" fontId="22" fillId="3" borderId="1" xfId="0" applyNumberFormat="1" applyFont="1" applyFill="1" applyBorder="1" applyAlignment="1">
      <alignment horizontal="center"/>
    </xf>
    <xf numFmtId="10" fontId="2" fillId="4" borderId="1" xfId="2" applyNumberFormat="1" applyFont="1" applyFill="1" applyBorder="1" applyAlignment="1">
      <alignment horizontal="center"/>
    </xf>
    <xf numFmtId="6" fontId="2" fillId="4" borderId="1" xfId="0" applyNumberFormat="1" applyFont="1" applyFill="1" applyBorder="1" applyAlignment="1">
      <alignment horizontal="center"/>
    </xf>
    <xf numFmtId="6" fontId="2" fillId="4" borderId="1" xfId="1" applyNumberFormat="1" applyFont="1" applyFill="1" applyBorder="1" applyAlignment="1">
      <alignment horizontal="center"/>
    </xf>
    <xf numFmtId="6" fontId="2" fillId="4" borderId="3" xfId="1" applyNumberFormat="1" applyFont="1" applyFill="1" applyBorder="1" applyAlignment="1">
      <alignment horizontal="center"/>
    </xf>
    <xf numFmtId="6" fontId="2" fillId="4" borderId="12" xfId="0" applyNumberFormat="1" applyFont="1" applyFill="1" applyBorder="1" applyAlignment="1">
      <alignment horizontal="center"/>
    </xf>
    <xf numFmtId="6" fontId="2" fillId="4" borderId="13" xfId="0" applyNumberFormat="1" applyFont="1" applyFill="1" applyBorder="1" applyAlignment="1">
      <alignment horizontal="center"/>
    </xf>
    <xf numFmtId="6" fontId="22" fillId="4" borderId="1" xfId="1" applyNumberFormat="1" applyFont="1" applyFill="1" applyBorder="1"/>
    <xf numFmtId="0" fontId="0" fillId="0" borderId="0" xfId="0" applyAlignment="1">
      <alignment horizontal="center"/>
    </xf>
    <xf numFmtId="0" fontId="8" fillId="0" borderId="8" xfId="0" applyFont="1" applyBorder="1" applyAlignment="1">
      <alignment wrapText="1"/>
    </xf>
    <xf numFmtId="0" fontId="13" fillId="0" borderId="8" xfId="0" applyFont="1" applyBorder="1" applyAlignment="1">
      <alignment wrapText="1"/>
    </xf>
    <xf numFmtId="0" fontId="8" fillId="0" borderId="2" xfId="0" applyFont="1" applyBorder="1" applyAlignment="1">
      <alignment wrapText="1"/>
    </xf>
    <xf numFmtId="0" fontId="20" fillId="5" borderId="1" xfId="0" applyFont="1" applyFill="1" applyBorder="1" applyAlignment="1">
      <alignment horizontal="center"/>
    </xf>
    <xf numFmtId="10" fontId="20" fillId="5" borderId="1" xfId="0" applyNumberFormat="1" applyFont="1" applyFill="1" applyBorder="1" applyAlignment="1">
      <alignment horizontal="center"/>
    </xf>
    <xf numFmtId="0" fontId="20" fillId="0" borderId="1" xfId="0" applyFont="1" applyBorder="1" applyAlignment="1">
      <alignment horizontal="center"/>
    </xf>
    <xf numFmtId="10" fontId="20" fillId="0" borderId="1" xfId="0" applyNumberFormat="1" applyFont="1" applyBorder="1" applyAlignment="1">
      <alignment horizontal="center"/>
    </xf>
    <xf numFmtId="0" fontId="20" fillId="0" borderId="0" xfId="0" applyFont="1" applyAlignment="1">
      <alignment horizontal="center"/>
    </xf>
    <xf numFmtId="0" fontId="20" fillId="5" borderId="3" xfId="0" applyFont="1" applyFill="1" applyBorder="1" applyAlignment="1">
      <alignment horizontal="center"/>
    </xf>
    <xf numFmtId="0" fontId="20" fillId="0" borderId="3" xfId="0" applyFont="1" applyBorder="1" applyAlignment="1">
      <alignment horizontal="center"/>
    </xf>
    <xf numFmtId="10" fontId="20" fillId="5" borderId="3" xfId="0" applyNumberFormat="1" applyFont="1" applyFill="1" applyBorder="1" applyAlignment="1">
      <alignment horizontal="center"/>
    </xf>
    <xf numFmtId="10" fontId="20" fillId="0" borderId="3" xfId="0" applyNumberFormat="1" applyFont="1" applyBorder="1" applyAlignment="1">
      <alignment horizontal="center"/>
    </xf>
    <xf numFmtId="0" fontId="20" fillId="5" borderId="26" xfId="0" applyFont="1" applyFill="1" applyBorder="1" applyAlignment="1">
      <alignment horizontal="center"/>
    </xf>
    <xf numFmtId="10" fontId="20" fillId="5" borderId="26" xfId="0" applyNumberFormat="1" applyFont="1" applyFill="1" applyBorder="1" applyAlignment="1">
      <alignment horizontal="center"/>
    </xf>
    <xf numFmtId="10" fontId="0" fillId="0" borderId="0" xfId="0" applyNumberFormat="1" applyAlignment="1">
      <alignment horizontal="center"/>
    </xf>
    <xf numFmtId="0" fontId="24" fillId="0" borderId="2" xfId="0" applyFont="1" applyBorder="1" applyAlignment="1">
      <alignment horizontal="center" wrapText="1"/>
    </xf>
    <xf numFmtId="0" fontId="25" fillId="0" borderId="0" xfId="0" applyFont="1"/>
    <xf numFmtId="0" fontId="17" fillId="0" borderId="0" xfId="0" applyFont="1"/>
    <xf numFmtId="0" fontId="18" fillId="0" borderId="1" xfId="0" applyFont="1" applyBorder="1" applyAlignment="1">
      <alignment horizontal="left"/>
    </xf>
    <xf numFmtId="0" fontId="18" fillId="0" borderId="1" xfId="0" applyFont="1" applyBorder="1" applyAlignment="1">
      <alignment horizontal="center"/>
    </xf>
    <xf numFmtId="0" fontId="18" fillId="0" borderId="10" xfId="0" applyFont="1" applyBorder="1" applyAlignment="1">
      <alignment horizontal="center"/>
    </xf>
    <xf numFmtId="0" fontId="17" fillId="0" borderId="1" xfId="0" applyFont="1" applyBorder="1"/>
    <xf numFmtId="0" fontId="18" fillId="0" borderId="0" xfId="0" applyFont="1"/>
    <xf numFmtId="8" fontId="18" fillId="4" borderId="1" xfId="1" applyFont="1" applyFill="1" applyBorder="1" applyAlignment="1">
      <alignment horizontal="center"/>
    </xf>
    <xf numFmtId="8" fontId="18" fillId="4" borderId="10" xfId="1" applyFont="1" applyFill="1" applyBorder="1" applyAlignment="1">
      <alignment horizontal="center"/>
    </xf>
    <xf numFmtId="8" fontId="17" fillId="4" borderId="1" xfId="0" applyNumberFormat="1" applyFont="1" applyFill="1" applyBorder="1"/>
    <xf numFmtId="0" fontId="18" fillId="0" borderId="3" xfId="0" applyFont="1" applyBorder="1" applyAlignment="1">
      <alignment horizontal="left"/>
    </xf>
    <xf numFmtId="8" fontId="18" fillId="4" borderId="3" xfId="1" applyFont="1" applyFill="1" applyBorder="1" applyAlignment="1">
      <alignment horizontal="center"/>
    </xf>
    <xf numFmtId="8" fontId="18" fillId="4" borderId="15" xfId="1" applyFont="1" applyFill="1" applyBorder="1" applyAlignment="1">
      <alignment horizontal="center"/>
    </xf>
    <xf numFmtId="8" fontId="17" fillId="4" borderId="3" xfId="0" applyNumberFormat="1" applyFont="1" applyFill="1" applyBorder="1"/>
    <xf numFmtId="8" fontId="17" fillId="4" borderId="16" xfId="0" applyNumberFormat="1" applyFont="1" applyFill="1" applyBorder="1"/>
    <xf numFmtId="8" fontId="17" fillId="4" borderId="17" xfId="0" applyNumberFormat="1" applyFont="1" applyFill="1" applyBorder="1"/>
    <xf numFmtId="8" fontId="17" fillId="4" borderId="18" xfId="0" applyNumberFormat="1" applyFont="1" applyFill="1" applyBorder="1"/>
    <xf numFmtId="0" fontId="18" fillId="0" borderId="0" xfId="0" applyFont="1" applyAlignment="1">
      <alignment horizontal="left"/>
    </xf>
    <xf numFmtId="8" fontId="18" fillId="0" borderId="0" xfId="1" applyFont="1" applyBorder="1" applyAlignment="1">
      <alignment horizontal="center"/>
    </xf>
    <xf numFmtId="0" fontId="18" fillId="0" borderId="8" xfId="0" applyFont="1" applyBorder="1" applyAlignment="1">
      <alignment horizontal="left"/>
    </xf>
    <xf numFmtId="8" fontId="18" fillId="4" borderId="8" xfId="1" applyFont="1" applyFill="1" applyBorder="1" applyAlignment="1">
      <alignment horizontal="center"/>
    </xf>
    <xf numFmtId="0" fontId="18" fillId="0" borderId="19" xfId="0" applyFont="1" applyBorder="1" applyAlignment="1">
      <alignment horizontal="left"/>
    </xf>
    <xf numFmtId="8" fontId="18" fillId="4" borderId="20" xfId="1" applyFont="1" applyFill="1" applyBorder="1" applyAlignment="1">
      <alignment horizontal="center"/>
    </xf>
    <xf numFmtId="8" fontId="18" fillId="4" borderId="21" xfId="1" applyFont="1" applyFill="1" applyBorder="1" applyAlignment="1">
      <alignment horizontal="center"/>
    </xf>
    <xf numFmtId="0" fontId="18" fillId="0" borderId="2" xfId="0" applyFont="1" applyBorder="1" applyAlignment="1">
      <alignment horizontal="left"/>
    </xf>
    <xf numFmtId="0" fontId="18" fillId="0" borderId="2" xfId="0" applyFont="1" applyBorder="1" applyAlignment="1">
      <alignment horizontal="center"/>
    </xf>
    <xf numFmtId="0" fontId="19" fillId="0" borderId="1" xfId="0" applyFont="1" applyBorder="1" applyAlignment="1">
      <alignment horizontal="left"/>
    </xf>
    <xf numFmtId="10" fontId="18" fillId="4" borderId="3" xfId="2" applyNumberFormat="1" applyFont="1" applyFill="1" applyBorder="1" applyAlignment="1">
      <alignment horizontal="center"/>
    </xf>
    <xf numFmtId="10" fontId="18" fillId="4" borderId="20" xfId="2" applyNumberFormat="1" applyFont="1" applyFill="1" applyBorder="1" applyAlignment="1">
      <alignment horizontal="center"/>
    </xf>
    <xf numFmtId="10" fontId="18" fillId="4" borderId="21" xfId="2" applyNumberFormat="1" applyFont="1" applyFill="1" applyBorder="1" applyAlignment="1">
      <alignment horizontal="center"/>
    </xf>
    <xf numFmtId="10" fontId="18" fillId="4" borderId="1" xfId="0" applyNumberFormat="1" applyFont="1" applyFill="1" applyBorder="1" applyAlignment="1">
      <alignment horizontal="center"/>
    </xf>
    <xf numFmtId="10" fontId="18" fillId="4" borderId="3" xfId="0" applyNumberFormat="1" applyFont="1" applyFill="1" applyBorder="1" applyAlignment="1">
      <alignment horizontal="center"/>
    </xf>
    <xf numFmtId="10" fontId="18" fillId="4" borderId="20" xfId="0" applyNumberFormat="1" applyFont="1" applyFill="1" applyBorder="1" applyAlignment="1">
      <alignment horizontal="center"/>
    </xf>
    <xf numFmtId="10" fontId="18" fillId="4" borderId="21" xfId="0" applyNumberFormat="1" applyFont="1" applyFill="1" applyBorder="1" applyAlignment="1">
      <alignment horizontal="center"/>
    </xf>
    <xf numFmtId="0" fontId="19" fillId="0" borderId="2" xfId="0" applyFont="1" applyBorder="1" applyAlignment="1">
      <alignment horizontal="left"/>
    </xf>
    <xf numFmtId="0" fontId="18" fillId="0" borderId="4" xfId="0" applyFont="1" applyBorder="1" applyAlignment="1">
      <alignment horizontal="left"/>
    </xf>
    <xf numFmtId="10" fontId="18" fillId="4" borderId="12" xfId="0" applyNumberFormat="1" applyFont="1" applyFill="1" applyBorder="1" applyAlignment="1">
      <alignment horizontal="center"/>
    </xf>
    <xf numFmtId="10" fontId="18" fillId="4" borderId="13" xfId="0" applyNumberFormat="1" applyFont="1" applyFill="1" applyBorder="1" applyAlignment="1">
      <alignment horizontal="center"/>
    </xf>
    <xf numFmtId="0" fontId="18" fillId="0" borderId="0" xfId="0" applyFont="1" applyAlignment="1">
      <alignment horizontal="center"/>
    </xf>
    <xf numFmtId="0" fontId="18" fillId="0" borderId="3" xfId="0" applyFont="1" applyBorder="1" applyAlignment="1">
      <alignment horizontal="center"/>
    </xf>
    <xf numFmtId="8" fontId="18" fillId="4" borderId="10" xfId="0" applyNumberFormat="1" applyFont="1" applyFill="1" applyBorder="1" applyAlignment="1">
      <alignment horizontal="center"/>
    </xf>
    <xf numFmtId="8" fontId="18" fillId="4" borderId="22" xfId="0" applyNumberFormat="1" applyFont="1" applyFill="1" applyBorder="1" applyAlignment="1">
      <alignment horizontal="center"/>
    </xf>
    <xf numFmtId="8" fontId="18" fillId="4" borderId="23" xfId="0" applyNumberFormat="1" applyFont="1" applyFill="1" applyBorder="1" applyAlignment="1">
      <alignment horizontal="center"/>
    </xf>
    <xf numFmtId="10" fontId="18" fillId="4" borderId="10" xfId="2" applyNumberFormat="1" applyFont="1" applyFill="1" applyBorder="1" applyAlignment="1">
      <alignment horizontal="center"/>
    </xf>
    <xf numFmtId="10" fontId="18" fillId="4" borderId="23" xfId="0" applyNumberFormat="1" applyFont="1" applyFill="1" applyBorder="1" applyAlignment="1">
      <alignment horizontal="center"/>
    </xf>
    <xf numFmtId="10" fontId="18" fillId="0" borderId="0" xfId="0" applyNumberFormat="1" applyFont="1" applyAlignment="1">
      <alignment horizontal="center"/>
    </xf>
    <xf numFmtId="8" fontId="18" fillId="4" borderId="15" xfId="0" applyNumberFormat="1" applyFont="1" applyFill="1" applyBorder="1" applyAlignment="1">
      <alignment horizontal="center"/>
    </xf>
    <xf numFmtId="0" fontId="18" fillId="0" borderId="10" xfId="0" applyFont="1" applyBorder="1" applyAlignment="1">
      <alignment horizontal="left"/>
    </xf>
    <xf numFmtId="10" fontId="18" fillId="4" borderId="5" xfId="2" applyNumberFormat="1" applyFont="1" applyFill="1" applyBorder="1" applyAlignment="1">
      <alignment horizontal="center"/>
    </xf>
    <xf numFmtId="10" fontId="18" fillId="4" borderId="23" xfId="2" applyNumberFormat="1" applyFont="1" applyFill="1" applyBorder="1" applyAlignment="1">
      <alignment horizontal="center"/>
    </xf>
    <xf numFmtId="8" fontId="18" fillId="4" borderId="24" xfId="0" applyNumberFormat="1" applyFont="1" applyFill="1" applyBorder="1" applyAlignment="1">
      <alignment horizontal="center"/>
    </xf>
    <xf numFmtId="8" fontId="18" fillId="4" borderId="25" xfId="0" applyNumberFormat="1" applyFont="1" applyFill="1" applyBorder="1" applyAlignment="1">
      <alignment horizontal="center"/>
    </xf>
    <xf numFmtId="10" fontId="18" fillId="4" borderId="1" xfId="2" applyNumberFormat="1" applyFont="1" applyFill="1" applyBorder="1" applyAlignment="1">
      <alignment horizontal="center"/>
    </xf>
    <xf numFmtId="8" fontId="18" fillId="0" borderId="0" xfId="0" applyNumberFormat="1" applyFont="1" applyAlignment="1">
      <alignment horizontal="center"/>
    </xf>
    <xf numFmtId="10" fontId="18" fillId="4" borderId="16" xfId="2" applyNumberFormat="1" applyFont="1" applyFill="1" applyBorder="1" applyAlignment="1">
      <alignment horizontal="center"/>
    </xf>
    <xf numFmtId="0" fontId="19" fillId="0" borderId="1" xfId="0" applyFont="1" applyBorder="1"/>
    <xf numFmtId="0" fontId="9" fillId="0" borderId="0" xfId="0" applyFont="1" applyAlignment="1">
      <alignment horizontal="center"/>
    </xf>
    <xf numFmtId="0" fontId="23" fillId="0" borderId="0" xfId="0" applyFont="1"/>
    <xf numFmtId="0" fontId="21" fillId="6" borderId="1" xfId="0" applyFont="1" applyFill="1" applyBorder="1" applyAlignment="1">
      <alignment horizontal="left"/>
    </xf>
    <xf numFmtId="0" fontId="17" fillId="0" borderId="14" xfId="0" applyFont="1" applyBorder="1" applyAlignment="1">
      <alignment horizontal="center"/>
    </xf>
  </cellXfs>
  <cellStyles count="3">
    <cellStyle name="Currency" xfId="1" builtinId="4"/>
    <cellStyle name="Normal" xfId="0" builtinId="0"/>
    <cellStyle name="Percent" xfId="2" builtinId="5"/>
  </cellStyles>
  <dxfs count="8">
    <dxf>
      <numFmt numFmtId="14" formatCode="0.00%"/>
      <alignment horizontal="center" vertical="bottom" textRotation="0" wrapText="0" indent="0" justifyLastLine="0" shrinkToFit="0" readingOrder="0"/>
    </dxf>
    <dxf>
      <numFmt numFmtId="14" formatCode="0.00%"/>
      <alignment horizontal="center" vertical="bottom" textRotation="0" wrapText="0" indent="0" justifyLastLine="0" shrinkToFit="0" readingOrder="0"/>
    </dxf>
    <dxf>
      <alignment horizontal="center" vertical="bottom" textRotation="0" indent="0" justifyLastLine="0" shrinkToFit="0" readingOrder="0"/>
    </dxf>
    <dxf>
      <alignment horizontal="center" vertical="bottom" textRotation="0" indent="0" justifyLastLine="0" shrinkToFit="0" readingOrder="0"/>
    </dxf>
    <dxf>
      <border outline="0">
        <top style="thin">
          <color indexed="64"/>
        </top>
      </border>
    </dxf>
    <dxf>
      <alignment horizontal="center" vertical="bottom" textRotation="0" indent="0" justifyLastLine="0" shrinkToFit="0" readingOrder="0"/>
    </dxf>
    <dxf>
      <border outline="0">
        <bottom style="thin">
          <color indexed="64"/>
        </bottom>
      </border>
    </dxf>
    <dxf>
      <font>
        <b/>
        <i/>
        <strike val="0"/>
        <condense val="0"/>
        <extend val="0"/>
        <outline val="0"/>
        <shadow val="0"/>
        <u val="none"/>
        <vertAlign val="baseline"/>
        <sz val="12"/>
        <color theme="0"/>
        <name val="Calibri"/>
        <family val="2"/>
        <scheme val="minor"/>
      </font>
      <alignment horizontal="center" vertical="bottom" textRotation="0" wrapText="1" indent="0" justifyLastLine="0" shrinkToFit="0" readingOrder="0"/>
      <border diagonalUp="0" diagonalDown="0" outline="0">
        <left style="thin">
          <color indexed="64"/>
        </left>
        <right style="thin">
          <color indexed="64"/>
        </right>
        <top/>
        <bottom/>
      </border>
    </dxf>
  </dxfs>
  <tableStyles count="0" defaultTableStyle="TableStyleMedium9" defaultPivotStyle="PivotStyleMedium4"/>
  <colors>
    <indexedColors>
      <rgbColor rgb="00000000"/>
      <rgbColor rgb="00FFFFFF"/>
      <rgbColor rgb="00FF0000"/>
      <rgbColor rgb="0000FF00"/>
      <rgbColor rgb="000000FF"/>
      <rgbColor rgb="00FFFF00"/>
      <rgbColor rgb="00FF00FF"/>
      <rgbColor rgb="0000FFFF"/>
      <rgbColor rgb="00000000"/>
      <rgbColor rgb="00FFFFFF"/>
      <rgbColor rgb="00DD0806"/>
      <rgbColor rgb="001FB714"/>
      <rgbColor rgb="000000D4"/>
      <rgbColor rgb="00FCF305"/>
      <rgbColor rgb="00F20884"/>
      <rgbColor rgb="0000ABEA"/>
      <rgbColor rgb="00900000"/>
      <rgbColor rgb="00006411"/>
      <rgbColor rgb="00000090"/>
      <rgbColor rgb="0090713A"/>
      <rgbColor rgb="004600A5"/>
      <rgbColor rgb="00008080"/>
      <rgbColor rgb="00C0C0C0"/>
      <rgbColor rgb="00808080"/>
      <rgbColor rgb="008080FF"/>
      <rgbColor rgb="00802060"/>
      <rgbColor rgb="00FFFFC0"/>
      <rgbColor rgb="00A0E0E0"/>
      <rgbColor rgb="00600080"/>
      <rgbColor rgb="00FF8080"/>
      <rgbColor rgb="000080C0"/>
      <rgbColor rgb="00C0C0FF"/>
      <rgbColor rgb="00000080"/>
      <rgbColor rgb="00FF00FF"/>
      <rgbColor rgb="00FFFF00"/>
      <rgbColor rgb="0000FFFF"/>
      <rgbColor rgb="00800080"/>
      <rgbColor rgb="00800000"/>
      <rgbColor rgb="00008080"/>
      <rgbColor rgb="000000FF"/>
      <rgbColor rgb="0000CCFF"/>
      <rgbColor rgb="0069FFFF"/>
      <rgbColor rgb="00CCFFCC"/>
      <rgbColor rgb="00FFFF99"/>
      <rgbColor rgb="00A6CAF0"/>
      <rgbColor rgb="00CC9CCC"/>
      <rgbColor rgb="00CC99FF"/>
      <rgbColor rgb="00E3E3E3"/>
      <rgbColor rgb="003366FF"/>
      <rgbColor rgb="0033CCCC"/>
      <rgbColor rgb="00339933"/>
      <rgbColor rgb="00999933"/>
      <rgbColor rgb="00996633"/>
      <rgbColor rgb="00996666"/>
      <rgbColor rgb="00666699"/>
      <rgbColor rgb="00969696"/>
      <rgbColor rgb="003333CC"/>
      <rgbColor rgb="00336666"/>
      <rgbColor rgb="00003300"/>
      <rgbColor rgb="00333300"/>
      <rgbColor rgb="00663300"/>
      <rgbColor rgb="00993366"/>
      <rgbColor rgb="00333399"/>
      <rgbColor rgb="00424242"/>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5" Type="http://schemas.openxmlformats.org/officeDocument/2006/relationships/worksheet" Target="worksheets/sheet5.xml"/><Relationship Id="rId10" Type="http://schemas.openxmlformats.org/officeDocument/2006/relationships/calcChain" Target="calcChain.xml"/><Relationship Id="rId4" Type="http://schemas.openxmlformats.org/officeDocument/2006/relationships/worksheet" Target="worksheets/sheet4.xml"/><Relationship Id="rId9" Type="http://schemas.openxmlformats.org/officeDocument/2006/relationships/sharedStrings" Target="sharedStrings.xml"/></Relationships>
</file>

<file path=xl/tables/table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 xr:uid="{00000000-000C-0000-FFFF-FFFF00000000}" name="Table1" displayName="Table1" ref="A1:D99" totalsRowShown="0" headerRowDxfId="7" dataDxfId="5" headerRowBorderDxfId="6" tableBorderDxfId="4">
  <autoFilter ref="A1:D99" xr:uid="{00000000-0009-0000-0100-000001000000}"/>
  <tableColumns count="4">
    <tableColumn id="1" xr3:uid="{00000000-0010-0000-0000-000001000000}" name="Year" dataDxfId="3"/>
    <tableColumn id="2" xr3:uid="{00000000-0010-0000-0000-000002000000}" name="S&amp;P 500 (includes dividends)" dataDxfId="2"/>
    <tableColumn id="3" xr3:uid="{00000000-0010-0000-0000-000003000000}" name="3-month T.Bill" dataDxfId="1"/>
    <tableColumn id="4" xr3:uid="{00000000-0010-0000-0000-000004000000}" name="US T. Bond (10-year)" dataDxfId="0"/>
  </tableColumns>
  <tableStyleInfo name="TableStyleMedium1" showFirstColumn="0" showLastColumn="0" showRowStripes="1" showColumnStripes="0"/>
</table>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30000"/>
              </a:schemeClr>
            </a:gs>
            <a:gs pos="100000">
              <a:schemeClr val="phClr">
                <a:tint val="50000"/>
                <a:shade val="100000"/>
                <a:satMod val="350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bwMode="auto">
        <a:xfrm>
          <a:off x="0" y="0"/>
          <a:ext cx="1" cy="1"/>
        </a:xfrm>
        <a:custGeom>
          <a:avLst/>
          <a:gdLst/>
          <a:ahLst/>
          <a:cxnLst/>
          <a:rect l="0" t="0" r="0" b="0"/>
          <a:pathLst/>
        </a:custGeom>
        <a:solidFill>
          <a:srgbClr xmlns:mc="http://schemas.openxmlformats.org/markup-compatibility/2006" xmlns:a14="http://schemas.microsoft.com/office/drawing/2010/main" val="090000" mc:Ignorable="a14" a14:legacySpreadsheetColorIndex="9"/>
        </a:solidFill>
        <a:ln w="9525" cap="flat" cmpd="sng" algn="ctr">
          <a:solidFill>
            <a:srgbClr xmlns:mc="http://schemas.openxmlformats.org/markup-compatibility/2006" xmlns:a14="http://schemas.microsoft.com/office/drawing/2010/main" val="400000" mc:Ignorable="a14" a14:legacySpreadsheetColorIndex="64"/>
          </a:solidFill>
          <a:prstDash val="solid"/>
          <a:round/>
          <a:headEnd type="none" w="med" len="med"/>
          <a:tailEnd type="none" w="med" len="med"/>
        </a:ln>
        <a:effectLst/>
      </a:spPr>
      <a:bodyPr vertOverflow="clip" wrap="square" lIns="18288" tIns="0" rIns="0" bIns="0" upright="1"/>
      <a:lstStyle/>
    </a:spDef>
    <a:lnDef>
      <a:spPr bwMode="auto">
        <a:xfrm>
          <a:off x="0" y="0"/>
          <a:ext cx="1" cy="1"/>
        </a:xfrm>
        <a:custGeom>
          <a:avLst/>
          <a:gdLst/>
          <a:ahLst/>
          <a:cxnLst/>
          <a:rect l="0" t="0" r="0" b="0"/>
          <a:pathLst/>
        </a:custGeom>
        <a:solidFill>
          <a:srgbClr xmlns:mc="http://schemas.openxmlformats.org/markup-compatibility/2006" xmlns:a14="http://schemas.microsoft.com/office/drawing/2010/main" val="090000" mc:Ignorable="a14" a14:legacySpreadsheetColorIndex="9"/>
        </a:solidFill>
        <a:ln w="9525" cap="flat" cmpd="sng" algn="ctr">
          <a:solidFill>
            <a:srgbClr xmlns:mc="http://schemas.openxmlformats.org/markup-compatibility/2006" xmlns:a14="http://schemas.microsoft.com/office/drawing/2010/main" val="400000" mc:Ignorable="a14" a14:legacySpreadsheetColorIndex="64"/>
          </a:solidFill>
          <a:prstDash val="solid"/>
          <a:round/>
          <a:headEnd type="none" w="med" len="med"/>
          <a:tailEnd type="none" w="med" len="med"/>
        </a:ln>
        <a:effectLst/>
      </a:spPr>
      <a:bodyPr vertOverflow="clip" wrap="square" lIns="18288" tIns="0" rIns="0" bIns="0" upright="1"/>
      <a:lstStyle/>
    </a:lnDef>
  </a:objectDefaults>
  <a:extraClrSchemeLst/>
</a:theme>
</file>

<file path=xl/worksheets/_rels/sheet2.xml.rels><?xml version="1.0" encoding="UTF-8" standalone="yes"?>
<Relationships xmlns="http://schemas.openxmlformats.org/package/2006/relationships"><Relationship Id="rId2" Type="http://schemas.openxmlformats.org/officeDocument/2006/relationships/comments" Target="../comments1.xml"/><Relationship Id="rId1" Type="http://schemas.openxmlformats.org/officeDocument/2006/relationships/vmlDrawing" Target="../drawings/vmlDrawing1.vml"/></Relationships>
</file>

<file path=xl/worksheets/_rels/sheet3.xml.rels><?xml version="1.0" encoding="UTF-8" standalone="yes"?>
<Relationships xmlns="http://schemas.openxmlformats.org/package/2006/relationships"><Relationship Id="rId2" Type="http://schemas.openxmlformats.org/officeDocument/2006/relationships/comments" Target="../comments2.xml"/><Relationship Id="rId1" Type="http://schemas.openxmlformats.org/officeDocument/2006/relationships/vmlDrawing" Target="../drawings/vmlDrawing2.vml"/></Relationships>
</file>

<file path=xl/worksheets/_rels/sheet5.xml.rels><?xml version="1.0" encoding="UTF-8" standalone="yes"?>
<Relationships xmlns="http://schemas.openxmlformats.org/package/2006/relationships"><Relationship Id="rId1" Type="http://schemas.openxmlformats.org/officeDocument/2006/relationships/table" Target="../tables/table1.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B31"/>
  <sheetViews>
    <sheetView workbookViewId="0">
      <selection activeCell="B19" sqref="B19"/>
    </sheetView>
  </sheetViews>
  <sheetFormatPr baseColWidth="10" defaultRowHeight="14"/>
  <cols>
    <col min="2" max="2" width="80.5703125" bestFit="1" customWidth="1"/>
  </cols>
  <sheetData>
    <row r="1" spans="1:2" s="17" customFormat="1" ht="19">
      <c r="A1" s="130" t="s">
        <v>32</v>
      </c>
      <c r="B1" s="130"/>
    </row>
    <row r="2" spans="1:2" s="16" customFormat="1" ht="18">
      <c r="A2" s="18" t="s">
        <v>33</v>
      </c>
      <c r="B2" s="19" t="s">
        <v>34</v>
      </c>
    </row>
    <row r="3" spans="1:2" s="16" customFormat="1" ht="18">
      <c r="A3" s="20"/>
      <c r="B3" s="20" t="s">
        <v>0</v>
      </c>
    </row>
    <row r="4" spans="1:2" s="16" customFormat="1" ht="18">
      <c r="A4" s="21"/>
      <c r="B4" s="21" t="s">
        <v>35</v>
      </c>
    </row>
    <row r="5" spans="1:2" s="16" customFormat="1" ht="18">
      <c r="A5" s="18" t="s">
        <v>36</v>
      </c>
      <c r="B5" s="22" t="s">
        <v>48</v>
      </c>
    </row>
    <row r="6" spans="1:2" s="16" customFormat="1" ht="18">
      <c r="A6" s="20"/>
      <c r="B6" s="20" t="s">
        <v>88</v>
      </c>
    </row>
    <row r="7" spans="1:2" s="16" customFormat="1" ht="18">
      <c r="A7" s="20"/>
      <c r="B7" s="20" t="s">
        <v>87</v>
      </c>
    </row>
    <row r="8" spans="1:2" s="16" customFormat="1" ht="18">
      <c r="A8" s="20"/>
      <c r="B8" s="20" t="s">
        <v>89</v>
      </c>
    </row>
    <row r="9" spans="1:2" s="16" customFormat="1" ht="18">
      <c r="A9" s="20"/>
      <c r="B9" s="20" t="s">
        <v>90</v>
      </c>
    </row>
    <row r="10" spans="1:2" s="16" customFormat="1" ht="38">
      <c r="A10" s="20"/>
      <c r="B10" s="59" t="s">
        <v>91</v>
      </c>
    </row>
    <row r="11" spans="1:2" s="16" customFormat="1" ht="18">
      <c r="A11" s="20"/>
      <c r="B11" s="20" t="s">
        <v>37</v>
      </c>
    </row>
    <row r="12" spans="1:2" s="16" customFormat="1" ht="18">
      <c r="A12" s="20"/>
      <c r="B12" s="20" t="s">
        <v>38</v>
      </c>
    </row>
    <row r="13" spans="1:2" s="16" customFormat="1" ht="18">
      <c r="A13" s="20"/>
      <c r="B13" s="23" t="s">
        <v>39</v>
      </c>
    </row>
    <row r="14" spans="1:2" s="16" customFormat="1" ht="38">
      <c r="A14" s="20"/>
      <c r="B14" s="58" t="s">
        <v>121</v>
      </c>
    </row>
    <row r="15" spans="1:2" s="16" customFormat="1" ht="19">
      <c r="A15" s="20"/>
      <c r="B15" s="58" t="s">
        <v>122</v>
      </c>
    </row>
    <row r="16" spans="1:2" s="16" customFormat="1" ht="38">
      <c r="A16" s="20"/>
      <c r="B16" s="58" t="s">
        <v>123</v>
      </c>
    </row>
    <row r="17" spans="1:2" s="16" customFormat="1" ht="38">
      <c r="A17" s="20"/>
      <c r="B17" s="58" t="s">
        <v>124</v>
      </c>
    </row>
    <row r="18" spans="1:2" s="16" customFormat="1" ht="38">
      <c r="A18" s="20"/>
      <c r="B18" s="58" t="s">
        <v>125</v>
      </c>
    </row>
    <row r="19" spans="1:2" s="16" customFormat="1" ht="19">
      <c r="A19" s="20"/>
      <c r="B19" s="59" t="s">
        <v>49</v>
      </c>
    </row>
    <row r="20" spans="1:2" s="16" customFormat="1" ht="38">
      <c r="A20" s="20"/>
      <c r="B20" s="58" t="s">
        <v>40</v>
      </c>
    </row>
    <row r="21" spans="1:2" s="16" customFormat="1" ht="19">
      <c r="A21" s="20"/>
      <c r="B21" s="58" t="s">
        <v>50</v>
      </c>
    </row>
    <row r="22" spans="1:2" s="16" customFormat="1" ht="38">
      <c r="A22" s="21"/>
      <c r="B22" s="60" t="s">
        <v>41</v>
      </c>
    </row>
    <row r="23" spans="1:2" s="16" customFormat="1" ht="18">
      <c r="A23" s="18" t="s">
        <v>42</v>
      </c>
      <c r="B23" s="22" t="s">
        <v>43</v>
      </c>
    </row>
    <row r="24" spans="1:2" s="16" customFormat="1" ht="18">
      <c r="A24" s="20"/>
      <c r="B24" s="20" t="s">
        <v>44</v>
      </c>
    </row>
    <row r="25" spans="1:2" s="16" customFormat="1" ht="18">
      <c r="A25" s="20"/>
      <c r="B25" s="20" t="s">
        <v>45</v>
      </c>
    </row>
    <row r="26" spans="1:2" s="16" customFormat="1" ht="18">
      <c r="A26" s="20"/>
      <c r="B26" s="20" t="s">
        <v>46</v>
      </c>
    </row>
    <row r="27" spans="1:2" s="16" customFormat="1" ht="18">
      <c r="A27" s="20"/>
      <c r="B27" s="23" t="s">
        <v>57</v>
      </c>
    </row>
    <row r="28" spans="1:2" s="16" customFormat="1" ht="18">
      <c r="A28" s="20"/>
      <c r="B28" s="20" t="s">
        <v>2</v>
      </c>
    </row>
    <row r="29" spans="1:2" s="16" customFormat="1" ht="18">
      <c r="A29" s="20"/>
      <c r="B29" s="20" t="s">
        <v>3</v>
      </c>
    </row>
    <row r="30" spans="1:2" s="16" customFormat="1" ht="18">
      <c r="A30" s="21"/>
      <c r="B30" s="21" t="s">
        <v>4</v>
      </c>
    </row>
    <row r="31" spans="1:2" s="1" customFormat="1" ht="13"/>
  </sheetData>
  <mergeCells count="1">
    <mergeCell ref="A1:B1"/>
  </mergeCells>
  <phoneticPr fontId="11" type="noConversion"/>
  <pageMargins left="0.75" right="0.75" top="1" bottom="1" header="0.5" footer="0.5"/>
  <headerFooter alignWithMargins="0"/>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L66"/>
  <sheetViews>
    <sheetView tabSelected="1" topLeftCell="A32" zoomScale="132" zoomScaleNormal="132" workbookViewId="0">
      <selection activeCell="C41" sqref="C41"/>
    </sheetView>
  </sheetViews>
  <sheetFormatPr baseColWidth="10" defaultRowHeight="14"/>
  <cols>
    <col min="2" max="2" width="16.42578125" customWidth="1"/>
    <col min="3" max="3" width="21" bestFit="1" customWidth="1"/>
    <col min="4" max="4" width="30.28515625" bestFit="1" customWidth="1"/>
    <col min="5" max="5" width="15.28515625" bestFit="1" customWidth="1"/>
    <col min="6" max="6" width="12" customWidth="1"/>
  </cols>
  <sheetData>
    <row r="1" spans="1:12" s="26" customFormat="1" ht="16">
      <c r="A1" s="26" t="s">
        <v>8</v>
      </c>
    </row>
    <row r="2" spans="1:12" s="25" customFormat="1" ht="20" customHeight="1">
      <c r="A2" s="25" t="s">
        <v>63</v>
      </c>
      <c r="E2" s="27">
        <v>5</v>
      </c>
      <c r="F2" s="25" t="s">
        <v>64</v>
      </c>
    </row>
    <row r="3" spans="1:12" s="25" customFormat="1" ht="20" customHeight="1">
      <c r="A3" s="25" t="s">
        <v>106</v>
      </c>
      <c r="E3" s="37">
        <v>0.11579296585803885</v>
      </c>
    </row>
    <row r="4" spans="1:12" s="25" customFormat="1" ht="20" customHeight="1">
      <c r="A4" s="25" t="s">
        <v>104</v>
      </c>
      <c r="E4" s="27" t="s">
        <v>101</v>
      </c>
    </row>
    <row r="5" spans="1:12" s="25" customFormat="1" ht="20" customHeight="1">
      <c r="A5" s="25" t="s">
        <v>105</v>
      </c>
      <c r="E5" s="37">
        <v>0.4</v>
      </c>
    </row>
    <row r="6" spans="1:12" s="25" customFormat="1" ht="20" customHeight="1">
      <c r="D6" s="24"/>
      <c r="E6" s="24" t="s">
        <v>27</v>
      </c>
    </row>
    <row r="7" spans="1:12" s="25" customFormat="1" ht="20" customHeight="1">
      <c r="A7" s="132" t="s">
        <v>117</v>
      </c>
      <c r="B7" s="132"/>
      <c r="C7" s="132"/>
      <c r="D7" s="132"/>
      <c r="E7" s="132"/>
      <c r="F7" s="132"/>
    </row>
    <row r="8" spans="1:12" s="24" customFormat="1" ht="20" customHeight="1">
      <c r="A8" s="29" t="s">
        <v>47</v>
      </c>
      <c r="B8" s="30" t="s">
        <v>19</v>
      </c>
      <c r="C8" s="30" t="s">
        <v>94</v>
      </c>
      <c r="D8" s="30" t="s">
        <v>126</v>
      </c>
      <c r="E8" s="30" t="s">
        <v>81</v>
      </c>
      <c r="F8" s="30" t="s">
        <v>82</v>
      </c>
      <c r="H8"/>
      <c r="I8"/>
      <c r="J8"/>
      <c r="K8"/>
      <c r="L8"/>
    </row>
    <row r="9" spans="1:12" s="25" customFormat="1" ht="20" customHeight="1">
      <c r="A9" s="31">
        <f>IF($E$2&lt;1,0,1)</f>
        <v>1</v>
      </c>
      <c r="B9" s="32">
        <v>6136</v>
      </c>
      <c r="C9" s="33">
        <v>2192</v>
      </c>
      <c r="D9" s="33">
        <v>2796</v>
      </c>
      <c r="E9" s="33">
        <v>-133</v>
      </c>
      <c r="F9" s="33">
        <f>3931-2050</f>
        <v>1881</v>
      </c>
    </row>
    <row r="10" spans="1:12" s="25" customFormat="1" ht="20" customHeight="1">
      <c r="A10" s="31">
        <f>IF($E$2&lt;2,0,2)</f>
        <v>2</v>
      </c>
      <c r="B10" s="32">
        <v>5682</v>
      </c>
      <c r="C10" s="33">
        <v>1987</v>
      </c>
      <c r="D10" s="33">
        <v>3784</v>
      </c>
      <c r="E10" s="33">
        <v>940</v>
      </c>
      <c r="F10" s="33">
        <f>3779+467</f>
        <v>4246</v>
      </c>
    </row>
    <row r="11" spans="1:12" s="25" customFormat="1" ht="20" customHeight="1">
      <c r="A11" s="31">
        <f>IF($E$2&lt;3,0,3)</f>
        <v>3</v>
      </c>
      <c r="B11" s="32">
        <v>4807</v>
      </c>
      <c r="C11" s="33">
        <v>1841</v>
      </c>
      <c r="D11" s="33">
        <v>3559</v>
      </c>
      <c r="E11" s="33">
        <v>950</v>
      </c>
      <c r="F11" s="33">
        <f>2350+393</f>
        <v>2743</v>
      </c>
    </row>
    <row r="12" spans="1:12" s="25" customFormat="1" ht="20" customHeight="1">
      <c r="A12" s="31">
        <f>IF($E$2&lt;4,0,4)</f>
        <v>4</v>
      </c>
      <c r="B12" s="32">
        <v>3963</v>
      </c>
      <c r="C12" s="33">
        <v>1713</v>
      </c>
      <c r="D12" s="33">
        <v>2110</v>
      </c>
      <c r="E12" s="33">
        <v>308</v>
      </c>
      <c r="F12" s="33">
        <v>1190</v>
      </c>
    </row>
    <row r="13" spans="1:12" s="25" customFormat="1" ht="20" customHeight="1">
      <c r="A13" s="31">
        <f>IF($E$2&lt;5,0,5)</f>
        <v>5</v>
      </c>
      <c r="B13" s="32">
        <v>3307</v>
      </c>
      <c r="C13" s="33">
        <v>1631</v>
      </c>
      <c r="D13" s="33">
        <v>1753</v>
      </c>
      <c r="E13" s="33">
        <v>-109</v>
      </c>
      <c r="F13" s="33">
        <f>1750-1985</f>
        <v>-235</v>
      </c>
    </row>
    <row r="14" spans="1:12" s="25" customFormat="1" ht="20" customHeight="1">
      <c r="A14" s="31">
        <f>IF($E$2&lt;6,0,6)</f>
        <v>0</v>
      </c>
      <c r="B14" s="32">
        <v>4427</v>
      </c>
      <c r="C14" s="33">
        <v>1582</v>
      </c>
      <c r="D14" s="33">
        <v>1586</v>
      </c>
      <c r="E14" s="33">
        <v>485</v>
      </c>
      <c r="F14" s="33">
        <f>1706-701</f>
        <v>1005</v>
      </c>
    </row>
    <row r="15" spans="1:12" s="25" customFormat="1" ht="20" customHeight="1">
      <c r="A15" s="31">
        <f>IF($E$2&lt;7,0,7)</f>
        <v>0</v>
      </c>
      <c r="B15" s="32">
        <v>4687</v>
      </c>
      <c r="C15" s="33">
        <v>1491</v>
      </c>
      <c r="D15" s="33">
        <v>1566</v>
      </c>
      <c r="E15" s="33">
        <v>45</v>
      </c>
      <c r="F15" s="33">
        <f>3143+1847</f>
        <v>4990</v>
      </c>
    </row>
    <row r="16" spans="1:12" s="25" customFormat="1" ht="20" customHeight="1">
      <c r="A16" s="31">
        <f>IF($E$2&lt;8,0,8)</f>
        <v>0</v>
      </c>
      <c r="B16" s="32">
        <v>3374</v>
      </c>
      <c r="C16" s="33">
        <v>1437</v>
      </c>
      <c r="D16" s="33">
        <v>1319</v>
      </c>
      <c r="E16" s="33">
        <v>-136</v>
      </c>
      <c r="F16" s="33">
        <f>2806+85</f>
        <v>2891</v>
      </c>
    </row>
    <row r="17" spans="1:6" s="25" customFormat="1" ht="20" customHeight="1">
      <c r="A17" s="31">
        <f>IF($E$2&lt;9,0,9)</f>
        <v>0</v>
      </c>
      <c r="B17" s="32">
        <v>2533</v>
      </c>
      <c r="C17" s="33">
        <v>1339</v>
      </c>
      <c r="D17" s="33">
        <v>1823</v>
      </c>
      <c r="E17" s="33">
        <v>270</v>
      </c>
      <c r="F17" s="33">
        <f>422+654</f>
        <v>1076</v>
      </c>
    </row>
    <row r="18" spans="1:6" s="25" customFormat="1" ht="20" customHeight="1">
      <c r="A18" s="31">
        <f>IF($E$2&lt;10,0,10)</f>
        <v>0</v>
      </c>
      <c r="B18" s="32">
        <v>2345</v>
      </c>
      <c r="C18" s="33">
        <v>1210</v>
      </c>
      <c r="D18" s="33">
        <v>1427</v>
      </c>
      <c r="E18" s="33">
        <v>51</v>
      </c>
      <c r="F18" s="33">
        <f>176+100</f>
        <v>276</v>
      </c>
    </row>
    <row r="19" spans="1:6" s="25" customFormat="1" ht="20" customHeight="1"/>
    <row r="20" spans="1:6" s="25" customFormat="1" ht="20" customHeight="1">
      <c r="A20" s="24" t="s">
        <v>118</v>
      </c>
    </row>
    <row r="21" spans="1:6" s="24" customFormat="1" ht="20" customHeight="1">
      <c r="A21" s="29" t="s">
        <v>47</v>
      </c>
      <c r="B21" s="29" t="s">
        <v>93</v>
      </c>
      <c r="C21" s="28" t="s">
        <v>58</v>
      </c>
      <c r="D21" s="34"/>
    </row>
    <row r="22" spans="1:6" s="25" customFormat="1" ht="20" customHeight="1">
      <c r="A22" s="31">
        <f>IF($E$2&lt;1,0,1)</f>
        <v>1</v>
      </c>
      <c r="B22" s="33">
        <v>1324</v>
      </c>
      <c r="C22" s="33">
        <v>4087</v>
      </c>
    </row>
    <row r="23" spans="1:6" s="25" customFormat="1" ht="20" customHeight="1">
      <c r="A23" s="31">
        <f>IF($E$2&lt;2,0,2)</f>
        <v>2</v>
      </c>
      <c r="B23" s="33">
        <v>1076</v>
      </c>
      <c r="C23" s="33">
        <v>3015</v>
      </c>
    </row>
    <row r="24" spans="1:6" s="25" customFormat="1" ht="20" customHeight="1">
      <c r="A24" s="31">
        <f>IF($E$2&lt;3,0,3)</f>
        <v>3</v>
      </c>
      <c r="B24" s="33">
        <v>756</v>
      </c>
      <c r="C24" s="33">
        <v>4993</v>
      </c>
    </row>
    <row r="25" spans="1:6" s="25" customFormat="1" ht="20" customHeight="1">
      <c r="A25" s="31">
        <f>IF($E$2&lt;4,0,4)</f>
        <v>4</v>
      </c>
      <c r="B25" s="33">
        <v>653</v>
      </c>
      <c r="C25" s="33">
        <v>2669</v>
      </c>
    </row>
    <row r="26" spans="1:6" s="25" customFormat="1" ht="20" customHeight="1">
      <c r="A26" s="31">
        <f>IF($E$2&lt;5,0,5)</f>
        <v>5</v>
      </c>
      <c r="B26" s="33">
        <v>648</v>
      </c>
      <c r="C26" s="33">
        <v>648</v>
      </c>
    </row>
    <row r="27" spans="1:6" s="25" customFormat="1" ht="20" customHeight="1">
      <c r="A27" s="31">
        <f>IF($E$2&lt;6,0,6)</f>
        <v>0</v>
      </c>
      <c r="B27" s="33">
        <v>664</v>
      </c>
      <c r="C27" s="33">
        <v>4453</v>
      </c>
    </row>
    <row r="28" spans="1:6" s="25" customFormat="1" ht="20" customHeight="1">
      <c r="A28" s="31">
        <f>IF($E$2&lt;7,0,7)</f>
        <v>0</v>
      </c>
      <c r="B28" s="33">
        <v>637</v>
      </c>
      <c r="C28" s="33">
        <v>6923</v>
      </c>
    </row>
    <row r="29" spans="1:6" s="25" customFormat="1" ht="20" customHeight="1">
      <c r="A29" s="31">
        <f>IF($E$2&lt;8,0,8)</f>
        <v>0</v>
      </c>
      <c r="B29" s="33">
        <v>519</v>
      </c>
      <c r="C29" s="33">
        <v>6898</v>
      </c>
    </row>
    <row r="30" spans="1:6" s="25" customFormat="1" ht="20" customHeight="1">
      <c r="A30" s="31">
        <f>IF($E$2&lt;9,0,9)</f>
        <v>0</v>
      </c>
      <c r="B30" s="33">
        <v>490</v>
      </c>
      <c r="C30" s="33">
        <v>2420</v>
      </c>
    </row>
    <row r="31" spans="1:6" s="25" customFormat="1" ht="20" customHeight="1">
      <c r="A31" s="31">
        <f>IF($E$2&lt;10,0,10)</f>
        <v>0</v>
      </c>
      <c r="B31" s="33">
        <v>430</v>
      </c>
      <c r="C31" s="33">
        <v>335</v>
      </c>
    </row>
    <row r="32" spans="1:6" s="25" customFormat="1" ht="20" customHeight="1"/>
    <row r="33" spans="1:6" s="26" customFormat="1" ht="16">
      <c r="A33" s="26" t="s">
        <v>9</v>
      </c>
    </row>
    <row r="34" spans="1:6" s="24" customFormat="1" ht="20" customHeight="1">
      <c r="A34" s="24" t="s">
        <v>6</v>
      </c>
    </row>
    <row r="35" spans="1:6" s="24" customFormat="1" ht="20" customHeight="1">
      <c r="A35" s="24" t="s">
        <v>7</v>
      </c>
    </row>
    <row r="36" spans="1:6" s="24" customFormat="1" ht="20" customHeight="1">
      <c r="A36" s="24" t="s">
        <v>59</v>
      </c>
    </row>
    <row r="37" spans="1:6" s="25" customFormat="1" ht="20" customHeight="1">
      <c r="A37" s="25" t="s">
        <v>51</v>
      </c>
      <c r="D37" s="35">
        <v>0.90110000000000001</v>
      </c>
    </row>
    <row r="38" spans="1:6" s="25" customFormat="1" ht="20" customHeight="1">
      <c r="D38" s="36"/>
    </row>
    <row r="39" spans="1:6" s="25" customFormat="1" ht="20" customHeight="1">
      <c r="A39" s="24" t="s">
        <v>119</v>
      </c>
    </row>
    <row r="40" spans="1:6" s="24" customFormat="1" ht="20" customHeight="1">
      <c r="A40" s="29" t="s">
        <v>47</v>
      </c>
      <c r="B40" s="29" t="s">
        <v>52</v>
      </c>
      <c r="C40" s="29" t="s">
        <v>95</v>
      </c>
      <c r="D40" s="29" t="s">
        <v>1</v>
      </c>
      <c r="E40" s="30" t="s">
        <v>54</v>
      </c>
    </row>
    <row r="41" spans="1:6" s="25" customFormat="1" ht="20" customHeight="1">
      <c r="A41" s="31">
        <f>IF($E$2&lt;1,0,1)</f>
        <v>1</v>
      </c>
      <c r="B41" s="33">
        <v>380078</v>
      </c>
      <c r="C41" s="37">
        <v>0.3533</v>
      </c>
      <c r="D41" s="49">
        <f>'Historical Stock and T.Bills'!C96</f>
        <v>2.0899999999999998E-2</v>
      </c>
      <c r="E41" s="49">
        <f>'Historical Stock and T.Bills'!B96</f>
        <v>-0.18037505927178585</v>
      </c>
      <c r="F41" s="24" t="s">
        <v>98</v>
      </c>
    </row>
    <row r="42" spans="1:6" s="25" customFormat="1" ht="20" customHeight="1">
      <c r="A42" s="31">
        <f>IF($E$2&lt;2,0,2)</f>
        <v>2</v>
      </c>
      <c r="B42" s="33">
        <v>330056</v>
      </c>
      <c r="C42" s="37">
        <v>0.1065</v>
      </c>
      <c r="D42" s="49">
        <f>'Historical Stock and T.Bills'!C95</f>
        <v>4.0000000000000002E-4</v>
      </c>
      <c r="E42" s="49">
        <f>'Historical Stock and T.Bills'!B95</f>
        <v>0.28468851751964158</v>
      </c>
      <c r="F42" s="24" t="s">
        <v>99</v>
      </c>
    </row>
    <row r="43" spans="1:6" s="25" customFormat="1" ht="20" customHeight="1">
      <c r="A43" s="31">
        <f>IF($E$2&lt;3,0,3)</f>
        <v>3</v>
      </c>
      <c r="B43" s="33">
        <v>194181</v>
      </c>
      <c r="C43" s="37">
        <v>-5.1499999999999997E-2</v>
      </c>
      <c r="D43" s="49">
        <f>'Historical Stock and T.Bills'!C94</f>
        <v>3.5999999999999999E-3</v>
      </c>
      <c r="E43" s="49">
        <f>'Historical Stock and T.Bills'!B94</f>
        <v>0.18023201827422478</v>
      </c>
      <c r="F43" s="24" t="s">
        <v>100</v>
      </c>
    </row>
    <row r="44" spans="1:6" s="25" customFormat="1" ht="20" customHeight="1">
      <c r="A44" s="31">
        <f>IF($E$2&lt;4,0,4)</f>
        <v>4</v>
      </c>
      <c r="B44" s="33">
        <v>84200</v>
      </c>
      <c r="C44" s="37">
        <v>0.16220000000000001</v>
      </c>
      <c r="D44" s="49">
        <f>'Historical Stock and T.Bills'!C93</f>
        <v>2.1099999999999997E-2</v>
      </c>
      <c r="E44" s="49">
        <f>'Historical Stock and T.Bills'!B93</f>
        <v>0.31211679996808755</v>
      </c>
      <c r="F44" s="24" t="s">
        <v>97</v>
      </c>
    </row>
    <row r="45" spans="1:6" s="25" customFormat="1" ht="20" customHeight="1">
      <c r="A45" s="31">
        <f>IF($E$2&lt;5,0,5)</f>
        <v>5</v>
      </c>
      <c r="B45" s="33">
        <v>63437</v>
      </c>
      <c r="C45" s="37">
        <v>0.31169999999999998</v>
      </c>
      <c r="D45" s="49">
        <f>'Historical Stock and T.Bills'!C92</f>
        <v>1.9699999999999999E-2</v>
      </c>
      <c r="E45" s="49">
        <f>'Historical Stock and T.Bills'!B92</f>
        <v>-4.2268692890885438E-2</v>
      </c>
      <c r="F45" s="24"/>
    </row>
    <row r="46" spans="1:6" s="25" customFormat="1" ht="20" customHeight="1">
      <c r="A46" s="31">
        <f>IF($E$2&lt;6,0,6)</f>
        <v>0</v>
      </c>
      <c r="B46" s="33">
        <v>91658</v>
      </c>
      <c r="C46" s="37">
        <f>38.3%</f>
        <v>0.38299999999999995</v>
      </c>
      <c r="D46" s="49">
        <f>'Historical Stock and T.Bills'!C91</f>
        <v>9.4999999999999998E-3</v>
      </c>
      <c r="E46" s="49">
        <f>'Historical Stock and T.Bills'!B91</f>
        <v>0.2160548143449928</v>
      </c>
    </row>
    <row r="47" spans="1:6" s="25" customFormat="1" ht="20" customHeight="1">
      <c r="A47" s="31">
        <f>IF($E$2&lt;7,0,7)</f>
        <v>0</v>
      </c>
      <c r="B47" s="33">
        <v>79717</v>
      </c>
      <c r="C47" s="37">
        <v>-3.4500000000000003E-2</v>
      </c>
      <c r="D47" s="49">
        <f>'Historical Stock and T.Bills'!C90</f>
        <v>3.2000000000000002E-3</v>
      </c>
      <c r="E47" s="49">
        <f>'Historical Stock and T.Bills'!B90</f>
        <v>0.11773080874798171</v>
      </c>
    </row>
    <row r="48" spans="1:6" s="25" customFormat="1" ht="20" customHeight="1">
      <c r="A48" s="31">
        <f>IF($E$2&lt;8,0,8)</f>
        <v>0</v>
      </c>
      <c r="B48" s="33">
        <v>63054</v>
      </c>
      <c r="C48" s="37">
        <v>0.1027</v>
      </c>
      <c r="D48" s="49">
        <f>'Historical Stock and T.Bills'!C89</f>
        <v>5.0000000000000001E-4</v>
      </c>
      <c r="E48" s="49">
        <f>'Historical Stock and T.Bills'!B89</f>
        <v>1.3788916411676138E-2</v>
      </c>
    </row>
    <row r="49" spans="1:7" s="25" customFormat="1" ht="20" customHeight="1">
      <c r="A49" s="31">
        <f>IF($E$2&lt;9,0,9)</f>
        <v>0</v>
      </c>
      <c r="B49" s="33">
        <v>44602</v>
      </c>
      <c r="C49" s="37">
        <v>-0.11550000000000001</v>
      </c>
      <c r="D49" s="49">
        <f>'Historical Stock and T.Bills'!C89</f>
        <v>5.0000000000000001E-4</v>
      </c>
      <c r="E49" s="49">
        <f>'Historical Stock and T.Bills'!B88</f>
        <v>0.13524421649462237</v>
      </c>
    </row>
    <row r="50" spans="1:7" s="25" customFormat="1" ht="20" customHeight="1">
      <c r="A50" s="31">
        <f>IF($E$2&lt;10,0,10)</f>
        <v>0</v>
      </c>
      <c r="B50" s="33">
        <v>37019</v>
      </c>
      <c r="C50" s="37">
        <v>7.5999999999999998E-2</v>
      </c>
      <c r="D50" s="49">
        <f>'Historical Stock and T.Bills'!C87</f>
        <v>5.9999999999999995E-4</v>
      </c>
      <c r="E50" s="49">
        <f>'Historical Stock and T.Bills'!B87</f>
        <v>0.32145085858125483</v>
      </c>
    </row>
    <row r="51" spans="1:7" s="25" customFormat="1" ht="16"/>
    <row r="52" spans="1:7" s="25" customFormat="1" ht="16"/>
    <row r="53" spans="1:7" s="25" customFormat="1" ht="16">
      <c r="A53" s="131" t="s">
        <v>92</v>
      </c>
      <c r="B53" s="131"/>
      <c r="C53" s="131"/>
      <c r="D53" s="131"/>
      <c r="E53" s="131"/>
      <c r="F53" s="131"/>
      <c r="G53" s="26"/>
    </row>
    <row r="54" spans="1:7" s="25" customFormat="1" ht="16">
      <c r="A54" s="24" t="s">
        <v>86</v>
      </c>
    </row>
    <row r="55" spans="1:7" s="25" customFormat="1" ht="20" customHeight="1">
      <c r="A55" s="38" t="s">
        <v>12</v>
      </c>
      <c r="B55" s="38"/>
      <c r="C55" s="38"/>
      <c r="D55" s="38"/>
      <c r="E55" s="39">
        <v>0.05</v>
      </c>
    </row>
    <row r="56" spans="1:7" s="25" customFormat="1" ht="20" customHeight="1">
      <c r="A56" s="38" t="s">
        <v>13</v>
      </c>
      <c r="B56" s="38"/>
      <c r="C56" s="38"/>
      <c r="D56" s="38"/>
      <c r="E56" s="39">
        <v>0.05</v>
      </c>
    </row>
    <row r="57" spans="1:7" s="25" customFormat="1" ht="20" customHeight="1">
      <c r="A57" s="38" t="s">
        <v>14</v>
      </c>
      <c r="B57" s="38"/>
      <c r="C57" s="38"/>
      <c r="D57" s="38"/>
      <c r="E57" s="39">
        <v>0.05</v>
      </c>
    </row>
    <row r="58" spans="1:7" s="25" customFormat="1" ht="20" customHeight="1">
      <c r="A58" s="38" t="s">
        <v>15</v>
      </c>
      <c r="B58" s="38"/>
      <c r="C58" s="38"/>
      <c r="D58" s="38"/>
      <c r="E58" s="39">
        <v>0.05</v>
      </c>
    </row>
    <row r="59" spans="1:7" s="25" customFormat="1" ht="20" customHeight="1">
      <c r="A59" s="40" t="s">
        <v>25</v>
      </c>
      <c r="B59" s="41"/>
      <c r="C59" s="41"/>
      <c r="D59" s="41"/>
      <c r="E59" s="39">
        <v>0.06</v>
      </c>
    </row>
    <row r="60" spans="1:7" s="25" customFormat="1" ht="20" customHeight="1">
      <c r="A60" s="42" t="s">
        <v>16</v>
      </c>
      <c r="B60" s="43"/>
      <c r="C60" s="43"/>
      <c r="D60" s="43"/>
      <c r="E60" s="44">
        <v>42278</v>
      </c>
    </row>
    <row r="61" spans="1:7" s="25" customFormat="1" ht="20" customHeight="1">
      <c r="A61" s="42" t="s">
        <v>29</v>
      </c>
      <c r="B61" s="43"/>
      <c r="C61" s="43"/>
      <c r="D61" s="43"/>
      <c r="E61" s="56">
        <f>B9</f>
        <v>6136</v>
      </c>
    </row>
    <row r="62" spans="1:7" s="25" customFormat="1" ht="20" customHeight="1">
      <c r="A62" s="42" t="s">
        <v>30</v>
      </c>
      <c r="B62" s="43"/>
      <c r="C62" s="43"/>
      <c r="D62" s="43"/>
      <c r="E62" s="56">
        <f>D9</f>
        <v>2796</v>
      </c>
    </row>
    <row r="63" spans="1:7" s="25" customFormat="1" ht="20" customHeight="1">
      <c r="A63" s="42" t="s">
        <v>28</v>
      </c>
      <c r="B63" s="43"/>
      <c r="C63" s="43"/>
      <c r="D63" s="43"/>
      <c r="E63" s="56">
        <f>C9</f>
        <v>2192</v>
      </c>
    </row>
    <row r="64" spans="1:7" s="25" customFormat="1" ht="20" customHeight="1">
      <c r="A64" s="42" t="s">
        <v>31</v>
      </c>
      <c r="B64" s="43"/>
      <c r="C64" s="43"/>
      <c r="D64" s="43"/>
      <c r="E64" s="56">
        <f>B22</f>
        <v>1324</v>
      </c>
    </row>
    <row r="65" spans="1:6" s="25" customFormat="1" ht="20" customHeight="1">
      <c r="A65" s="45"/>
      <c r="B65" s="45"/>
      <c r="C65" s="45"/>
      <c r="D65" s="46"/>
    </row>
    <row r="66" spans="1:6" s="25" customFormat="1" ht="20" customHeight="1">
      <c r="A66" s="47" t="s">
        <v>17</v>
      </c>
      <c r="B66" s="47"/>
      <c r="C66" s="47"/>
      <c r="D66" s="48">
        <v>0.05</v>
      </c>
      <c r="E66" s="45"/>
      <c r="F66" s="46"/>
    </row>
  </sheetData>
  <mergeCells count="2">
    <mergeCell ref="A53:F53"/>
    <mergeCell ref="A7:F7"/>
  </mergeCells>
  <phoneticPr fontId="11" type="noConversion"/>
  <pageMargins left="0.75" right="0.75" top="1" bottom="1" header="0.5" footer="0.5"/>
  <pageSetup orientation="portrait" horizontalDpi="4294967292" verticalDpi="4294967292"/>
  <headerFooter alignWithMargins="0"/>
  <legacyDrawing r:id="rId1"/>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M51"/>
  <sheetViews>
    <sheetView showGridLines="0" showZeros="0" workbookViewId="0">
      <selection activeCell="A2" sqref="A1:M65536"/>
    </sheetView>
  </sheetViews>
  <sheetFormatPr baseColWidth="10" defaultRowHeight="16"/>
  <cols>
    <col min="1" max="13" width="30.5703125" style="80" customWidth="1"/>
  </cols>
  <sheetData>
    <row r="1" spans="1:13" s="17" customFormat="1" ht="15" customHeight="1">
      <c r="A1" s="133" t="s">
        <v>26</v>
      </c>
      <c r="B1" s="133"/>
      <c r="C1" s="133"/>
      <c r="D1" s="133"/>
      <c r="E1" s="133"/>
      <c r="F1" s="133"/>
      <c r="G1" s="133"/>
      <c r="H1" s="133"/>
      <c r="I1" s="133"/>
      <c r="J1" s="133"/>
      <c r="K1" s="75"/>
      <c r="L1" s="75"/>
      <c r="M1" s="75"/>
    </row>
    <row r="2" spans="1:13" s="1" customFormat="1" ht="20" customHeight="1">
      <c r="A2" s="76"/>
      <c r="B2" s="77">
        <f>Inputs!A22</f>
        <v>1</v>
      </c>
      <c r="C2" s="77">
        <f>Inputs!A23</f>
        <v>2</v>
      </c>
      <c r="D2" s="77">
        <f>Inputs!A24</f>
        <v>3</v>
      </c>
      <c r="E2" s="77">
        <f>Inputs!A25</f>
        <v>4</v>
      </c>
      <c r="F2" s="77">
        <f>Inputs!A26</f>
        <v>5</v>
      </c>
      <c r="G2" s="77">
        <f>Inputs!A27</f>
        <v>0</v>
      </c>
      <c r="H2" s="77">
        <f>Inputs!A28</f>
        <v>0</v>
      </c>
      <c r="I2" s="77">
        <f>Inputs!A29</f>
        <v>0</v>
      </c>
      <c r="J2" s="77">
        <f>Inputs!A30</f>
        <v>0</v>
      </c>
      <c r="K2" s="78">
        <f>Inputs!A31</f>
        <v>0</v>
      </c>
      <c r="L2" s="79" t="s">
        <v>102</v>
      </c>
      <c r="M2" s="80"/>
    </row>
    <row r="3" spans="1:13" s="1" customFormat="1" ht="20" customHeight="1">
      <c r="A3" s="76" t="s">
        <v>19</v>
      </c>
      <c r="B3" s="81">
        <f>IF(B2&gt;0,Inputs!B9,0)</f>
        <v>6136</v>
      </c>
      <c r="C3" s="81">
        <f>IF(C2&gt;0,Inputs!B10," ")</f>
        <v>5682</v>
      </c>
      <c r="D3" s="81">
        <f>IF(D2&gt;0,Inputs!B11," ")</f>
        <v>4807</v>
      </c>
      <c r="E3" s="81">
        <f>IF(E2&gt;0,Inputs!B12," ")</f>
        <v>3963</v>
      </c>
      <c r="F3" s="81">
        <f>IF(F2&gt;0,Inputs!B13," ")</f>
        <v>3307</v>
      </c>
      <c r="G3" s="81" t="str">
        <f>IF(G2&gt;0,Inputs!B14," ")</f>
        <v xml:space="preserve"> </v>
      </c>
      <c r="H3" s="81" t="str">
        <f>IF(H2&gt;0,Inputs!B15," ")</f>
        <v xml:space="preserve"> </v>
      </c>
      <c r="I3" s="81" t="str">
        <f>IF(I2&gt;0,Inputs!B16," ")</f>
        <v xml:space="preserve"> </v>
      </c>
      <c r="J3" s="81" t="str">
        <f>IF(J2&gt;0,Inputs!B17," ")</f>
        <v xml:space="preserve"> </v>
      </c>
      <c r="K3" s="82" t="str">
        <f>IF(K2&gt;0,Inputs!B18," ")</f>
        <v xml:space="preserve"> </v>
      </c>
      <c r="L3" s="83">
        <f>SUM(B3:K3)</f>
        <v>23895</v>
      </c>
      <c r="M3" s="80"/>
    </row>
    <row r="4" spans="1:13" s="1" customFormat="1" ht="20" customHeight="1">
      <c r="A4" s="76" t="s">
        <v>84</v>
      </c>
      <c r="B4" s="81">
        <f>IF(B2&gt;0,Inputs!D9-Inputs!C9," ")</f>
        <v>604</v>
      </c>
      <c r="C4" s="81">
        <f>IF(C2&gt;0,Inputs!D10-Inputs!C10," ")</f>
        <v>1797</v>
      </c>
      <c r="D4" s="81">
        <f>IF(D2&gt;0,Inputs!D11-Inputs!C11," ")</f>
        <v>1718</v>
      </c>
      <c r="E4" s="81">
        <f>IF(E2&gt;0,Inputs!D12-Inputs!C12," ")</f>
        <v>397</v>
      </c>
      <c r="F4" s="81">
        <f>IF(F2&gt;0,Inputs!D13-Inputs!C13," ")</f>
        <v>122</v>
      </c>
      <c r="G4" s="81" t="str">
        <f>IF(G2&gt;0,Inputs!D14-Inputs!C14," ")</f>
        <v xml:space="preserve"> </v>
      </c>
      <c r="H4" s="81" t="str">
        <f>IF(H2&gt;0,Inputs!D15-Inputs!C15," ")</f>
        <v xml:space="preserve"> </v>
      </c>
      <c r="I4" s="81" t="str">
        <f>IF(I2&gt;0,Inputs!D16-Inputs!C16," ")</f>
        <v xml:space="preserve"> </v>
      </c>
      <c r="J4" s="81" t="str">
        <f>IF(J2&gt;0,Inputs!D17-Inputs!C17," ")</f>
        <v xml:space="preserve"> </v>
      </c>
      <c r="K4" s="82" t="str">
        <f>IF(K2&gt;0,Inputs!D18-Inputs!C18," ")</f>
        <v xml:space="preserve"> </v>
      </c>
      <c r="L4" s="83">
        <f t="shared" ref="L4:L9" si="0">SUM(B4:K4)</f>
        <v>4638</v>
      </c>
      <c r="M4" s="80"/>
    </row>
    <row r="5" spans="1:13" s="1" customFormat="1" ht="20" customHeight="1" thickBot="1">
      <c r="A5" s="84" t="s">
        <v>85</v>
      </c>
      <c r="B5" s="85">
        <f>IF(B2&gt;0,Inputs!E9," ")</f>
        <v>-133</v>
      </c>
      <c r="C5" s="85">
        <f>IF(C2&gt;0,Inputs!E10," ")</f>
        <v>940</v>
      </c>
      <c r="D5" s="85">
        <f>IF(D2&gt;0,Inputs!E11," ")</f>
        <v>950</v>
      </c>
      <c r="E5" s="85">
        <f>IF(E2&gt;0,Inputs!E12," ")</f>
        <v>308</v>
      </c>
      <c r="F5" s="85">
        <f>IF(F2&gt;0,Inputs!E13," ")</f>
        <v>-109</v>
      </c>
      <c r="G5" s="85" t="str">
        <f>IF(G2&gt;0,Inputs!E14," ")</f>
        <v xml:space="preserve"> </v>
      </c>
      <c r="H5" s="85" t="str">
        <f>IF(H2&gt;0,Inputs!E15," ")</f>
        <v xml:space="preserve"> </v>
      </c>
      <c r="I5" s="85" t="str">
        <f>IF(I2&gt;0,Inputs!E16," ")</f>
        <v xml:space="preserve"> </v>
      </c>
      <c r="J5" s="85" t="str">
        <f>IF(J2&gt;0,Inputs!E17," ")</f>
        <v xml:space="preserve"> </v>
      </c>
      <c r="K5" s="86" t="str">
        <f>IF(K2&gt;0,Inputs!E18," ")</f>
        <v xml:space="preserve"> </v>
      </c>
      <c r="L5" s="87">
        <f t="shared" si="0"/>
        <v>1956</v>
      </c>
      <c r="M5" s="80"/>
    </row>
    <row r="6" spans="1:13" s="1" customFormat="1" ht="20" customHeight="1" thickBot="1">
      <c r="A6" s="84" t="s">
        <v>103</v>
      </c>
      <c r="B6" s="85">
        <f t="shared" ref="B6:K6" si="1">IF(B2&gt;0,B3-B4-B5,)</f>
        <v>5665</v>
      </c>
      <c r="C6" s="85">
        <f t="shared" si="1"/>
        <v>2945</v>
      </c>
      <c r="D6" s="85">
        <f t="shared" si="1"/>
        <v>2139</v>
      </c>
      <c r="E6" s="85">
        <f t="shared" si="1"/>
        <v>3258</v>
      </c>
      <c r="F6" s="85">
        <f t="shared" si="1"/>
        <v>3294</v>
      </c>
      <c r="G6" s="85">
        <f t="shared" si="1"/>
        <v>0</v>
      </c>
      <c r="H6" s="85">
        <f t="shared" si="1"/>
        <v>0</v>
      </c>
      <c r="I6" s="85">
        <f t="shared" si="1"/>
        <v>0</v>
      </c>
      <c r="J6" s="85">
        <f t="shared" si="1"/>
        <v>0</v>
      </c>
      <c r="K6" s="85">
        <f t="shared" si="1"/>
        <v>0</v>
      </c>
      <c r="L6" s="88">
        <f t="shared" si="0"/>
        <v>17301</v>
      </c>
      <c r="M6" s="80"/>
    </row>
    <row r="7" spans="1:13" s="1" customFormat="1" ht="20" customHeight="1" thickBot="1">
      <c r="A7" s="76" t="s">
        <v>83</v>
      </c>
      <c r="B7" s="81">
        <f>IF(B2&gt;0,Inputs!F9," ")</f>
        <v>1881</v>
      </c>
      <c r="C7" s="81">
        <f>IF(C2&gt;0,Inputs!F10," ")</f>
        <v>4246</v>
      </c>
      <c r="D7" s="81">
        <f>IF(D2&gt;0,Inputs!F11," ")</f>
        <v>2743</v>
      </c>
      <c r="E7" s="81">
        <f>IF(E2&gt;0,Inputs!F12," ")</f>
        <v>1190</v>
      </c>
      <c r="F7" s="81">
        <f>IF(F2&gt;0,Inputs!F13," ")</f>
        <v>-235</v>
      </c>
      <c r="G7" s="81" t="str">
        <f>IF(G2&gt;0,Inputs!F14," ")</f>
        <v xml:space="preserve"> </v>
      </c>
      <c r="H7" s="81" t="str">
        <f>IF(H2&gt;0,Inputs!F15," ")</f>
        <v xml:space="preserve"> </v>
      </c>
      <c r="I7" s="81" t="str">
        <f>IF(I2&gt;0,Inputs!F16," ")</f>
        <v xml:space="preserve"> </v>
      </c>
      <c r="J7" s="81" t="str">
        <f>IF(J2&gt;0,Inputs!F17," ")</f>
        <v xml:space="preserve"> </v>
      </c>
      <c r="K7" s="81" t="str">
        <f>IF(K2&gt;0,Inputs!F18," ")</f>
        <v xml:space="preserve"> </v>
      </c>
      <c r="L7" s="89">
        <f t="shared" si="0"/>
        <v>9825</v>
      </c>
      <c r="M7" s="80"/>
    </row>
    <row r="8" spans="1:13" s="1" customFormat="1" ht="20" customHeight="1" thickBot="1">
      <c r="A8" s="76" t="s">
        <v>116</v>
      </c>
      <c r="B8" s="81">
        <f t="shared" ref="B8:G8" si="2">IF(B2&gt;0,B3-B4-B5+B7," ")</f>
        <v>7546</v>
      </c>
      <c r="C8" s="81">
        <f t="shared" si="2"/>
        <v>7191</v>
      </c>
      <c r="D8" s="81">
        <f t="shared" si="2"/>
        <v>4882</v>
      </c>
      <c r="E8" s="81">
        <f t="shared" si="2"/>
        <v>4448</v>
      </c>
      <c r="F8" s="81">
        <f t="shared" si="2"/>
        <v>3059</v>
      </c>
      <c r="G8" s="81" t="str">
        <f t="shared" si="2"/>
        <v xml:space="preserve"> </v>
      </c>
      <c r="H8" s="81" t="str">
        <f>IF(H2&gt;0,H3-H4-H5+H7," ")</f>
        <v xml:space="preserve"> </v>
      </c>
      <c r="I8" s="81" t="str">
        <f>IF(I2&gt;0,I3-I4-I5+I7," ")</f>
        <v xml:space="preserve"> </v>
      </c>
      <c r="J8" s="81" t="str">
        <f>IF(J2&gt;0,J3-J4-J5+J7," ")</f>
        <v xml:space="preserve"> </v>
      </c>
      <c r="K8" s="81" t="str">
        <f>IF(K2&gt;0,K3-K4-K5+K7," ")</f>
        <v xml:space="preserve"> </v>
      </c>
      <c r="L8" s="90">
        <f t="shared" si="0"/>
        <v>27126</v>
      </c>
      <c r="M8" s="80"/>
    </row>
    <row r="9" spans="1:13" s="1" customFormat="1" ht="20" customHeight="1" thickBot="1">
      <c r="A9" s="76" t="s">
        <v>108</v>
      </c>
      <c r="B9" s="81">
        <f>IF(B2&gt;0,IF(Inputs!$E$4="Yes",B3-(B4+B5)*(1-Inputs!$E$5),B3-(B4+B5)*(1-Inputs!$E$3)),)</f>
        <v>5719.5384869191366</v>
      </c>
      <c r="C9" s="81">
        <f>IF(C2&gt;0,IF(Inputs!$E$4="Yes",C3-(C4+C5)*(1-Inputs!$E$5),C3-(C4+C5)*(1-Inputs!$E$3)),)</f>
        <v>3261.9253475534524</v>
      </c>
      <c r="D9" s="81">
        <f>IF(D2&gt;0,IF(Inputs!$E$4="Yes",D3-(D4+D5)*(1-Inputs!$E$5),D3-(D4+D5)*(1-Inputs!$E$3)),)</f>
        <v>2447.9356329092479</v>
      </c>
      <c r="E9" s="81">
        <f>IF(E2&gt;0,IF(Inputs!$E$4="Yes",E3-(E4+E5)*(1-Inputs!$E$5),E3-(E4+E5)*(1-Inputs!$E$3)),)</f>
        <v>3339.6340409299173</v>
      </c>
      <c r="F9" s="81">
        <f>IF(F2&gt;0,IF(Inputs!$E$4="Yes",F3-(F4+F5)*(1-Inputs!$E$5),F3-(F4+F5)*(1-Inputs!$E$3)),)</f>
        <v>3295.5053085561544</v>
      </c>
      <c r="G9" s="81">
        <f>IF(G2&gt;0,IF(Inputs!$E$4="Yes",G3-(G4+G5)*(1-Inputs!$E$5),G3-(G4+G5)*(1-Inputs!$E$3)),)</f>
        <v>0</v>
      </c>
      <c r="H9" s="81">
        <f>IF(H2&gt;0,IF(Inputs!$E$4="Yes",H3-(H4+H5)*(1-Inputs!$E$5),H3-(H4+H5)*(1-Inputs!$E$3)),)</f>
        <v>0</v>
      </c>
      <c r="I9" s="81">
        <f>IF(I2&gt;0,IF(Inputs!$E$4="Yes",I3-(I4+I5)*(1-Inputs!$E$5),I3-(I4+I5)*(1-Inputs!$E$3)),)</f>
        <v>0</v>
      </c>
      <c r="J9" s="81">
        <f>IF(J2&gt;0,IF(Inputs!$E$4="Yes",J3-(J4+J5)*(1-Inputs!$E$5),J3-(J4+J5)*(1-Inputs!$E$3)),)</f>
        <v>0</v>
      </c>
      <c r="K9" s="81">
        <f>IF(K2&gt;0,IF(Inputs!$E$4="Yes",K3-(K4+K5)*(1-Inputs!$E$5),K3-(K4+K5)*(1-Inputs!$E$3)),)</f>
        <v>0</v>
      </c>
      <c r="L9" s="88">
        <f t="shared" si="0"/>
        <v>18064.538816867909</v>
      </c>
      <c r="M9" s="80"/>
    </row>
    <row r="10" spans="1:13" s="6" customFormat="1" ht="20" customHeight="1">
      <c r="A10" s="91"/>
      <c r="B10" s="92"/>
      <c r="C10" s="92"/>
      <c r="D10" s="92"/>
      <c r="E10" s="92"/>
      <c r="F10" s="92"/>
      <c r="G10" s="92"/>
      <c r="H10" s="92"/>
      <c r="I10" s="92"/>
      <c r="J10" s="92"/>
      <c r="K10" s="92"/>
      <c r="L10" s="80"/>
      <c r="M10" s="80"/>
    </row>
    <row r="11" spans="1:13" s="6" customFormat="1" ht="20" customHeight="1">
      <c r="A11" s="76" t="s">
        <v>55</v>
      </c>
      <c r="B11" s="81">
        <f>IF(B2&gt;0,Inputs!B22," ")</f>
        <v>1324</v>
      </c>
      <c r="C11" s="81">
        <f>IF(C2&gt;0,Inputs!B23," ")</f>
        <v>1076</v>
      </c>
      <c r="D11" s="81">
        <f>IF(D2&gt;0,Inputs!B24," ")</f>
        <v>756</v>
      </c>
      <c r="E11" s="81">
        <f>IF(E2&gt;0,Inputs!B25," ")</f>
        <v>653</v>
      </c>
      <c r="F11" s="81">
        <f>IF(F2&gt;0,Inputs!B26," ")</f>
        <v>648</v>
      </c>
      <c r="G11" s="81" t="str">
        <f>IF(G2&gt;0,Inputs!B27," ")</f>
        <v xml:space="preserve"> </v>
      </c>
      <c r="H11" s="81" t="str">
        <f>IF(H2&gt;0,Inputs!B28," ")</f>
        <v xml:space="preserve"> </v>
      </c>
      <c r="I11" s="81" t="str">
        <f>IF(I2&gt;0,Inputs!B29," ")</f>
        <v xml:space="preserve"> </v>
      </c>
      <c r="J11" s="81" t="str">
        <f>IF(J2&gt;0,Inputs!B30," ")</f>
        <v xml:space="preserve"> </v>
      </c>
      <c r="K11" s="81" t="str">
        <f>IF(K2&gt;0,Inputs!B31," ")</f>
        <v xml:space="preserve"> </v>
      </c>
      <c r="L11" s="83">
        <f>SUM(B11:K11)</f>
        <v>4457</v>
      </c>
      <c r="M11" s="80"/>
    </row>
    <row r="12" spans="1:13" s="6" customFormat="1" ht="20" customHeight="1" thickBot="1">
      <c r="A12" s="93" t="s">
        <v>56</v>
      </c>
      <c r="B12" s="94">
        <f>IF(B2&gt;0,Inputs!C22,)</f>
        <v>4087</v>
      </c>
      <c r="C12" s="94">
        <f>IF(C2&gt;0,Inputs!C23,)</f>
        <v>3015</v>
      </c>
      <c r="D12" s="94">
        <f>IF(D2&gt;0,Inputs!C24,)</f>
        <v>4993</v>
      </c>
      <c r="E12" s="94">
        <f>IF(E2&gt;0,Inputs!C25,)</f>
        <v>2669</v>
      </c>
      <c r="F12" s="94">
        <f>IF(F2&gt;0,Inputs!C26,)</f>
        <v>648</v>
      </c>
      <c r="G12" s="94">
        <f>IF(G2&gt;0,Inputs!C27,)</f>
        <v>0</v>
      </c>
      <c r="H12" s="94">
        <f>IF(H2&gt;0,Inputs!C28,)</f>
        <v>0</v>
      </c>
      <c r="I12" s="94">
        <f>IF(I2&gt;0,Inputs!C29,)</f>
        <v>0</v>
      </c>
      <c r="J12" s="94">
        <f>IF(J2&gt;0,Inputs!C30,)</f>
        <v>0</v>
      </c>
      <c r="K12" s="94">
        <f>IF(K2&gt;0,Inputs!C31,)</f>
        <v>0</v>
      </c>
      <c r="L12" s="83">
        <f>SUM(B12:K12)</f>
        <v>15412</v>
      </c>
      <c r="M12" s="80"/>
    </row>
    <row r="13" spans="1:13" s="6" customFormat="1" ht="20" customHeight="1" thickBot="1">
      <c r="A13" s="95" t="s">
        <v>65</v>
      </c>
      <c r="B13" s="96">
        <f t="shared" ref="B13:K13" si="3">IF(B2&gt;0,B11+B12," ")</f>
        <v>5411</v>
      </c>
      <c r="C13" s="96">
        <f t="shared" si="3"/>
        <v>4091</v>
      </c>
      <c r="D13" s="96">
        <f t="shared" si="3"/>
        <v>5749</v>
      </c>
      <c r="E13" s="96">
        <f t="shared" si="3"/>
        <v>3322</v>
      </c>
      <c r="F13" s="96">
        <f t="shared" si="3"/>
        <v>1296</v>
      </c>
      <c r="G13" s="96" t="str">
        <f t="shared" si="3"/>
        <v xml:space="preserve"> </v>
      </c>
      <c r="H13" s="96" t="str">
        <f t="shared" si="3"/>
        <v xml:space="preserve"> </v>
      </c>
      <c r="I13" s="96" t="str">
        <f t="shared" si="3"/>
        <v xml:space="preserve"> </v>
      </c>
      <c r="J13" s="96" t="str">
        <f t="shared" si="3"/>
        <v xml:space="preserve"> </v>
      </c>
      <c r="K13" s="97" t="str">
        <f t="shared" si="3"/>
        <v xml:space="preserve"> </v>
      </c>
      <c r="L13" s="83">
        <f>SUM(B13:K13)</f>
        <v>19869</v>
      </c>
      <c r="M13" s="80"/>
    </row>
    <row r="14" spans="1:13" s="6" customFormat="1" ht="20" customHeight="1">
      <c r="A14" s="98"/>
      <c r="B14" s="99"/>
      <c r="C14" s="99"/>
      <c r="D14" s="99"/>
      <c r="E14" s="99"/>
      <c r="F14" s="99"/>
      <c r="G14" s="99"/>
      <c r="H14" s="99"/>
      <c r="I14" s="99"/>
      <c r="J14" s="99"/>
      <c r="K14" s="99"/>
      <c r="L14" s="80"/>
      <c r="M14" s="80"/>
    </row>
    <row r="15" spans="1:13" s="6" customFormat="1" ht="20" customHeight="1">
      <c r="A15" s="100" t="s">
        <v>66</v>
      </c>
      <c r="B15" s="77"/>
      <c r="C15" s="77"/>
      <c r="D15" s="77"/>
      <c r="E15" s="77"/>
      <c r="F15" s="77"/>
      <c r="G15" s="77"/>
      <c r="H15" s="77"/>
      <c r="I15" s="77"/>
      <c r="J15" s="77"/>
      <c r="K15" s="77"/>
      <c r="L15" s="80"/>
      <c r="M15" s="80"/>
    </row>
    <row r="16" spans="1:13" s="6" customFormat="1" ht="20" customHeight="1" thickBot="1">
      <c r="A16" s="84" t="s">
        <v>67</v>
      </c>
      <c r="B16" s="101">
        <f t="shared" ref="B16:K16" si="4">IF(B2&gt;0,B11/B3," ")</f>
        <v>0.21577574967405475</v>
      </c>
      <c r="C16" s="101">
        <f t="shared" si="4"/>
        <v>0.18936994016191483</v>
      </c>
      <c r="D16" s="101">
        <f t="shared" si="4"/>
        <v>0.15727064697316415</v>
      </c>
      <c r="E16" s="101">
        <f t="shared" si="4"/>
        <v>0.16477416098914963</v>
      </c>
      <c r="F16" s="101">
        <f t="shared" si="4"/>
        <v>0.1959479891140006</v>
      </c>
      <c r="G16" s="101" t="str">
        <f t="shared" si="4"/>
        <v xml:space="preserve"> </v>
      </c>
      <c r="H16" s="101" t="str">
        <f t="shared" si="4"/>
        <v xml:space="preserve"> </v>
      </c>
      <c r="I16" s="101" t="str">
        <f t="shared" si="4"/>
        <v xml:space="preserve"> </v>
      </c>
      <c r="J16" s="101" t="str">
        <f t="shared" si="4"/>
        <v xml:space="preserve"> </v>
      </c>
      <c r="K16" s="101" t="str">
        <f t="shared" si="4"/>
        <v xml:space="preserve"> </v>
      </c>
      <c r="L16" s="80"/>
      <c r="M16" s="80"/>
    </row>
    <row r="17" spans="1:13" s="6" customFormat="1" ht="20" customHeight="1" thickBot="1">
      <c r="A17" s="95" t="s">
        <v>68</v>
      </c>
      <c r="B17" s="102">
        <f t="shared" ref="B17:K17" si="5">IF(B2&gt;0,B13/B8," ")</f>
        <v>0.71706864564007422</v>
      </c>
      <c r="C17" s="102">
        <f t="shared" si="5"/>
        <v>0.5689055764149632</v>
      </c>
      <c r="D17" s="102">
        <f t="shared" si="5"/>
        <v>1.1775911511675543</v>
      </c>
      <c r="E17" s="102">
        <f t="shared" si="5"/>
        <v>0.74685251798561147</v>
      </c>
      <c r="F17" s="102">
        <f t="shared" si="5"/>
        <v>0.42366786531546258</v>
      </c>
      <c r="G17" s="102" t="str">
        <f t="shared" si="5"/>
        <v xml:space="preserve"> </v>
      </c>
      <c r="H17" s="102" t="str">
        <f t="shared" si="5"/>
        <v xml:space="preserve"> </v>
      </c>
      <c r="I17" s="102" t="str">
        <f t="shared" si="5"/>
        <v xml:space="preserve"> </v>
      </c>
      <c r="J17" s="102" t="str">
        <f t="shared" si="5"/>
        <v xml:space="preserve"> </v>
      </c>
      <c r="K17" s="103" t="str">
        <f t="shared" si="5"/>
        <v xml:space="preserve"> </v>
      </c>
      <c r="L17" s="80"/>
      <c r="M17" s="80"/>
    </row>
    <row r="18" spans="1:13" s="6" customFormat="1" ht="20" customHeight="1">
      <c r="A18" s="98"/>
      <c r="B18" s="99"/>
      <c r="C18" s="99"/>
      <c r="D18" s="99"/>
      <c r="E18" s="99"/>
      <c r="F18" s="99"/>
      <c r="G18" s="99"/>
      <c r="H18" s="99"/>
      <c r="I18" s="99"/>
      <c r="J18" s="99"/>
      <c r="K18" s="99"/>
      <c r="L18" s="80"/>
      <c r="M18" s="80"/>
    </row>
    <row r="19" spans="1:13" s="6" customFormat="1" ht="20" customHeight="1">
      <c r="A19" s="100" t="s">
        <v>69</v>
      </c>
      <c r="B19" s="77"/>
      <c r="C19" s="77"/>
      <c r="D19" s="77"/>
      <c r="E19" s="77"/>
      <c r="F19" s="77"/>
      <c r="G19" s="77"/>
      <c r="H19" s="77"/>
      <c r="I19" s="77"/>
      <c r="J19" s="77"/>
      <c r="K19" s="77"/>
      <c r="L19" s="80"/>
      <c r="M19" s="80"/>
    </row>
    <row r="20" spans="1:13" s="6" customFormat="1" ht="20" customHeight="1">
      <c r="A20" s="100" t="s">
        <v>70</v>
      </c>
      <c r="B20" s="77"/>
      <c r="C20" s="77"/>
      <c r="D20" s="77"/>
      <c r="E20" s="77"/>
      <c r="F20" s="77"/>
      <c r="G20" s="77"/>
      <c r="H20" s="77"/>
      <c r="I20" s="77"/>
      <c r="J20" s="77"/>
      <c r="K20" s="77"/>
      <c r="L20" s="80"/>
      <c r="M20" s="80"/>
    </row>
    <row r="21" spans="1:13" s="6" customFormat="1" ht="20" customHeight="1">
      <c r="A21" s="76" t="s">
        <v>71</v>
      </c>
      <c r="B21" s="104">
        <f>IF(B2&gt;0,Inputs!B9/Inputs!B41," ")</f>
        <v>1.614405464141571E-2</v>
      </c>
      <c r="C21" s="104">
        <f>IF(C2&gt;0,Inputs!B10/Inputs!B42," ")</f>
        <v>1.7215260440652497E-2</v>
      </c>
      <c r="D21" s="104">
        <f>IF(D2&gt;0,Inputs!B11/Inputs!B43," ")</f>
        <v>2.4755254118580088E-2</v>
      </c>
      <c r="E21" s="104">
        <f>IF(E2&gt;0,Inputs!B12/Inputs!B44," ")</f>
        <v>4.7066508313539195E-2</v>
      </c>
      <c r="F21" s="104">
        <f>IF(F2&gt;0,Inputs!B13/Inputs!B45," ")</f>
        <v>5.2130460141557769E-2</v>
      </c>
      <c r="G21" s="104" t="str">
        <f>IF(G2&gt;0,Inputs!B14/Inputs!B46," ")</f>
        <v xml:space="preserve"> </v>
      </c>
      <c r="H21" s="104" t="str">
        <f>IF(H2&gt;0,Inputs!B15/Inputs!B47," ")</f>
        <v xml:space="preserve"> </v>
      </c>
      <c r="I21" s="104" t="str">
        <f>IF(I2&gt;0,Inputs!B16/Inputs!B48," ")</f>
        <v xml:space="preserve"> </v>
      </c>
      <c r="J21" s="104" t="str">
        <f>IF(J2&gt;0,Inputs!B17/Inputs!B49," ")</f>
        <v xml:space="preserve"> </v>
      </c>
      <c r="K21" s="104" t="str">
        <f>IF(K2&gt;0,Inputs!B18/Inputs!B50," ")</f>
        <v xml:space="preserve"> </v>
      </c>
      <c r="L21" s="80"/>
      <c r="M21" s="80"/>
    </row>
    <row r="22" spans="1:13" s="6" customFormat="1" ht="20" customHeight="1" thickBot="1">
      <c r="A22" s="84" t="s">
        <v>72</v>
      </c>
      <c r="B22" s="105">
        <f>IF(B2&gt;0,Inputs!D41+Inputs!$D$37*(Inputs!E41-Inputs!D41)," ")</f>
        <v>-0.16046895590980623</v>
      </c>
      <c r="C22" s="105">
        <f>IF(C2&gt;0,Inputs!D42+Inputs!$D$37*(Inputs!E42-Inputs!D42)," ")</f>
        <v>0.25657238313694902</v>
      </c>
      <c r="D22" s="105">
        <f>IF(D2&gt;0,Inputs!D43+Inputs!$D$37*(Inputs!E43-Inputs!D43)," ")</f>
        <v>0.16276311166690394</v>
      </c>
      <c r="E22" s="105">
        <f>IF(E2&gt;0,Inputs!D44+Inputs!$D$37*(Inputs!E44-Inputs!D44)," ")</f>
        <v>0.2833352384512437</v>
      </c>
      <c r="F22" s="105">
        <f>IF(F2&gt;0,Inputs!D45+Inputs!$D$37*(Inputs!E45-Inputs!D45)," ")</f>
        <v>-3.6139989163976871E-2</v>
      </c>
      <c r="G22" s="105" t="str">
        <f>IF(G2&gt;0,Inputs!D46+Inputs!$D$37*(Inputs!E46-Inputs!D46)," ")</f>
        <v xml:space="preserve"> </v>
      </c>
      <c r="H22" s="105" t="str">
        <f>IF(H2&gt;0,Inputs!D47+Inputs!$D$37*(Inputs!E47-Inputs!D47)," ")</f>
        <v xml:space="preserve"> </v>
      </c>
      <c r="I22" s="105" t="str">
        <f>IF(I2&gt;0,Inputs!D48+Inputs!$D$37*(Inputs!E48-Inputs!D48)," ")</f>
        <v xml:space="preserve"> </v>
      </c>
      <c r="J22" s="105" t="str">
        <f>IF(J2&gt;0,Inputs!D49+Inputs!$D$37*(Inputs!E49-Inputs!D49)," ")</f>
        <v xml:space="preserve"> </v>
      </c>
      <c r="K22" s="105" t="str">
        <f>IF(K2&gt;0,Inputs!D50+Inputs!$D$37*(Inputs!E50-Inputs!D50)," ")</f>
        <v xml:space="preserve"> </v>
      </c>
      <c r="L22" s="80"/>
      <c r="M22" s="80"/>
    </row>
    <row r="23" spans="1:13" s="6" customFormat="1" ht="20" customHeight="1" thickBot="1">
      <c r="A23" s="95" t="s">
        <v>73</v>
      </c>
      <c r="B23" s="106">
        <f t="shared" ref="B23:K23" si="6">IF(B2&gt;0,B21-B22," ")</f>
        <v>0.17661301055122194</v>
      </c>
      <c r="C23" s="106">
        <f t="shared" si="6"/>
        <v>-0.23935712269629653</v>
      </c>
      <c r="D23" s="106">
        <f t="shared" si="6"/>
        <v>-0.13800785754832384</v>
      </c>
      <c r="E23" s="106">
        <f t="shared" si="6"/>
        <v>-0.2362687301377045</v>
      </c>
      <c r="F23" s="106">
        <f t="shared" si="6"/>
        <v>8.827044930553464E-2</v>
      </c>
      <c r="G23" s="106" t="str">
        <f t="shared" si="6"/>
        <v xml:space="preserve"> </v>
      </c>
      <c r="H23" s="106" t="str">
        <f t="shared" si="6"/>
        <v xml:space="preserve"> </v>
      </c>
      <c r="I23" s="106" t="str">
        <f t="shared" si="6"/>
        <v xml:space="preserve"> </v>
      </c>
      <c r="J23" s="106" t="str">
        <f t="shared" si="6"/>
        <v xml:space="preserve"> </v>
      </c>
      <c r="K23" s="107" t="str">
        <f t="shared" si="6"/>
        <v xml:space="preserve"> </v>
      </c>
      <c r="L23" s="80"/>
      <c r="M23" s="80"/>
    </row>
    <row r="24" spans="1:13" s="6" customFormat="1" ht="20" customHeight="1">
      <c r="A24" s="108" t="s">
        <v>74</v>
      </c>
      <c r="B24" s="99"/>
      <c r="C24" s="99"/>
      <c r="D24" s="99"/>
      <c r="E24" s="99"/>
      <c r="F24" s="99"/>
      <c r="G24" s="99"/>
      <c r="H24" s="99"/>
      <c r="I24" s="99"/>
      <c r="J24" s="99"/>
      <c r="K24" s="99"/>
      <c r="L24" s="80"/>
      <c r="M24" s="80"/>
    </row>
    <row r="25" spans="1:13" s="6" customFormat="1" ht="20" customHeight="1">
      <c r="A25" s="76" t="s">
        <v>53</v>
      </c>
      <c r="B25" s="104">
        <f>IF(B2&gt;0,Inputs!C41," ")</f>
        <v>0.3533</v>
      </c>
      <c r="C25" s="104">
        <f>IF(C2&gt;0,Inputs!C42," ")</f>
        <v>0.1065</v>
      </c>
      <c r="D25" s="104">
        <f>IF(D2&gt;0,Inputs!C43," ")</f>
        <v>-5.1499999999999997E-2</v>
      </c>
      <c r="E25" s="104">
        <f>IF(E2&gt;0,Inputs!C44," ")</f>
        <v>0.16220000000000001</v>
      </c>
      <c r="F25" s="104">
        <f>IF(F2&gt;0,Inputs!C45," ")</f>
        <v>0.31169999999999998</v>
      </c>
      <c r="G25" s="104" t="str">
        <f>IF(G2&gt;0,Inputs!C46," ")</f>
        <v xml:space="preserve"> </v>
      </c>
      <c r="H25" s="104" t="str">
        <f>IF(H2&gt;0,Inputs!C47," ")</f>
        <v xml:space="preserve"> </v>
      </c>
      <c r="I25" s="104" t="str">
        <f>IF(I2&gt;0,Inputs!C48," ")</f>
        <v xml:space="preserve"> </v>
      </c>
      <c r="J25" s="104" t="str">
        <f>IF(J2&gt;0,Inputs!C49," ")</f>
        <v xml:space="preserve"> </v>
      </c>
      <c r="K25" s="104" t="str">
        <f>IF(K2&gt;0,Inputs!C50," ")</f>
        <v xml:space="preserve"> </v>
      </c>
      <c r="L25" s="80"/>
      <c r="M25" s="80"/>
    </row>
    <row r="26" spans="1:13" s="6" customFormat="1" ht="20" customHeight="1" thickBot="1">
      <c r="A26" s="84" t="s">
        <v>72</v>
      </c>
      <c r="B26" s="105">
        <f t="shared" ref="B26:K26" si="7">B22</f>
        <v>-0.16046895590980623</v>
      </c>
      <c r="C26" s="105">
        <f t="shared" si="7"/>
        <v>0.25657238313694902</v>
      </c>
      <c r="D26" s="105">
        <f t="shared" si="7"/>
        <v>0.16276311166690394</v>
      </c>
      <c r="E26" s="105">
        <f t="shared" si="7"/>
        <v>0.2833352384512437</v>
      </c>
      <c r="F26" s="105">
        <f t="shared" si="7"/>
        <v>-3.6139989163976871E-2</v>
      </c>
      <c r="G26" s="105" t="str">
        <f t="shared" si="7"/>
        <v xml:space="preserve"> </v>
      </c>
      <c r="H26" s="105" t="str">
        <f t="shared" si="7"/>
        <v xml:space="preserve"> </v>
      </c>
      <c r="I26" s="105" t="str">
        <f t="shared" si="7"/>
        <v xml:space="preserve"> </v>
      </c>
      <c r="J26" s="105" t="str">
        <f t="shared" si="7"/>
        <v xml:space="preserve"> </v>
      </c>
      <c r="K26" s="105" t="str">
        <f t="shared" si="7"/>
        <v xml:space="preserve"> </v>
      </c>
      <c r="L26" s="80"/>
      <c r="M26" s="80"/>
    </row>
    <row r="27" spans="1:13" s="6" customFormat="1" ht="20" customHeight="1">
      <c r="A27" s="109" t="s">
        <v>75</v>
      </c>
      <c r="B27" s="110">
        <f t="shared" ref="B27:K27" si="8">IF(B2&gt;0,B25-B26," ")</f>
        <v>0.5137689559098062</v>
      </c>
      <c r="C27" s="110">
        <f t="shared" si="8"/>
        <v>-0.15007238313694904</v>
      </c>
      <c r="D27" s="110">
        <f t="shared" si="8"/>
        <v>-0.21426311166690393</v>
      </c>
      <c r="E27" s="110">
        <f t="shared" si="8"/>
        <v>-0.12113523845124369</v>
      </c>
      <c r="F27" s="110">
        <f t="shared" si="8"/>
        <v>0.34783998916397685</v>
      </c>
      <c r="G27" s="110" t="str">
        <f t="shared" si="8"/>
        <v xml:space="preserve"> </v>
      </c>
      <c r="H27" s="110" t="str">
        <f t="shared" si="8"/>
        <v xml:space="preserve"> </v>
      </c>
      <c r="I27" s="110" t="str">
        <f t="shared" si="8"/>
        <v xml:space="preserve"> </v>
      </c>
      <c r="J27" s="110" t="str">
        <f t="shared" si="8"/>
        <v xml:space="preserve"> </v>
      </c>
      <c r="K27" s="111" t="str">
        <f t="shared" si="8"/>
        <v xml:space="preserve"> </v>
      </c>
      <c r="L27" s="80"/>
      <c r="M27" s="80"/>
    </row>
    <row r="28" spans="1:13" s="6" customFormat="1">
      <c r="A28" s="76" t="s">
        <v>76</v>
      </c>
      <c r="B28" s="77">
        <f t="shared" ref="B28:K28" si="9">IF(B2&gt;0,1,0)</f>
        <v>1</v>
      </c>
      <c r="C28" s="77">
        <f t="shared" si="9"/>
        <v>1</v>
      </c>
      <c r="D28" s="77">
        <f t="shared" si="9"/>
        <v>1</v>
      </c>
      <c r="E28" s="77">
        <f t="shared" si="9"/>
        <v>1</v>
      </c>
      <c r="F28" s="77">
        <f t="shared" si="9"/>
        <v>1</v>
      </c>
      <c r="G28" s="77">
        <f t="shared" si="9"/>
        <v>0</v>
      </c>
      <c r="H28" s="77">
        <f t="shared" si="9"/>
        <v>0</v>
      </c>
      <c r="I28" s="77">
        <f t="shared" si="9"/>
        <v>0</v>
      </c>
      <c r="J28" s="77">
        <f t="shared" si="9"/>
        <v>0</v>
      </c>
      <c r="K28" s="77">
        <f t="shared" si="9"/>
        <v>0</v>
      </c>
      <c r="L28" s="80"/>
      <c r="M28" s="80"/>
    </row>
    <row r="29" spans="1:13" s="6" customFormat="1">
      <c r="A29" s="91"/>
      <c r="B29" s="112"/>
      <c r="C29" s="112"/>
      <c r="D29" s="112"/>
      <c r="E29" s="112"/>
      <c r="F29" s="112"/>
      <c r="G29" s="112"/>
      <c r="H29" s="112"/>
      <c r="I29" s="112"/>
      <c r="J29" s="112"/>
      <c r="K29" s="112"/>
      <c r="L29" s="80"/>
      <c r="M29" s="80"/>
    </row>
    <row r="30" spans="1:13" s="6" customFormat="1">
      <c r="A30" s="91"/>
      <c r="B30" s="112"/>
      <c r="C30" s="112"/>
      <c r="D30" s="112"/>
      <c r="E30" s="112"/>
      <c r="F30" s="112"/>
      <c r="G30" s="112"/>
      <c r="H30" s="112"/>
      <c r="I30" s="112"/>
      <c r="J30" s="112"/>
      <c r="K30" s="112"/>
      <c r="L30" s="80"/>
      <c r="M30" s="80"/>
    </row>
    <row r="31" spans="1:13" s="6" customFormat="1" ht="17" thickBot="1">
      <c r="A31" s="76"/>
      <c r="B31" s="77" t="s">
        <v>102</v>
      </c>
      <c r="C31" s="113" t="s">
        <v>77</v>
      </c>
      <c r="D31" s="80"/>
      <c r="E31" s="80"/>
      <c r="F31" s="112"/>
      <c r="G31" s="112"/>
      <c r="H31" s="112"/>
      <c r="I31" s="112"/>
      <c r="J31" s="112"/>
      <c r="K31" s="112"/>
      <c r="L31" s="80"/>
      <c r="M31" s="80"/>
    </row>
    <row r="32" spans="1:13" s="6" customFormat="1">
      <c r="A32" s="76" t="s">
        <v>19</v>
      </c>
      <c r="B32" s="114">
        <f>L3</f>
        <v>23895</v>
      </c>
      <c r="C32" s="115">
        <f>L3/Inputs!E2</f>
        <v>4779</v>
      </c>
      <c r="D32" s="80"/>
      <c r="E32" s="80"/>
      <c r="F32" s="112"/>
      <c r="G32" s="112"/>
      <c r="H32" s="112"/>
      <c r="I32" s="112"/>
      <c r="J32" s="112"/>
      <c r="K32" s="112"/>
      <c r="L32" s="80"/>
      <c r="M32" s="80"/>
    </row>
    <row r="33" spans="1:13" s="6" customFormat="1">
      <c r="A33" s="76" t="s">
        <v>55</v>
      </c>
      <c r="B33" s="114">
        <f>L11</f>
        <v>4457</v>
      </c>
      <c r="C33" s="116">
        <f>B33/Inputs!E2</f>
        <v>891.4</v>
      </c>
      <c r="D33" s="80"/>
      <c r="E33" s="80"/>
      <c r="F33" s="112"/>
      <c r="G33" s="112"/>
      <c r="H33" s="112"/>
      <c r="I33" s="112"/>
      <c r="J33" s="112"/>
      <c r="K33" s="112"/>
      <c r="L33" s="80"/>
      <c r="M33" s="80"/>
    </row>
    <row r="34" spans="1:13" s="6" customFormat="1">
      <c r="A34" s="76" t="s">
        <v>78</v>
      </c>
      <c r="B34" s="117">
        <f>B33/B32</f>
        <v>0.18652437748482947</v>
      </c>
      <c r="C34" s="118">
        <f>AVERAGE(B16:K16)</f>
        <v>0.1846276973824568</v>
      </c>
      <c r="D34" s="119"/>
      <c r="E34" s="112"/>
      <c r="F34" s="112"/>
      <c r="G34" s="112"/>
      <c r="H34" s="112"/>
      <c r="I34" s="112"/>
      <c r="J34" s="112"/>
      <c r="K34" s="112"/>
      <c r="L34" s="80"/>
      <c r="M34" s="80"/>
    </row>
    <row r="35" spans="1:13" s="6" customFormat="1">
      <c r="A35" s="76" t="s">
        <v>109</v>
      </c>
      <c r="B35" s="114">
        <f>L12</f>
        <v>15412</v>
      </c>
      <c r="C35" s="116">
        <f>B35/Inputs!E2</f>
        <v>3082.4</v>
      </c>
      <c r="D35" s="112"/>
      <c r="E35" s="112"/>
      <c r="F35" s="112"/>
      <c r="G35" s="112"/>
      <c r="H35" s="112"/>
      <c r="I35" s="112"/>
      <c r="J35" s="112"/>
      <c r="K35" s="112"/>
      <c r="L35" s="80"/>
      <c r="M35" s="80"/>
    </row>
    <row r="36" spans="1:13" s="6" customFormat="1" ht="17" thickBot="1">
      <c r="A36" s="76" t="s">
        <v>110</v>
      </c>
      <c r="B36" s="120">
        <f>B33+B35</f>
        <v>19869</v>
      </c>
      <c r="C36" s="116">
        <f>C33+C35</f>
        <v>3973.8</v>
      </c>
      <c r="D36" s="112"/>
      <c r="E36" s="112"/>
      <c r="F36" s="112"/>
      <c r="G36" s="112"/>
      <c r="H36" s="112"/>
      <c r="I36" s="112"/>
      <c r="J36" s="112"/>
      <c r="K36" s="112"/>
      <c r="L36" s="80"/>
      <c r="M36" s="80"/>
    </row>
    <row r="37" spans="1:13" s="6" customFormat="1" ht="17" thickBot="1">
      <c r="A37" s="121" t="s">
        <v>111</v>
      </c>
      <c r="B37" s="122">
        <f>B36/B32</f>
        <v>0.83151286880100439</v>
      </c>
      <c r="C37" s="123"/>
      <c r="D37" s="112"/>
      <c r="E37" s="112"/>
      <c r="F37" s="112"/>
      <c r="G37" s="112"/>
      <c r="H37" s="112"/>
      <c r="I37" s="112"/>
      <c r="J37" s="112"/>
      <c r="K37" s="112"/>
      <c r="L37" s="80"/>
      <c r="M37" s="80"/>
    </row>
    <row r="38" spans="1:13" s="6" customFormat="1">
      <c r="A38" s="76" t="s">
        <v>103</v>
      </c>
      <c r="B38" s="124">
        <f>L6</f>
        <v>17301</v>
      </c>
      <c r="C38" s="116">
        <f>B38/Inputs!E2</f>
        <v>3460.2</v>
      </c>
      <c r="D38" s="112"/>
      <c r="E38" s="112"/>
      <c r="F38" s="112"/>
      <c r="G38" s="112"/>
      <c r="H38" s="112"/>
      <c r="I38" s="112"/>
      <c r="J38" s="112"/>
      <c r="K38" s="112"/>
      <c r="L38" s="80"/>
      <c r="M38" s="80"/>
    </row>
    <row r="39" spans="1:13" s="6" customFormat="1">
      <c r="A39" s="76" t="s">
        <v>112</v>
      </c>
      <c r="B39" s="114">
        <f>L8</f>
        <v>27126</v>
      </c>
      <c r="C39" s="116">
        <f>B39/Inputs!E2</f>
        <v>5425.2</v>
      </c>
      <c r="D39" s="112"/>
      <c r="E39" s="112"/>
      <c r="F39" s="112"/>
      <c r="G39" s="112"/>
      <c r="H39" s="112"/>
      <c r="I39" s="112"/>
      <c r="J39" s="112"/>
      <c r="K39" s="112"/>
      <c r="L39" s="80"/>
      <c r="M39" s="80"/>
    </row>
    <row r="40" spans="1:13" s="6" customFormat="1" ht="17" thickBot="1">
      <c r="A40" s="76" t="s">
        <v>108</v>
      </c>
      <c r="B40" s="120">
        <f>L9</f>
        <v>18064.538816867909</v>
      </c>
      <c r="C40" s="125">
        <f>B40/Inputs!E2</f>
        <v>3612.9077633735819</v>
      </c>
      <c r="D40" s="112"/>
      <c r="E40" s="112"/>
      <c r="F40" s="112"/>
      <c r="G40" s="112"/>
      <c r="H40" s="112"/>
      <c r="I40" s="112"/>
      <c r="J40" s="112"/>
      <c r="K40" s="112"/>
      <c r="L40" s="80"/>
      <c r="M40" s="80"/>
    </row>
    <row r="41" spans="1:13" s="6" customFormat="1">
      <c r="A41" s="121" t="s">
        <v>114</v>
      </c>
      <c r="B41" s="126">
        <f>IF(B38&lt;0,"FCFE negative",B36/B38)</f>
        <v>1.1484307265475984</v>
      </c>
      <c r="C41" s="127"/>
      <c r="D41" s="112"/>
      <c r="E41" s="112"/>
      <c r="F41" s="112"/>
      <c r="G41" s="112"/>
      <c r="H41" s="112"/>
      <c r="I41" s="112"/>
      <c r="J41" s="112"/>
      <c r="K41" s="112"/>
      <c r="L41" s="80"/>
      <c r="M41" s="80"/>
    </row>
    <row r="42" spans="1:13" s="6" customFormat="1" ht="17" thickBot="1">
      <c r="A42" s="121" t="s">
        <v>115</v>
      </c>
      <c r="B42" s="101">
        <f>IF(B39&lt;0,"FCFE negative",B36/B39)</f>
        <v>0.73247069232470696</v>
      </c>
      <c r="C42" s="127"/>
      <c r="D42" s="112"/>
      <c r="E42" s="112"/>
      <c r="F42" s="112"/>
      <c r="G42" s="112"/>
      <c r="H42" s="112"/>
      <c r="I42" s="112"/>
      <c r="J42" s="112"/>
      <c r="K42" s="112"/>
      <c r="L42" s="80"/>
      <c r="M42" s="80"/>
    </row>
    <row r="43" spans="1:13" s="6" customFormat="1" ht="17" thickBot="1">
      <c r="A43" s="121" t="s">
        <v>113</v>
      </c>
      <c r="B43" s="128">
        <f>B36/B40</f>
        <v>1.0998896900399782</v>
      </c>
      <c r="C43" s="112"/>
      <c r="D43" s="112"/>
      <c r="E43" s="112"/>
      <c r="F43" s="112"/>
      <c r="G43" s="112"/>
      <c r="H43" s="112"/>
      <c r="I43" s="112"/>
      <c r="J43" s="112"/>
      <c r="K43" s="112"/>
      <c r="L43" s="80"/>
      <c r="M43" s="80"/>
    </row>
    <row r="44" spans="1:13" s="6" customFormat="1" ht="20" customHeight="1">
      <c r="A44" s="129"/>
      <c r="B44" s="126"/>
      <c r="C44" s="80"/>
      <c r="D44" s="80"/>
      <c r="E44" s="80"/>
      <c r="F44" s="112"/>
      <c r="G44" s="112"/>
      <c r="H44" s="112"/>
      <c r="I44" s="112"/>
      <c r="J44" s="112"/>
      <c r="K44" s="112"/>
      <c r="L44" s="80"/>
      <c r="M44" s="80"/>
    </row>
    <row r="45" spans="1:13" s="6" customFormat="1" ht="20" customHeight="1">
      <c r="A45" s="129" t="s">
        <v>71</v>
      </c>
      <c r="B45" s="126">
        <f>(SUM(Inputs!B9:B18)/SUM(B28:K28))/(SUM(Inputs!B41:B50)/SUM(B28:K28))</f>
        <v>3.0161505611833901E-2</v>
      </c>
      <c r="C45" s="80"/>
      <c r="D45" s="80"/>
      <c r="E45" s="80"/>
      <c r="F45" s="112"/>
      <c r="G45" s="112"/>
      <c r="H45" s="112"/>
      <c r="I45" s="112"/>
      <c r="J45" s="112"/>
      <c r="K45" s="112"/>
      <c r="L45" s="80"/>
      <c r="M45" s="80"/>
    </row>
    <row r="46" spans="1:13" s="6" customFormat="1" ht="20" customHeight="1">
      <c r="A46" s="129" t="s">
        <v>10</v>
      </c>
      <c r="B46" s="104">
        <f>AVERAGE(B25:K25)</f>
        <v>0.17643999999999999</v>
      </c>
      <c r="C46" s="80"/>
      <c r="D46" s="80"/>
      <c r="E46" s="80"/>
      <c r="F46" s="112"/>
      <c r="G46" s="112"/>
      <c r="H46" s="112"/>
      <c r="I46" s="112"/>
      <c r="J46" s="112"/>
      <c r="K46" s="112"/>
      <c r="L46" s="80"/>
      <c r="M46" s="80"/>
    </row>
    <row r="47" spans="1:13" s="6" customFormat="1" ht="20" customHeight="1">
      <c r="A47" s="129" t="s">
        <v>5</v>
      </c>
      <c r="B47" s="104">
        <f>AVERAGE(B26:K26)</f>
        <v>0.10121235763626273</v>
      </c>
      <c r="C47" s="80"/>
      <c r="D47" s="80"/>
      <c r="E47" s="80"/>
      <c r="F47" s="112"/>
      <c r="G47" s="112"/>
      <c r="H47" s="112"/>
      <c r="I47" s="112"/>
      <c r="J47" s="112"/>
      <c r="K47" s="112"/>
      <c r="L47" s="80"/>
      <c r="M47" s="80"/>
    </row>
    <row r="48" spans="1:13" s="6" customFormat="1" ht="20" customHeight="1">
      <c r="A48" s="129" t="s">
        <v>79</v>
      </c>
      <c r="B48" s="104">
        <f>B45-B47</f>
        <v>-7.1050852024428818E-2</v>
      </c>
      <c r="C48" s="80"/>
      <c r="D48" s="80"/>
      <c r="E48" s="80"/>
      <c r="F48" s="112"/>
      <c r="G48" s="112"/>
      <c r="H48" s="112"/>
      <c r="I48" s="112"/>
      <c r="J48" s="112"/>
      <c r="K48" s="112"/>
      <c r="L48" s="80"/>
      <c r="M48" s="80"/>
    </row>
    <row r="49" spans="1:13" s="6" customFormat="1" ht="20" customHeight="1">
      <c r="A49" s="129" t="s">
        <v>80</v>
      </c>
      <c r="B49" s="104">
        <f>B46-B47</f>
        <v>7.522764236373726E-2</v>
      </c>
      <c r="C49" s="80"/>
      <c r="D49" s="80"/>
      <c r="E49" s="80"/>
      <c r="F49" s="112"/>
      <c r="G49" s="112"/>
      <c r="H49" s="112"/>
      <c r="I49" s="112"/>
      <c r="J49" s="112"/>
      <c r="K49" s="112"/>
      <c r="L49" s="80"/>
      <c r="M49" s="80"/>
    </row>
    <row r="50" spans="1:13" ht="20" customHeight="1">
      <c r="B50" s="112"/>
      <c r="C50" s="112"/>
      <c r="D50" s="112"/>
      <c r="E50" s="112"/>
      <c r="F50" s="112"/>
      <c r="G50" s="112"/>
      <c r="H50" s="112"/>
      <c r="I50" s="112"/>
      <c r="J50" s="112"/>
      <c r="K50" s="112"/>
    </row>
    <row r="51" spans="1:13">
      <c r="A51" s="112"/>
      <c r="B51" s="112"/>
      <c r="C51" s="112"/>
      <c r="D51" s="112"/>
      <c r="E51" s="112"/>
      <c r="F51" s="112"/>
      <c r="G51" s="112"/>
      <c r="H51" s="112"/>
      <c r="I51" s="112"/>
      <c r="J51" s="112"/>
      <c r="K51" s="112"/>
    </row>
  </sheetData>
  <mergeCells count="1">
    <mergeCell ref="A1:J1"/>
  </mergeCells>
  <phoneticPr fontId="11" type="noConversion"/>
  <printOptions gridLinesSet="0"/>
  <pageMargins left="0.75" right="0.75" top="1" bottom="1" header="0.5" footer="0.5"/>
  <pageSetup firstPageNumber="26" orientation="landscape" useFirstPageNumber="1" horizontalDpi="4294967292" verticalDpi="4294967292"/>
  <headerFooter alignWithMargins="0">
    <oddHeader>&amp;C&amp;"Times"&amp;12Dividend Policy&amp;R&amp;P</oddHeader>
    <oddFooter>Page &amp;P</oddFooter>
  </headerFooter>
  <rowBreaks count="2" manualBreakCount="2">
    <brk id="75" max="65535" man="1"/>
    <brk id="92" max="65535" man="1"/>
  </rowBreaks>
  <legacyDrawing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J14"/>
  <sheetViews>
    <sheetView workbookViewId="0">
      <selection activeCell="B6" sqref="B6"/>
    </sheetView>
  </sheetViews>
  <sheetFormatPr baseColWidth="10" defaultRowHeight="14"/>
  <cols>
    <col min="1" max="1" width="28.5703125" customWidth="1"/>
    <col min="2" max="2" width="10.85546875" customWidth="1"/>
    <col min="5" max="5" width="10.85546875" customWidth="1"/>
  </cols>
  <sheetData>
    <row r="1" spans="1:10" s="16" customFormat="1" ht="18">
      <c r="A1" s="15" t="s">
        <v>11</v>
      </c>
      <c r="B1" s="15"/>
      <c r="C1" s="15"/>
      <c r="D1" s="15"/>
      <c r="E1" s="15"/>
      <c r="F1" s="15"/>
      <c r="G1" s="15"/>
      <c r="H1" s="15"/>
      <c r="I1" s="15"/>
      <c r="J1" s="15"/>
    </row>
    <row r="2" spans="1:10" s="1" customFormat="1" ht="13">
      <c r="A2" s="5" t="s">
        <v>24</v>
      </c>
      <c r="B2" s="50">
        <f>IF(Inputs!E4="Yes",Inputs!E5,Inputs!E3)</f>
        <v>0.11579296585803885</v>
      </c>
      <c r="C2" s="5"/>
      <c r="D2" s="8"/>
    </row>
    <row r="3" spans="1:10" s="1" customFormat="1" thickBot="1">
      <c r="A3" s="5"/>
      <c r="B3" s="5"/>
      <c r="C3" s="5"/>
      <c r="D3" s="8"/>
    </row>
    <row r="4" spans="1:10" s="2" customFormat="1" thickBot="1">
      <c r="A4" s="12" t="s">
        <v>18</v>
      </c>
      <c r="B4" s="13"/>
      <c r="C4" s="13"/>
      <c r="D4" s="13"/>
      <c r="E4" s="13"/>
      <c r="F4" s="14"/>
    </row>
    <row r="5" spans="1:10" s="1" customFormat="1" ht="13">
      <c r="A5" s="11"/>
      <c r="B5" s="7">
        <v>1</v>
      </c>
      <c r="C5" s="7">
        <v>2</v>
      </c>
      <c r="D5" s="7">
        <v>3</v>
      </c>
      <c r="E5" s="7">
        <v>4</v>
      </c>
      <c r="F5" s="7">
        <v>5</v>
      </c>
    </row>
    <row r="6" spans="1:10" s="1" customFormat="1" ht="13">
      <c r="A6" s="4" t="s">
        <v>19</v>
      </c>
      <c r="B6" s="51">
        <f>(1+Inputs!$E$56)^B5*Inputs!$E$61</f>
        <v>6442.8</v>
      </c>
      <c r="C6" s="51">
        <f>(1+Inputs!$E$56)^C5*Inputs!$E$61</f>
        <v>6764.9400000000005</v>
      </c>
      <c r="D6" s="51">
        <f>(1+Inputs!$E$56)^D5*Inputs!$E$61</f>
        <v>7103.1870000000008</v>
      </c>
      <c r="E6" s="51">
        <f>(1+Inputs!$E$56)^E5*Inputs!$E$61</f>
        <v>7458.3463499999998</v>
      </c>
      <c r="F6" s="51">
        <f>(1+Inputs!$E$56)^F5*Inputs!$E$61</f>
        <v>7831.2636675000012</v>
      </c>
    </row>
    <row r="7" spans="1:10" s="1" customFormat="1" ht="13">
      <c r="A7" s="4" t="s">
        <v>20</v>
      </c>
      <c r="B7" s="52">
        <f>((1+Inputs!$E$57)^B5*Inputs!$E$62- (1+Inputs!$E$58)^B5*Inputs!$E$63)*(1-'Forecasted Dividends &amp; FCFE'!$B$2)</f>
        <v>560.76410105283196</v>
      </c>
      <c r="C7" s="52">
        <f>((1+Inputs!$E$57)^C5*Inputs!$E$62- (1+Inputs!$E$58)^C5*Inputs!$E$63)*(1-'Forecasted Dividends &amp; FCFE'!$B$2)</f>
        <v>588.80230610547324</v>
      </c>
      <c r="D7" s="52">
        <f>((1+Inputs!$E$57)^D5*Inputs!$E$62- (1+Inputs!$E$58)^D5*Inputs!$E$63)*(1-'Forecasted Dividends &amp; FCFE'!$B$2)</f>
        <v>618.24242141074706</v>
      </c>
      <c r="E7" s="52">
        <f>((1+Inputs!$E$57)^E5*Inputs!$E$62- (1+Inputs!$E$58)^E5*Inputs!$E$63)*(1-'Forecasted Dividends &amp; FCFE'!$B$2)</f>
        <v>649.15454248128424</v>
      </c>
      <c r="F7" s="52">
        <f>((1+Inputs!$E$57)^F5*Inputs!$E$62- (1+Inputs!$E$58)^F5*Inputs!$E$63)*(1-'Forecasted Dividends &amp; FCFE'!$B$2)</f>
        <v>681.61226960534862</v>
      </c>
    </row>
    <row r="8" spans="1:10" s="1" customFormat="1" thickBot="1">
      <c r="A8" s="9" t="s">
        <v>21</v>
      </c>
      <c r="B8" s="53">
        <f>B14*(1-$B$2)</f>
        <v>112.14751496836158</v>
      </c>
      <c r="C8" s="53">
        <f>C14*(1-$B$2)</f>
        <v>117.75489071677963</v>
      </c>
      <c r="D8" s="53">
        <f>D14*(1-$B$2)</f>
        <v>123.64263525261852</v>
      </c>
      <c r="E8" s="53">
        <f>E14*(1-$B$2)</f>
        <v>129.82476701524931</v>
      </c>
      <c r="F8" s="53">
        <f>F14*(1-$B$2)</f>
        <v>136.31600536601215</v>
      </c>
    </row>
    <row r="9" spans="1:10" s="1" customFormat="1" ht="13">
      <c r="A9" s="10" t="s">
        <v>22</v>
      </c>
      <c r="B9" s="54">
        <f>B6-B7-B8</f>
        <v>5769.8883839788059</v>
      </c>
      <c r="C9" s="54">
        <f>C6-C7-C8</f>
        <v>6058.3828031777475</v>
      </c>
      <c r="D9" s="54">
        <f>D6-D7-D8</f>
        <v>6361.3019433366353</v>
      </c>
      <c r="E9" s="54">
        <f>E6-E7-E8</f>
        <v>6679.3670405034663</v>
      </c>
      <c r="F9" s="55">
        <f>F6-F7-F8</f>
        <v>7013.3353925286401</v>
      </c>
    </row>
    <row r="10" spans="1:10" s="1" customFormat="1" ht="13">
      <c r="A10" s="4" t="s">
        <v>23</v>
      </c>
      <c r="B10" s="51">
        <f>(1+Inputs!$D$66)^B5*Inputs!$E$64</f>
        <v>1390.2</v>
      </c>
      <c r="C10" s="51">
        <f>(1+Inputs!$D$66)^C5*Inputs!$E$64</f>
        <v>1459.71</v>
      </c>
      <c r="D10" s="51">
        <f>(1+Inputs!$D$66)^D5*Inputs!$E$64</f>
        <v>1532.6955000000003</v>
      </c>
      <c r="E10" s="51">
        <f>(1+Inputs!$D$66)^E5*Inputs!$E$64</f>
        <v>1609.330275</v>
      </c>
      <c r="F10" s="51">
        <f>(1+Inputs!$D$66)^F5*Inputs!$E$64</f>
        <v>1689.7967887500001</v>
      </c>
    </row>
    <row r="11" spans="1:10" s="1" customFormat="1" ht="13">
      <c r="A11" s="4" t="s">
        <v>60</v>
      </c>
      <c r="B11" s="51">
        <f>B9-B10</f>
        <v>4379.6883839788061</v>
      </c>
      <c r="C11" s="51">
        <f>C9-C10</f>
        <v>4598.6728031777475</v>
      </c>
      <c r="D11" s="51">
        <f>D9-D10</f>
        <v>4828.6064433366355</v>
      </c>
      <c r="E11" s="51">
        <f>E9-E10</f>
        <v>5070.0367655034661</v>
      </c>
      <c r="F11" s="51">
        <f>F9-F10</f>
        <v>5323.5386037786402</v>
      </c>
    </row>
    <row r="12" spans="1:10" s="1" customFormat="1" ht="13">
      <c r="B12" s="3"/>
      <c r="C12" s="3"/>
      <c r="D12" s="3"/>
      <c r="E12" s="3"/>
      <c r="F12" s="3"/>
    </row>
    <row r="13" spans="1:10" s="1" customFormat="1" ht="13">
      <c r="A13" s="4" t="s">
        <v>61</v>
      </c>
      <c r="B13" s="52">
        <f>Inputs!$E$60*(1+Inputs!$E$55)^B5</f>
        <v>44391.9</v>
      </c>
      <c r="C13" s="52">
        <f>Inputs!$E$60*(1+Inputs!$E$55)^C5</f>
        <v>46611.495000000003</v>
      </c>
      <c r="D13" s="52">
        <f>Inputs!$E$60*(1+Inputs!$E$55)^D5</f>
        <v>48942.069750000002</v>
      </c>
      <c r="E13" s="52">
        <f>Inputs!$E$60*(1+Inputs!$E$55)^E5</f>
        <v>51389.173237499999</v>
      </c>
      <c r="F13" s="52">
        <f>Inputs!$E$60*(1+Inputs!$E$55)^F5</f>
        <v>53958.631899375003</v>
      </c>
    </row>
    <row r="14" spans="1:10" s="1" customFormat="1" ht="13">
      <c r="A14" s="4" t="s">
        <v>62</v>
      </c>
      <c r="B14" s="52">
        <f>(B13-Inputs!E60)*Inputs!$E$59</f>
        <v>126.83400000000009</v>
      </c>
      <c r="C14" s="52">
        <f>(C13-B13)*Inputs!$E$59</f>
        <v>133.17570000000006</v>
      </c>
      <c r="D14" s="52">
        <f>(D13-C13)*Inputs!$E$59</f>
        <v>139.83448499999997</v>
      </c>
      <c r="E14" s="52">
        <f>(E13-D13)*Inputs!$E$59</f>
        <v>146.82620924999981</v>
      </c>
      <c r="F14" s="52">
        <f>(F13-E13)*Inputs!$E$59</f>
        <v>154.16751971250022</v>
      </c>
    </row>
  </sheetData>
  <phoneticPr fontId="11" type="noConversion"/>
  <pageMargins left="0.75" right="0.75" top="1" bottom="1" header="0.5" footer="0.5"/>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D99"/>
  <sheetViews>
    <sheetView workbookViewId="0">
      <selection activeCell="C1" sqref="C1:D99"/>
    </sheetView>
  </sheetViews>
  <sheetFormatPr baseColWidth="10" defaultRowHeight="14"/>
  <cols>
    <col min="1" max="1" width="7.85546875" style="57" customWidth="1"/>
    <col min="2" max="2" width="23.5703125" style="57" customWidth="1"/>
    <col min="3" max="3" width="13.28515625" style="57" customWidth="1"/>
    <col min="4" max="4" width="12" style="57" bestFit="1" customWidth="1"/>
  </cols>
  <sheetData>
    <row r="1" spans="1:4" s="74" customFormat="1" ht="34">
      <c r="A1" s="73" t="s">
        <v>47</v>
      </c>
      <c r="B1" s="73" t="s">
        <v>120</v>
      </c>
      <c r="C1" s="73" t="s">
        <v>96</v>
      </c>
      <c r="D1" s="73" t="s">
        <v>127</v>
      </c>
    </row>
    <row r="2" spans="1:4" ht="16">
      <c r="A2" s="61">
        <v>1928</v>
      </c>
      <c r="B2" s="62">
        <v>0.43811155152887893</v>
      </c>
      <c r="C2" s="62">
        <v>3.0800000000000001E-2</v>
      </c>
      <c r="D2" s="62">
        <v>8.354708589799302E-3</v>
      </c>
    </row>
    <row r="3" spans="1:4" ht="16">
      <c r="A3" s="63">
        <v>1929</v>
      </c>
      <c r="B3" s="64">
        <v>-8.2979466119096595E-2</v>
      </c>
      <c r="C3" s="64">
        <v>3.1600000000000003E-2</v>
      </c>
      <c r="D3" s="64">
        <v>4.2038041563204259E-2</v>
      </c>
    </row>
    <row r="4" spans="1:4" ht="16">
      <c r="A4" s="61">
        <v>1930</v>
      </c>
      <c r="B4" s="62">
        <v>-0.25123636363636365</v>
      </c>
      <c r="C4" s="62">
        <v>4.5499999999999999E-2</v>
      </c>
      <c r="D4" s="62">
        <v>4.5409314348970366E-2</v>
      </c>
    </row>
    <row r="5" spans="1:4" ht="16">
      <c r="A5" s="63">
        <v>1931</v>
      </c>
      <c r="B5" s="64">
        <v>-0.43837548891786188</v>
      </c>
      <c r="C5" s="64">
        <v>2.3099999999999999E-2</v>
      </c>
      <c r="D5" s="64">
        <v>-2.5588559619422531E-2</v>
      </c>
    </row>
    <row r="6" spans="1:4" ht="16">
      <c r="A6" s="61">
        <v>1932</v>
      </c>
      <c r="B6" s="62">
        <v>-8.642364532019696E-2</v>
      </c>
      <c r="C6" s="62">
        <v>1.0699999999999999E-2</v>
      </c>
      <c r="D6" s="62">
        <v>8.7903069904773257E-2</v>
      </c>
    </row>
    <row r="7" spans="1:4" ht="16">
      <c r="A7" s="63">
        <v>1933</v>
      </c>
      <c r="B7" s="64">
        <v>0.49982225433526023</v>
      </c>
      <c r="C7" s="64">
        <v>9.5999999999999992E-3</v>
      </c>
      <c r="D7" s="64">
        <v>1.8552720891857361E-2</v>
      </c>
    </row>
    <row r="8" spans="1:4" ht="16">
      <c r="A8" s="61">
        <v>1934</v>
      </c>
      <c r="B8" s="62">
        <v>-1.1885656970912803E-2</v>
      </c>
      <c r="C8" s="62">
        <v>2.7833333333333334E-3</v>
      </c>
      <c r="D8" s="62">
        <v>7.9634426179656104E-2</v>
      </c>
    </row>
    <row r="9" spans="1:4" ht="16">
      <c r="A9" s="63">
        <v>1935</v>
      </c>
      <c r="B9" s="64">
        <v>0.46740421052631581</v>
      </c>
      <c r="C9" s="64">
        <v>1.6750000000000001E-3</v>
      </c>
      <c r="D9" s="64">
        <v>4.4720477296566127E-2</v>
      </c>
    </row>
    <row r="10" spans="1:4" ht="16">
      <c r="A10" s="61">
        <v>1936</v>
      </c>
      <c r="B10" s="62">
        <v>0.31943410275502609</v>
      </c>
      <c r="C10" s="62">
        <v>1.725E-3</v>
      </c>
      <c r="D10" s="62">
        <v>5.0178754045450601E-2</v>
      </c>
    </row>
    <row r="11" spans="1:4" ht="16">
      <c r="A11" s="63">
        <v>1937</v>
      </c>
      <c r="B11" s="64">
        <v>-0.35336728754365537</v>
      </c>
      <c r="C11" s="64">
        <v>2.7583333333333331E-3</v>
      </c>
      <c r="D11" s="64">
        <v>1.379146059646038E-2</v>
      </c>
    </row>
    <row r="12" spans="1:4" ht="16">
      <c r="A12" s="61">
        <v>1938</v>
      </c>
      <c r="B12" s="62">
        <v>0.29282654028436017</v>
      </c>
      <c r="C12" s="62">
        <v>6.4999999999999997E-4</v>
      </c>
      <c r="D12" s="62">
        <v>4.2132485322046068E-2</v>
      </c>
    </row>
    <row r="13" spans="1:4" ht="16">
      <c r="A13" s="63">
        <v>1939</v>
      </c>
      <c r="B13" s="64">
        <v>-1.0975646879756443E-2</v>
      </c>
      <c r="C13" s="64">
        <v>4.5833333333333332E-4</v>
      </c>
      <c r="D13" s="64">
        <v>4.4122613942060671E-2</v>
      </c>
    </row>
    <row r="14" spans="1:4" ht="16">
      <c r="A14" s="61">
        <v>1940</v>
      </c>
      <c r="B14" s="62">
        <v>-0.10672873194221515</v>
      </c>
      <c r="C14" s="62">
        <v>3.5833333333333333E-4</v>
      </c>
      <c r="D14" s="62">
        <v>5.4024815962845509E-2</v>
      </c>
    </row>
    <row r="15" spans="1:4" ht="16">
      <c r="A15" s="63">
        <v>1941</v>
      </c>
      <c r="B15" s="64">
        <v>-0.12771455576559551</v>
      </c>
      <c r="C15" s="64">
        <v>1.2916666666666669E-3</v>
      </c>
      <c r="D15" s="64">
        <v>-2.0221975848580105E-2</v>
      </c>
    </row>
    <row r="16" spans="1:4" ht="16">
      <c r="A16" s="61">
        <v>1942</v>
      </c>
      <c r="B16" s="62">
        <v>0.19173762945914843</v>
      </c>
      <c r="C16" s="62">
        <v>3.4250000000000001E-3</v>
      </c>
      <c r="D16" s="62">
        <v>2.2948682374484164E-2</v>
      </c>
    </row>
    <row r="17" spans="1:4" ht="16">
      <c r="A17" s="63">
        <v>1943</v>
      </c>
      <c r="B17" s="64">
        <v>0.25061310133060394</v>
      </c>
      <c r="C17" s="64">
        <v>3.8E-3</v>
      </c>
      <c r="D17" s="64">
        <v>2.4899999999999999E-2</v>
      </c>
    </row>
    <row r="18" spans="1:4" ht="16">
      <c r="A18" s="61">
        <v>1944</v>
      </c>
      <c r="B18" s="62">
        <v>0.19030676949443009</v>
      </c>
      <c r="C18" s="62">
        <v>3.8E-3</v>
      </c>
      <c r="D18" s="62">
        <v>2.5776111579070303E-2</v>
      </c>
    </row>
    <row r="19" spans="1:4" ht="16">
      <c r="A19" s="63">
        <v>1945</v>
      </c>
      <c r="B19" s="64">
        <v>0.35821084337349401</v>
      </c>
      <c r="C19" s="64">
        <v>3.8E-3</v>
      </c>
      <c r="D19" s="64">
        <v>3.8044173419237229E-2</v>
      </c>
    </row>
    <row r="20" spans="1:4" ht="16">
      <c r="A20" s="61">
        <v>1946</v>
      </c>
      <c r="B20" s="62">
        <v>-8.4291474654377807E-2</v>
      </c>
      <c r="C20" s="62">
        <v>3.8E-3</v>
      </c>
      <c r="D20" s="62">
        <v>3.1283745375695685E-2</v>
      </c>
    </row>
    <row r="21" spans="1:4" ht="16">
      <c r="A21" s="63">
        <v>1947</v>
      </c>
      <c r="B21" s="64">
        <v>5.1999999999999998E-2</v>
      </c>
      <c r="C21" s="64">
        <v>6.0083333333333334E-3</v>
      </c>
      <c r="D21" s="64">
        <v>9.1969680628322358E-3</v>
      </c>
    </row>
    <row r="22" spans="1:4" ht="16">
      <c r="A22" s="61">
        <v>1948</v>
      </c>
      <c r="B22" s="62">
        <v>5.7045751633986834E-2</v>
      </c>
      <c r="C22" s="62">
        <v>1.0449999999999999E-2</v>
      </c>
      <c r="D22" s="62">
        <v>1.9510369413175046E-2</v>
      </c>
    </row>
    <row r="23" spans="1:4" ht="16">
      <c r="A23" s="63">
        <v>1949</v>
      </c>
      <c r="B23" s="64">
        <v>0.18303223684210526</v>
      </c>
      <c r="C23" s="64">
        <v>1.115E-2</v>
      </c>
      <c r="D23" s="64">
        <v>4.6634851827973139E-2</v>
      </c>
    </row>
    <row r="24" spans="1:4" ht="16">
      <c r="A24" s="61">
        <v>1950</v>
      </c>
      <c r="B24" s="62">
        <v>0.30805539011316263</v>
      </c>
      <c r="C24" s="62">
        <v>1.2033333333333333E-2</v>
      </c>
      <c r="D24" s="62">
        <v>4.2959574171096103E-3</v>
      </c>
    </row>
    <row r="25" spans="1:4" ht="16">
      <c r="A25" s="63">
        <v>1951</v>
      </c>
      <c r="B25" s="64">
        <v>0.23678463044542339</v>
      </c>
      <c r="C25" s="64">
        <v>1.5175000000000001E-2</v>
      </c>
      <c r="D25" s="64">
        <v>-2.9531392208319886E-3</v>
      </c>
    </row>
    <row r="26" spans="1:4" ht="16">
      <c r="A26" s="61">
        <v>1952</v>
      </c>
      <c r="B26" s="62">
        <v>0.18150988641144306</v>
      </c>
      <c r="C26" s="62">
        <v>1.7225000000000001E-2</v>
      </c>
      <c r="D26" s="62">
        <v>2.2679961918305656E-2</v>
      </c>
    </row>
    <row r="27" spans="1:4" ht="16">
      <c r="A27" s="63">
        <v>1953</v>
      </c>
      <c r="B27" s="64">
        <v>-1.2082047421904465E-2</v>
      </c>
      <c r="C27" s="64">
        <v>1.8908333333333333E-2</v>
      </c>
      <c r="D27" s="64">
        <v>4.1438402589088513E-2</v>
      </c>
    </row>
    <row r="28" spans="1:4" ht="16">
      <c r="A28" s="61">
        <v>1954</v>
      </c>
      <c r="B28" s="62">
        <v>0.52563321241434902</v>
      </c>
      <c r="C28" s="62">
        <v>9.3752000000000002E-3</v>
      </c>
      <c r="D28" s="62">
        <v>3.2898034558095555E-2</v>
      </c>
    </row>
    <row r="29" spans="1:4" ht="16">
      <c r="A29" s="63">
        <v>1955</v>
      </c>
      <c r="B29" s="64">
        <v>0.32597331851028349</v>
      </c>
      <c r="C29" s="64">
        <v>1.7243426294820716E-2</v>
      </c>
      <c r="D29" s="64">
        <v>-1.3364391288618781E-2</v>
      </c>
    </row>
    <row r="30" spans="1:4" ht="16">
      <c r="A30" s="61">
        <v>1956</v>
      </c>
      <c r="B30" s="62">
        <v>7.4395118733509347E-2</v>
      </c>
      <c r="C30" s="62">
        <v>2.6213888888888887E-2</v>
      </c>
      <c r="D30" s="62">
        <v>-2.2557738173154165E-2</v>
      </c>
    </row>
    <row r="31" spans="1:4" ht="16">
      <c r="A31" s="63">
        <v>1957</v>
      </c>
      <c r="B31" s="64">
        <v>-0.1045736018855796</v>
      </c>
      <c r="C31" s="64">
        <v>3.2245669291338583E-2</v>
      </c>
      <c r="D31" s="64">
        <v>6.7970128466249904E-2</v>
      </c>
    </row>
    <row r="32" spans="1:4" ht="16">
      <c r="A32" s="61">
        <v>1958</v>
      </c>
      <c r="B32" s="62">
        <v>0.43719954988747184</v>
      </c>
      <c r="C32" s="62">
        <v>1.7665461847389558E-2</v>
      </c>
      <c r="D32" s="62">
        <v>-2.0990181755274694E-2</v>
      </c>
    </row>
    <row r="33" spans="1:4" ht="16">
      <c r="A33" s="63">
        <v>1959</v>
      </c>
      <c r="B33" s="64">
        <v>0.12056457163557326</v>
      </c>
      <c r="C33" s="64">
        <v>3.3860159362549803E-2</v>
      </c>
      <c r="D33" s="64">
        <v>-2.6466312591385065E-2</v>
      </c>
    </row>
    <row r="34" spans="1:4" ht="16">
      <c r="A34" s="61">
        <v>1960</v>
      </c>
      <c r="B34" s="62">
        <v>3.36535314743695E-3</v>
      </c>
      <c r="C34" s="62">
        <v>2.8729718875502006E-2</v>
      </c>
      <c r="D34" s="62">
        <v>0.11639503690963365</v>
      </c>
    </row>
    <row r="35" spans="1:4" ht="16">
      <c r="A35" s="63">
        <v>1961</v>
      </c>
      <c r="B35" s="64">
        <v>0.26637712958182752</v>
      </c>
      <c r="C35" s="64">
        <v>2.3524899598393576E-2</v>
      </c>
      <c r="D35" s="64">
        <v>2.0609208076323167E-2</v>
      </c>
    </row>
    <row r="36" spans="1:4" ht="16">
      <c r="A36" s="61">
        <v>1962</v>
      </c>
      <c r="B36" s="62">
        <v>-8.8114605171208879E-2</v>
      </c>
      <c r="C36" s="62">
        <v>2.7723694779116466E-2</v>
      </c>
      <c r="D36" s="62">
        <v>5.693544054008462E-2</v>
      </c>
    </row>
    <row r="37" spans="1:4" ht="16">
      <c r="A37" s="63">
        <v>1963</v>
      </c>
      <c r="B37" s="64">
        <v>0.22611927099841514</v>
      </c>
      <c r="C37" s="64">
        <v>3.1560240963855422E-2</v>
      </c>
      <c r="D37" s="64">
        <v>1.6841620739546127E-2</v>
      </c>
    </row>
    <row r="38" spans="1:4" ht="16">
      <c r="A38" s="61">
        <v>1964</v>
      </c>
      <c r="B38" s="62">
        <v>0.16415455878432425</v>
      </c>
      <c r="C38" s="62">
        <v>3.5457370517928286E-2</v>
      </c>
      <c r="D38" s="62">
        <v>3.7280648911540815E-2</v>
      </c>
    </row>
    <row r="39" spans="1:4" ht="16">
      <c r="A39" s="63">
        <v>1965</v>
      </c>
      <c r="B39" s="64">
        <v>0.12399242477876114</v>
      </c>
      <c r="C39" s="64">
        <v>3.9490763052208833E-2</v>
      </c>
      <c r="D39" s="64">
        <v>7.1885509359262342E-3</v>
      </c>
    </row>
    <row r="40" spans="1:4" ht="16">
      <c r="A40" s="61">
        <v>1966</v>
      </c>
      <c r="B40" s="62">
        <v>-9.9709542356377898E-2</v>
      </c>
      <c r="C40" s="62">
        <v>4.8557199999999995E-2</v>
      </c>
      <c r="D40" s="62">
        <v>2.9079409324299622E-2</v>
      </c>
    </row>
    <row r="41" spans="1:4" ht="16">
      <c r="A41" s="63">
        <v>1967</v>
      </c>
      <c r="B41" s="64">
        <v>0.23802966513133328</v>
      </c>
      <c r="C41" s="64">
        <v>4.2934538152610439E-2</v>
      </c>
      <c r="D41" s="64">
        <v>-1.5806209932824666E-2</v>
      </c>
    </row>
    <row r="42" spans="1:4" ht="16">
      <c r="A42" s="61">
        <v>1968</v>
      </c>
      <c r="B42" s="62">
        <v>0.10814862651601535</v>
      </c>
      <c r="C42" s="62">
        <v>5.3376E-2</v>
      </c>
      <c r="D42" s="62">
        <v>3.2746196950768365E-2</v>
      </c>
    </row>
    <row r="43" spans="1:4" ht="16">
      <c r="A43" s="63">
        <v>1969</v>
      </c>
      <c r="B43" s="64">
        <v>-8.2413710764490639E-2</v>
      </c>
      <c r="C43" s="64">
        <v>6.668467741935484E-2</v>
      </c>
      <c r="D43" s="64">
        <v>-5.0140493209926106E-2</v>
      </c>
    </row>
    <row r="44" spans="1:4" ht="16">
      <c r="A44" s="61">
        <v>1970</v>
      </c>
      <c r="B44" s="62">
        <v>3.5611449054964189E-2</v>
      </c>
      <c r="C44" s="62">
        <v>6.3909999999999995E-2</v>
      </c>
      <c r="D44" s="62">
        <v>0.16754737183412338</v>
      </c>
    </row>
    <row r="45" spans="1:4" ht="16">
      <c r="A45" s="63">
        <v>1971</v>
      </c>
      <c r="B45" s="64">
        <v>0.14221150298426474</v>
      </c>
      <c r="C45" s="64">
        <v>4.3342570281124503E-2</v>
      </c>
      <c r="D45" s="64">
        <v>9.7868966197122972E-2</v>
      </c>
    </row>
    <row r="46" spans="1:4" ht="16">
      <c r="A46" s="61">
        <v>1972</v>
      </c>
      <c r="B46" s="62">
        <v>0.18755362915074925</v>
      </c>
      <c r="C46" s="62">
        <v>4.0618399999999999E-2</v>
      </c>
      <c r="D46" s="62">
        <v>2.818449050444969E-2</v>
      </c>
    </row>
    <row r="47" spans="1:4" ht="16">
      <c r="A47" s="63">
        <v>1973</v>
      </c>
      <c r="B47" s="64">
        <v>-0.14308047437526472</v>
      </c>
      <c r="C47" s="64">
        <v>7.0354435483870964E-2</v>
      </c>
      <c r="D47" s="64">
        <v>3.6586646024150085E-2</v>
      </c>
    </row>
    <row r="48" spans="1:4" ht="16">
      <c r="A48" s="61">
        <v>1974</v>
      </c>
      <c r="B48" s="62">
        <v>-0.25901785750896972</v>
      </c>
      <c r="C48" s="62">
        <v>7.8457831325301208E-2</v>
      </c>
      <c r="D48" s="62">
        <v>1.9886086932378574E-2</v>
      </c>
    </row>
    <row r="49" spans="1:4" ht="16">
      <c r="A49" s="63">
        <v>1975</v>
      </c>
      <c r="B49" s="64">
        <v>0.36995137106184356</v>
      </c>
      <c r="C49" s="64">
        <v>5.7863855421686747E-2</v>
      </c>
      <c r="D49" s="64">
        <v>3.6052536026033838E-2</v>
      </c>
    </row>
    <row r="50" spans="1:4" ht="16">
      <c r="A50" s="61">
        <v>1976</v>
      </c>
      <c r="B50" s="62">
        <v>0.23830999002106662</v>
      </c>
      <c r="C50" s="62">
        <v>4.9766000000000005E-2</v>
      </c>
      <c r="D50" s="62">
        <v>0.1598456074290921</v>
      </c>
    </row>
    <row r="51" spans="1:4" ht="16">
      <c r="A51" s="63">
        <v>1977</v>
      </c>
      <c r="B51" s="64">
        <v>-6.9797040759352322E-2</v>
      </c>
      <c r="C51" s="64">
        <v>5.2609638554216867E-2</v>
      </c>
      <c r="D51" s="64">
        <v>1.2899606071070449E-2</v>
      </c>
    </row>
    <row r="52" spans="1:4" ht="16">
      <c r="A52" s="61">
        <v>1978</v>
      </c>
      <c r="B52" s="62">
        <v>6.50928391167193E-2</v>
      </c>
      <c r="C52" s="62">
        <v>7.1783064516129036E-2</v>
      </c>
      <c r="D52" s="62">
        <v>-7.7758069075086478E-3</v>
      </c>
    </row>
    <row r="53" spans="1:4" ht="16">
      <c r="A53" s="63">
        <v>1979</v>
      </c>
      <c r="B53" s="64">
        <v>0.18519490167516386</v>
      </c>
      <c r="C53" s="64">
        <v>0.10054274193548388</v>
      </c>
      <c r="D53" s="64">
        <v>6.7072031247235459E-3</v>
      </c>
    </row>
    <row r="54" spans="1:4" ht="16">
      <c r="A54" s="61">
        <v>1980</v>
      </c>
      <c r="B54" s="62">
        <v>0.3173524550676301</v>
      </c>
      <c r="C54" s="62">
        <v>0.1139188</v>
      </c>
      <c r="D54" s="62">
        <v>-2.989744251999403E-2</v>
      </c>
    </row>
    <row r="55" spans="1:4" ht="16">
      <c r="A55" s="63">
        <v>1981</v>
      </c>
      <c r="B55" s="64">
        <v>-4.7023902474955762E-2</v>
      </c>
      <c r="C55" s="64">
        <v>0.14036184738955823</v>
      </c>
      <c r="D55" s="64">
        <v>8.1992153358923542E-2</v>
      </c>
    </row>
    <row r="56" spans="1:4" ht="16">
      <c r="A56" s="61">
        <v>1982</v>
      </c>
      <c r="B56" s="62">
        <v>0.20419055079559353</v>
      </c>
      <c r="C56" s="62">
        <v>0.1109</v>
      </c>
      <c r="D56" s="62">
        <v>0.32814549486295586</v>
      </c>
    </row>
    <row r="57" spans="1:4" ht="16">
      <c r="A57" s="63">
        <v>1983</v>
      </c>
      <c r="B57" s="64">
        <v>0.22337155858930619</v>
      </c>
      <c r="C57" s="64">
        <v>8.9499999999999996E-2</v>
      </c>
      <c r="D57" s="64">
        <v>3.2002094451429264E-2</v>
      </c>
    </row>
    <row r="58" spans="1:4" ht="16">
      <c r="A58" s="61">
        <v>1984</v>
      </c>
      <c r="B58" s="62">
        <v>6.14614199963621E-2</v>
      </c>
      <c r="C58" s="62">
        <v>9.9199999999999997E-2</v>
      </c>
      <c r="D58" s="62">
        <v>0.13733364344102345</v>
      </c>
    </row>
    <row r="59" spans="1:4" ht="16">
      <c r="A59" s="63">
        <v>1985</v>
      </c>
      <c r="B59" s="64">
        <v>0.31235149485768948</v>
      </c>
      <c r="C59" s="64">
        <v>7.7199999999999991E-2</v>
      </c>
      <c r="D59" s="64">
        <v>0.2571248821260641</v>
      </c>
    </row>
    <row r="60" spans="1:4" ht="16">
      <c r="A60" s="61">
        <v>1986</v>
      </c>
      <c r="B60" s="62">
        <v>0.18494578758046187</v>
      </c>
      <c r="C60" s="62">
        <v>6.1500000000000006E-2</v>
      </c>
      <c r="D60" s="62">
        <v>0.24284215141767618</v>
      </c>
    </row>
    <row r="61" spans="1:4" ht="16">
      <c r="A61" s="63">
        <v>1987</v>
      </c>
      <c r="B61" s="64">
        <v>5.8127216418218712E-2</v>
      </c>
      <c r="C61" s="64">
        <v>5.96E-2</v>
      </c>
      <c r="D61" s="64">
        <v>-4.9605089379262279E-2</v>
      </c>
    </row>
    <row r="62" spans="1:4" ht="16">
      <c r="A62" s="61">
        <v>1988</v>
      </c>
      <c r="B62" s="62">
        <v>0.16537192812044688</v>
      </c>
      <c r="C62" s="62">
        <v>6.8900000000000003E-2</v>
      </c>
      <c r="D62" s="62">
        <v>8.2235958434841674E-2</v>
      </c>
    </row>
    <row r="63" spans="1:4" ht="16">
      <c r="A63" s="63">
        <v>1989</v>
      </c>
      <c r="B63" s="64">
        <v>0.31475183638196724</v>
      </c>
      <c r="C63" s="64">
        <v>8.3900000000000002E-2</v>
      </c>
      <c r="D63" s="64">
        <v>0.17693647159446219</v>
      </c>
    </row>
    <row r="64" spans="1:4" ht="16">
      <c r="A64" s="61">
        <v>1990</v>
      </c>
      <c r="B64" s="62">
        <v>-3.0644516129032118E-2</v>
      </c>
      <c r="C64" s="62">
        <v>7.7499999999999999E-2</v>
      </c>
      <c r="D64" s="62">
        <v>6.2353753335533363E-2</v>
      </c>
    </row>
    <row r="65" spans="1:4" ht="16">
      <c r="A65" s="63">
        <v>1991</v>
      </c>
      <c r="B65" s="64">
        <v>0.30234843134879757</v>
      </c>
      <c r="C65" s="64">
        <v>5.5399999999999998E-2</v>
      </c>
      <c r="D65" s="64">
        <v>0.15004510019517303</v>
      </c>
    </row>
    <row r="66" spans="1:4" ht="16">
      <c r="A66" s="61">
        <v>1992</v>
      </c>
      <c r="B66" s="62">
        <v>7.493727972380064E-2</v>
      </c>
      <c r="C66" s="62">
        <v>3.5099999999999999E-2</v>
      </c>
      <c r="D66" s="62">
        <v>9.3616373162079422E-2</v>
      </c>
    </row>
    <row r="67" spans="1:4" ht="16">
      <c r="A67" s="63">
        <v>1993</v>
      </c>
      <c r="B67" s="64">
        <v>9.96705147919488E-2</v>
      </c>
      <c r="C67" s="64">
        <v>3.0699999999999998E-2</v>
      </c>
      <c r="D67" s="64">
        <v>0.14210957589263107</v>
      </c>
    </row>
    <row r="68" spans="1:4" ht="16">
      <c r="A68" s="61">
        <v>1994</v>
      </c>
      <c r="B68" s="62">
        <v>1.3259206774573897E-2</v>
      </c>
      <c r="C68" s="62">
        <v>4.3700000000000003E-2</v>
      </c>
      <c r="D68" s="62">
        <v>-8.0366555509985921E-2</v>
      </c>
    </row>
    <row r="69" spans="1:4" ht="16">
      <c r="A69" s="63">
        <v>1995</v>
      </c>
      <c r="B69" s="64">
        <v>0.37195198902606308</v>
      </c>
      <c r="C69" s="64">
        <v>5.6600000000000004E-2</v>
      </c>
      <c r="D69" s="64">
        <v>0.23480780112538907</v>
      </c>
    </row>
    <row r="70" spans="1:4" ht="16">
      <c r="A70" s="61">
        <v>1996</v>
      </c>
      <c r="B70" s="62">
        <v>0.22680966018865789</v>
      </c>
      <c r="C70" s="62">
        <v>5.1500000000000004E-2</v>
      </c>
      <c r="D70" s="62">
        <v>1.428607793401844E-2</v>
      </c>
    </row>
    <row r="71" spans="1:4" ht="16">
      <c r="A71" s="63">
        <v>1997</v>
      </c>
      <c r="B71" s="64">
        <v>0.33103653103653097</v>
      </c>
      <c r="C71" s="64">
        <v>5.2000000000000005E-2</v>
      </c>
      <c r="D71" s="64">
        <v>9.939130272977531E-2</v>
      </c>
    </row>
    <row r="72" spans="1:4" ht="16">
      <c r="A72" s="61">
        <v>1998</v>
      </c>
      <c r="B72" s="62">
        <v>0.28337953278443584</v>
      </c>
      <c r="C72" s="62">
        <v>4.9100000000000005E-2</v>
      </c>
      <c r="D72" s="62">
        <v>0.14921431922606215</v>
      </c>
    </row>
    <row r="73" spans="1:4" ht="16">
      <c r="A73" s="63">
        <v>1999</v>
      </c>
      <c r="B73" s="64">
        <v>0.20885350992084475</v>
      </c>
      <c r="C73" s="64">
        <v>4.7800000000000002E-2</v>
      </c>
      <c r="D73" s="64">
        <v>-8.2542147962685761E-2</v>
      </c>
    </row>
    <row r="74" spans="1:4" ht="16">
      <c r="A74" s="61">
        <v>2000</v>
      </c>
      <c r="B74" s="62">
        <v>-9.0318189552492781E-2</v>
      </c>
      <c r="C74" s="62">
        <v>0.06</v>
      </c>
      <c r="D74" s="62">
        <v>0.16655267125397488</v>
      </c>
    </row>
    <row r="75" spans="1:4" ht="16">
      <c r="A75" s="63">
        <v>2001</v>
      </c>
      <c r="B75" s="64">
        <v>-0.11849759142000185</v>
      </c>
      <c r="C75" s="64">
        <v>3.4799999999999998E-2</v>
      </c>
      <c r="D75" s="64">
        <v>5.5721811892492555E-2</v>
      </c>
    </row>
    <row r="76" spans="1:4" ht="16">
      <c r="A76" s="61">
        <v>2002</v>
      </c>
      <c r="B76" s="62">
        <v>-0.21966047957912699</v>
      </c>
      <c r="C76" s="62">
        <v>1.6399999999999998E-2</v>
      </c>
      <c r="D76" s="62">
        <v>0.15116400378109285</v>
      </c>
    </row>
    <row r="77" spans="1:4" ht="16">
      <c r="A77" s="63">
        <v>2003</v>
      </c>
      <c r="B77" s="64">
        <v>0.28355800050010233</v>
      </c>
      <c r="C77" s="64">
        <v>1.03E-2</v>
      </c>
      <c r="D77" s="64">
        <v>3.7531858817758529E-3</v>
      </c>
    </row>
    <row r="78" spans="1:4" ht="16">
      <c r="A78" s="61">
        <v>2004</v>
      </c>
      <c r="B78" s="62">
        <v>0.10742775944096193</v>
      </c>
      <c r="C78" s="62">
        <v>1.3999999999999999E-2</v>
      </c>
      <c r="D78" s="62">
        <v>4.490683702274547E-2</v>
      </c>
    </row>
    <row r="79" spans="1:4" ht="16">
      <c r="A79" s="63">
        <v>2005</v>
      </c>
      <c r="B79" s="64">
        <v>4.8344775232688535E-2</v>
      </c>
      <c r="C79" s="64">
        <v>3.2199999999999999E-2</v>
      </c>
      <c r="D79" s="64">
        <v>2.8675329597779506E-2</v>
      </c>
    </row>
    <row r="80" spans="1:4" ht="16">
      <c r="A80" s="61">
        <v>2006</v>
      </c>
      <c r="B80" s="62">
        <v>0.15612557979315703</v>
      </c>
      <c r="C80" s="62">
        <v>4.8499999999999995E-2</v>
      </c>
      <c r="D80" s="62">
        <v>1.9610012417568386E-2</v>
      </c>
    </row>
    <row r="81" spans="1:4" ht="16">
      <c r="A81" s="63">
        <v>2007</v>
      </c>
      <c r="B81" s="64">
        <v>5.4847352464217694E-2</v>
      </c>
      <c r="C81" s="64">
        <v>4.4800000000000006E-2</v>
      </c>
      <c r="D81" s="64">
        <v>0.10209921930012807</v>
      </c>
    </row>
    <row r="82" spans="1:4" ht="16">
      <c r="A82" s="61">
        <v>2008</v>
      </c>
      <c r="B82" s="62">
        <v>-0.36552344111798191</v>
      </c>
      <c r="C82" s="62">
        <v>1.3999999999999999E-2</v>
      </c>
      <c r="D82" s="62">
        <v>0.20101279926977011</v>
      </c>
    </row>
    <row r="83" spans="1:4" ht="16">
      <c r="A83" s="63">
        <v>2009</v>
      </c>
      <c r="B83" s="64">
        <v>0.25935233877663982</v>
      </c>
      <c r="C83" s="64">
        <v>1.5E-3</v>
      </c>
      <c r="D83" s="64">
        <v>-0.11116695313259162</v>
      </c>
    </row>
    <row r="84" spans="1:4" ht="16">
      <c r="A84" s="61">
        <v>2010</v>
      </c>
      <c r="B84" s="62">
        <v>0.14821092278719414</v>
      </c>
      <c r="C84" s="62">
        <v>1.4000000000000002E-3</v>
      </c>
      <c r="D84" s="62">
        <v>8.4629338803557719E-2</v>
      </c>
    </row>
    <row r="85" spans="1:4" ht="16">
      <c r="A85" s="63">
        <v>2011</v>
      </c>
      <c r="B85" s="64">
        <v>2.09837473362805E-2</v>
      </c>
      <c r="C85" s="64">
        <v>5.0000000000000001E-4</v>
      </c>
      <c r="D85" s="64">
        <v>0.16035334999461354</v>
      </c>
    </row>
    <row r="86" spans="1:4" ht="16">
      <c r="A86" s="61">
        <v>2012</v>
      </c>
      <c r="B86" s="62">
        <v>0.15890585241730293</v>
      </c>
      <c r="C86" s="62">
        <v>8.9999999999999998E-4</v>
      </c>
      <c r="D86" s="62">
        <v>2.971571978018946E-2</v>
      </c>
    </row>
    <row r="87" spans="1:4" ht="16">
      <c r="A87" s="63">
        <v>2013</v>
      </c>
      <c r="B87" s="64">
        <v>0.32145085858125483</v>
      </c>
      <c r="C87" s="64">
        <v>5.9999999999999995E-4</v>
      </c>
      <c r="D87" s="64">
        <v>-9.104568794347262E-2</v>
      </c>
    </row>
    <row r="88" spans="1:4" ht="16">
      <c r="A88" s="61">
        <v>2014</v>
      </c>
      <c r="B88" s="62">
        <v>0.13524421649462237</v>
      </c>
      <c r="C88" s="62">
        <v>2.9999999999999997E-4</v>
      </c>
      <c r="D88" s="62">
        <v>0.10746180452004755</v>
      </c>
    </row>
    <row r="89" spans="1:4" ht="16">
      <c r="A89" s="65">
        <v>2015</v>
      </c>
      <c r="B89" s="64">
        <v>1.3788916411676138E-2</v>
      </c>
      <c r="C89" s="64">
        <v>5.0000000000000001E-4</v>
      </c>
      <c r="D89" s="64">
        <v>1.2842996709792224E-2</v>
      </c>
    </row>
    <row r="90" spans="1:4" ht="16">
      <c r="A90" s="66">
        <v>2016</v>
      </c>
      <c r="B90" s="62">
        <v>0.11773080874798171</v>
      </c>
      <c r="C90" s="62">
        <v>3.2000000000000002E-3</v>
      </c>
      <c r="D90" s="62">
        <v>6.9055046987477921E-3</v>
      </c>
    </row>
    <row r="91" spans="1:4" ht="16">
      <c r="A91" s="67">
        <v>2017</v>
      </c>
      <c r="B91" s="64">
        <v>0.2160548143449928</v>
      </c>
      <c r="C91" s="64">
        <v>9.4999999999999998E-3</v>
      </c>
      <c r="D91" s="64">
        <v>2.8017162707789457E-2</v>
      </c>
    </row>
    <row r="92" spans="1:4" ht="16">
      <c r="A92" s="66">
        <v>2018</v>
      </c>
      <c r="B92" s="62">
        <v>-4.2268692890885438E-2</v>
      </c>
      <c r="C92" s="62">
        <v>1.9699999999999999E-2</v>
      </c>
      <c r="D92" s="62">
        <v>-1.6692385713402633E-4</v>
      </c>
    </row>
    <row r="93" spans="1:4" ht="16">
      <c r="A93" s="63">
        <v>2019</v>
      </c>
      <c r="B93" s="64">
        <v>0.31211679996808755</v>
      </c>
      <c r="C93" s="64">
        <v>2.1099999999999997E-2</v>
      </c>
      <c r="D93" s="64">
        <v>9.6356307415483927E-2</v>
      </c>
    </row>
    <row r="94" spans="1:4" ht="16">
      <c r="A94" s="66">
        <v>2020</v>
      </c>
      <c r="B94" s="62">
        <v>0.18023201827422478</v>
      </c>
      <c r="C94" s="68">
        <v>3.5999999999999999E-3</v>
      </c>
      <c r="D94" s="68">
        <v>0.1133189764661412</v>
      </c>
    </row>
    <row r="95" spans="1:4" ht="16">
      <c r="A95" s="67">
        <v>2021</v>
      </c>
      <c r="B95" s="64">
        <v>0.28468851751964158</v>
      </c>
      <c r="C95" s="69">
        <v>4.0000000000000002E-4</v>
      </c>
      <c r="D95" s="69">
        <v>-4.416034448604475E-2</v>
      </c>
    </row>
    <row r="96" spans="1:4" ht="16">
      <c r="A96" s="70">
        <v>2022</v>
      </c>
      <c r="B96" s="62">
        <v>-0.18037505927178585</v>
      </c>
      <c r="C96" s="71">
        <v>2.0899999999999998E-2</v>
      </c>
      <c r="D96" s="71">
        <v>-0.1782817153825067</v>
      </c>
    </row>
    <row r="97" spans="1:4">
      <c r="A97" s="57">
        <v>2023</v>
      </c>
      <c r="B97" s="72">
        <v>0.26060684985024096</v>
      </c>
      <c r="C97" s="72">
        <v>5.28E-2</v>
      </c>
      <c r="D97" s="72">
        <v>3.8800000000000001E-2</v>
      </c>
    </row>
    <row r="98" spans="1:4">
      <c r="A98" s="57">
        <v>2024</v>
      </c>
      <c r="B98" s="72">
        <v>0.24878611262526726</v>
      </c>
      <c r="C98" s="72">
        <v>5.1799999999999999E-2</v>
      </c>
      <c r="D98" s="72">
        <v>-1.6371801436629807E-2</v>
      </c>
    </row>
    <row r="99" spans="1:4">
      <c r="A99" s="57">
        <v>2025</v>
      </c>
      <c r="B99" s="72">
        <v>0.17723658237597398</v>
      </c>
      <c r="C99" s="72">
        <v>4.2099999999999999E-2</v>
      </c>
      <c r="D99" s="72">
        <v>7.7954808707673962E-2</v>
      </c>
    </row>
  </sheetData>
  <phoneticPr fontId="10"/>
  <pageMargins left="0.75" right="0.75" top="1" bottom="1" header="0.5" footer="0.5"/>
  <pageSetup orientation="portrait" horizontalDpi="4294967292" verticalDpi="4294967292"/>
  <headerFooter alignWithMargins="0"/>
  <tableParts count="1">
    <tablePart r:id="rId1"/>
  </tableParts>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2:B11"/>
  <sheetViews>
    <sheetView workbookViewId="0">
      <selection activeCell="B12" sqref="B12"/>
    </sheetView>
  </sheetViews>
  <sheetFormatPr baseColWidth="10" defaultRowHeight="14"/>
  <sheetData>
    <row r="2" spans="1:2">
      <c r="A2" t="s">
        <v>107</v>
      </c>
      <c r="B2">
        <v>1</v>
      </c>
    </row>
    <row r="3" spans="1:2">
      <c r="A3" t="s">
        <v>101</v>
      </c>
      <c r="B3">
        <v>2</v>
      </c>
    </row>
    <row r="4" spans="1:2">
      <c r="B4">
        <v>3</v>
      </c>
    </row>
    <row r="5" spans="1:2">
      <c r="B5">
        <v>4</v>
      </c>
    </row>
    <row r="6" spans="1:2">
      <c r="B6">
        <v>5</v>
      </c>
    </row>
    <row r="7" spans="1:2">
      <c r="B7">
        <v>6</v>
      </c>
    </row>
    <row r="8" spans="1:2">
      <c r="B8">
        <v>7</v>
      </c>
    </row>
    <row r="9" spans="1:2">
      <c r="B9">
        <v>8</v>
      </c>
    </row>
    <row r="10" spans="1:2">
      <c r="B10">
        <v>9</v>
      </c>
    </row>
    <row r="11" spans="1:2">
      <c r="B11">
        <v>10</v>
      </c>
    </row>
  </sheetData>
  <pageMargins left="0.75" right="0.75" top="1" bottom="1" header="0.5" footer="0.5"/>
  <headerFooter alignWithMargins="0"/>
</worksheet>
</file>

<file path=docProps/app.xml><?xml version="1.0" encoding="utf-8"?>
<Properties xmlns="http://schemas.openxmlformats.org/officeDocument/2006/extended-properties" xmlns:vt="http://schemas.openxmlformats.org/officeDocument/2006/docPropsVTypes">
  <Application>Microsoft Macintosh Excel</Application>
  <DocSecurity>0</DocSecurity>
  <ScaleCrop>false</ScaleCrop>
  <HeadingPairs>
    <vt:vector size="2" baseType="variant">
      <vt:variant>
        <vt:lpstr>Worksheets</vt:lpstr>
      </vt:variant>
      <vt:variant>
        <vt:i4>6</vt:i4>
      </vt:variant>
    </vt:vector>
  </HeadingPairs>
  <TitlesOfParts>
    <vt:vector size="6" baseType="lpstr">
      <vt:lpstr>Read me first</vt:lpstr>
      <vt:lpstr>Inputs</vt:lpstr>
      <vt:lpstr>Analysis of past dividends</vt:lpstr>
      <vt:lpstr>Forecasted Dividends &amp; FCFE</vt:lpstr>
      <vt:lpstr>Historical Stock and T.Bills</vt:lpstr>
      <vt:lpstr>Sheet1</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Aswath Damodaran</dc:creator>
  <cp:lastModifiedBy>Microsoft Office User</cp:lastModifiedBy>
  <dcterms:created xsi:type="dcterms:W3CDTF">2000-04-18T22:01:20Z</dcterms:created>
  <dcterms:modified xsi:type="dcterms:W3CDTF">2026-01-26T13:58:38Z</dcterms:modified>
</cp:coreProperties>
</file>