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024"/>
  <workbookPr showInkAnnotation="0" autoCompressPictures="0"/>
  <bookViews>
    <workbookView xWindow="7920" yWindow="2580" windowWidth="22480" windowHeight="12940" tabRatio="500" firstSheet="3" activeTab="5"/>
  </bookViews>
  <sheets>
    <sheet name="Biggest holders" sheetId="2" r:id="rId1"/>
    <sheet name="Beta Regression" sheetId="1" r:id="rId2"/>
    <sheet name="ERP" sheetId="3" r:id="rId3"/>
    <sheet name="Beta" sheetId="4" r:id="rId4"/>
    <sheet name="Cost of Debt" sheetId="6" r:id="rId5"/>
    <sheet name="Cost of capital" sheetId="8" r:id="rId6"/>
    <sheet name="ROIC &amp; EVA" sheetId="9" r:id="rId7"/>
    <sheet name="Debt Ratios" sheetId="10" r:id="rId8"/>
    <sheet name="Dividend statistics" sheetId="11" r:id="rId9"/>
    <sheet name="Global Betas" sheetId="5" r:id="rId10"/>
    <sheet name="Ratings Lookup" sheetId="7" r:id="rId11"/>
    <sheet name="Global Dividends" sheetId="12" r:id="rId12"/>
    <sheet name="Sheet1" sheetId="13" r:id="rId13"/>
  </sheets>
  <calcPr calcId="140000" iterate="1" iterateDelta="9.9999999999994494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0" i="10" l="1"/>
  <c r="D9" i="10"/>
  <c r="D8" i="10"/>
  <c r="D7" i="10"/>
  <c r="D6" i="10"/>
  <c r="D5" i="10"/>
  <c r="D4" i="10"/>
  <c r="D3" i="10"/>
  <c r="D2" i="10"/>
  <c r="B10" i="8"/>
  <c r="C10" i="8"/>
  <c r="D10" i="8"/>
  <c r="F10" i="8"/>
  <c r="E10" i="8"/>
  <c r="G10" i="8"/>
  <c r="I10" i="9"/>
  <c r="B9" i="8"/>
  <c r="C9" i="8"/>
  <c r="D9" i="8"/>
  <c r="F9" i="8"/>
  <c r="E9" i="8"/>
  <c r="G9" i="8"/>
  <c r="I9" i="9"/>
  <c r="B8" i="8"/>
  <c r="C8" i="8"/>
  <c r="D8" i="8"/>
  <c r="F8" i="8"/>
  <c r="E8" i="8"/>
  <c r="G8" i="8"/>
  <c r="I8" i="9"/>
  <c r="F11" i="3"/>
  <c r="C7" i="8"/>
  <c r="B7" i="8"/>
  <c r="D7" i="8"/>
  <c r="F7" i="8"/>
  <c r="E7" i="8"/>
  <c r="G7" i="8"/>
  <c r="I7" i="9"/>
  <c r="B6" i="8"/>
  <c r="C6" i="8"/>
  <c r="D6" i="8"/>
  <c r="F6" i="8"/>
  <c r="E6" i="8"/>
  <c r="G6" i="8"/>
  <c r="I6" i="9"/>
  <c r="F8" i="3"/>
  <c r="C5" i="8"/>
  <c r="B5" i="8"/>
  <c r="D5" i="8"/>
  <c r="F5" i="8"/>
  <c r="E5" i="8"/>
  <c r="G5" i="8"/>
  <c r="I5" i="9"/>
  <c r="B4" i="8"/>
  <c r="C4" i="8"/>
  <c r="D4" i="8"/>
  <c r="F4" i="8"/>
  <c r="E4" i="8"/>
  <c r="G4" i="8"/>
  <c r="I4" i="9"/>
  <c r="F3" i="3"/>
  <c r="C3" i="8"/>
  <c r="B3" i="8"/>
  <c r="D3" i="8"/>
  <c r="F3" i="8"/>
  <c r="E3" i="8"/>
  <c r="G3" i="8"/>
  <c r="I3" i="9"/>
  <c r="B2" i="8"/>
  <c r="C2" i="8"/>
  <c r="D2" i="8"/>
  <c r="F2" i="8"/>
  <c r="E2" i="8"/>
  <c r="G2" i="8"/>
  <c r="I2" i="9"/>
  <c r="D8" i="11"/>
  <c r="D11" i="3"/>
  <c r="D12" i="3"/>
  <c r="D13" i="3"/>
  <c r="F10" i="3"/>
  <c r="D3" i="3"/>
  <c r="D4" i="3"/>
  <c r="D5" i="3"/>
  <c r="D6" i="3"/>
  <c r="D2" i="3"/>
  <c r="F2" i="3"/>
  <c r="C10" i="10"/>
  <c r="C9" i="10"/>
  <c r="C8" i="10"/>
  <c r="C7" i="10"/>
  <c r="C6" i="10"/>
  <c r="C5" i="10"/>
  <c r="C4" i="10"/>
  <c r="C3" i="10"/>
  <c r="C2" i="10"/>
  <c r="F14" i="3"/>
  <c r="D8" i="3"/>
  <c r="D9" i="3"/>
  <c r="F7" i="3"/>
  <c r="D10" i="11"/>
  <c r="D9" i="11"/>
  <c r="D7" i="11"/>
  <c r="D6" i="11"/>
  <c r="D5" i="11"/>
  <c r="D4" i="11"/>
  <c r="D3" i="11"/>
  <c r="C3" i="6"/>
  <c r="D13" i="6"/>
  <c r="D12" i="6"/>
  <c r="D11" i="6"/>
  <c r="D10" i="6"/>
  <c r="D9" i="6"/>
  <c r="D8" i="6"/>
  <c r="D6" i="6"/>
  <c r="D5" i="6"/>
  <c r="D7" i="6"/>
  <c r="A10" i="1"/>
  <c r="A11" i="4"/>
  <c r="A9" i="1"/>
  <c r="A10" i="4"/>
  <c r="A8" i="1"/>
  <c r="A9" i="4"/>
  <c r="A7" i="1"/>
  <c r="A8" i="4"/>
  <c r="A6" i="1"/>
  <c r="A7" i="4"/>
  <c r="A5" i="1"/>
  <c r="A6" i="4"/>
  <c r="A4" i="1"/>
  <c r="A5" i="4"/>
  <c r="A3" i="1"/>
  <c r="A4" i="4"/>
  <c r="A2" i="1"/>
  <c r="A3" i="4"/>
  <c r="J10" i="1"/>
  <c r="I10" i="1"/>
  <c r="J9" i="1"/>
  <c r="I9" i="1"/>
  <c r="J8" i="1"/>
  <c r="I8" i="1"/>
  <c r="J7" i="1"/>
  <c r="I7" i="1"/>
  <c r="J6" i="1"/>
  <c r="I6" i="1"/>
  <c r="J5" i="1"/>
  <c r="I5" i="1"/>
  <c r="J4" i="1"/>
  <c r="I4" i="1"/>
  <c r="J3" i="1"/>
  <c r="I3" i="1"/>
  <c r="J2" i="1"/>
  <c r="I2" i="1"/>
  <c r="E10" i="1"/>
  <c r="E9" i="1"/>
  <c r="E8" i="1"/>
  <c r="E7" i="1"/>
  <c r="E6" i="1"/>
  <c r="E5" i="1"/>
  <c r="E4" i="1"/>
  <c r="E3" i="1"/>
  <c r="E2" i="1"/>
  <c r="F10" i="11"/>
  <c r="E10" i="11"/>
  <c r="F9" i="11"/>
  <c r="E9" i="11"/>
  <c r="F8" i="11"/>
  <c r="E8" i="11"/>
  <c r="F7" i="11"/>
  <c r="E7" i="11"/>
  <c r="F6" i="11"/>
  <c r="E6" i="11"/>
  <c r="F5" i="11"/>
  <c r="E5" i="11"/>
  <c r="F4" i="11"/>
  <c r="E4" i="11"/>
  <c r="F3" i="11"/>
  <c r="E3" i="11"/>
  <c r="G10" i="11"/>
  <c r="I10" i="11"/>
  <c r="H10" i="11"/>
  <c r="G9" i="11"/>
  <c r="I9" i="11"/>
  <c r="H9" i="11"/>
  <c r="G8" i="11"/>
  <c r="I8" i="11"/>
  <c r="H8" i="11"/>
  <c r="G7" i="11"/>
  <c r="I7" i="11"/>
  <c r="H7" i="11"/>
  <c r="G6" i="11"/>
  <c r="I6" i="11"/>
  <c r="H6" i="11"/>
  <c r="G5" i="11"/>
  <c r="I5" i="11"/>
  <c r="H5" i="11"/>
  <c r="G4" i="11"/>
  <c r="I4" i="11"/>
  <c r="H4" i="11"/>
  <c r="G3" i="11"/>
  <c r="I3" i="11"/>
  <c r="H3" i="11"/>
  <c r="G2" i="11"/>
  <c r="I2" i="11"/>
  <c r="H2" i="11"/>
  <c r="F2" i="11"/>
  <c r="E2" i="11"/>
  <c r="A13" i="6"/>
  <c r="A10" i="8"/>
  <c r="A10" i="9"/>
  <c r="A10" i="10"/>
  <c r="A10" i="11"/>
  <c r="A12" i="6"/>
  <c r="A9" i="8"/>
  <c r="A9" i="9"/>
  <c r="A9" i="10"/>
  <c r="A9" i="11"/>
  <c r="A11" i="6"/>
  <c r="A8" i="8"/>
  <c r="A8" i="9"/>
  <c r="A8" i="10"/>
  <c r="A8" i="11"/>
  <c r="A10" i="6"/>
  <c r="A7" i="8"/>
  <c r="A7" i="9"/>
  <c r="A7" i="10"/>
  <c r="A7" i="11"/>
  <c r="A9" i="6"/>
  <c r="A6" i="8"/>
  <c r="A6" i="9"/>
  <c r="A6" i="10"/>
  <c r="A6" i="11"/>
  <c r="A8" i="6"/>
  <c r="A5" i="8"/>
  <c r="A5" i="9"/>
  <c r="A5" i="10"/>
  <c r="A5" i="11"/>
  <c r="A7" i="6"/>
  <c r="A4" i="8"/>
  <c r="A4" i="9"/>
  <c r="A4" i="10"/>
  <c r="A4" i="11"/>
  <c r="A6" i="6"/>
  <c r="A3" i="8"/>
  <c r="A3" i="9"/>
  <c r="A3" i="10"/>
  <c r="A3" i="11"/>
  <c r="A5" i="6"/>
  <c r="A2" i="8"/>
  <c r="A2" i="9"/>
  <c r="A2" i="10"/>
  <c r="A2" i="11"/>
  <c r="A4" i="6"/>
  <c r="A1" i="8"/>
  <c r="A1" i="9"/>
  <c r="A1" i="10"/>
  <c r="A1" i="11"/>
  <c r="H10" i="10"/>
  <c r="I10" i="10"/>
  <c r="H9" i="10"/>
  <c r="I9" i="10"/>
  <c r="H8" i="10"/>
  <c r="I8" i="10"/>
  <c r="H7" i="10"/>
  <c r="I7" i="10"/>
  <c r="H6" i="10"/>
  <c r="I6" i="10"/>
  <c r="H5" i="10"/>
  <c r="I5" i="10"/>
  <c r="H4" i="10"/>
  <c r="I4" i="10"/>
  <c r="H3" i="10"/>
  <c r="I3" i="10"/>
  <c r="H2" i="10"/>
  <c r="I2" i="10"/>
  <c r="E10" i="10"/>
  <c r="E9" i="10"/>
  <c r="E8" i="10"/>
  <c r="E7" i="10"/>
  <c r="E6" i="10"/>
  <c r="E5" i="10"/>
  <c r="E4" i="10"/>
  <c r="E3" i="10"/>
  <c r="E2" i="10"/>
  <c r="C11" i="4"/>
  <c r="F11" i="4"/>
  <c r="G11" i="4"/>
  <c r="F13" i="6"/>
  <c r="G13" i="6"/>
  <c r="C10" i="4"/>
  <c r="F10" i="4"/>
  <c r="G10" i="4"/>
  <c r="F12" i="6"/>
  <c r="G12" i="6"/>
  <c r="C9" i="4"/>
  <c r="F9" i="4"/>
  <c r="G9" i="4"/>
  <c r="F11" i="6"/>
  <c r="G11" i="6"/>
  <c r="C8" i="4"/>
  <c r="F8" i="4"/>
  <c r="G8" i="4"/>
  <c r="F10" i="6"/>
  <c r="G10" i="6"/>
  <c r="C7" i="4"/>
  <c r="F7" i="4"/>
  <c r="G7" i="4"/>
  <c r="F9" i="6"/>
  <c r="G9" i="6"/>
  <c r="C6" i="4"/>
  <c r="F6" i="4"/>
  <c r="G6" i="4"/>
  <c r="F8" i="6"/>
  <c r="G8" i="6"/>
  <c r="C5" i="4"/>
  <c r="F5" i="4"/>
  <c r="G5" i="4"/>
  <c r="F7" i="6"/>
  <c r="G7" i="6"/>
  <c r="C4" i="4"/>
  <c r="F4" i="4"/>
  <c r="G4" i="4"/>
  <c r="F6" i="6"/>
  <c r="G6" i="6"/>
  <c r="C3" i="4"/>
  <c r="F3" i="4"/>
  <c r="G3" i="4"/>
  <c r="F5" i="6"/>
  <c r="G5" i="6"/>
  <c r="G10" i="9"/>
  <c r="B10" i="9"/>
  <c r="H10" i="9"/>
  <c r="G9" i="9"/>
  <c r="B9" i="9"/>
  <c r="H9" i="9"/>
  <c r="G8" i="9"/>
  <c r="B8" i="9"/>
  <c r="H8" i="9"/>
  <c r="G7" i="9"/>
  <c r="B7" i="9"/>
  <c r="H7" i="9"/>
  <c r="G6" i="9"/>
  <c r="B6" i="9"/>
  <c r="H6" i="9"/>
  <c r="G5" i="9"/>
  <c r="B5" i="9"/>
  <c r="H5" i="9"/>
  <c r="G4" i="9"/>
  <c r="B4" i="9"/>
  <c r="H4" i="9"/>
  <c r="G3" i="9"/>
  <c r="B3" i="9"/>
  <c r="H3" i="9"/>
  <c r="G2" i="9"/>
  <c r="B2" i="9"/>
  <c r="H2" i="9"/>
  <c r="E13" i="6"/>
  <c r="E12" i="6"/>
  <c r="E11" i="6"/>
  <c r="E10" i="6"/>
  <c r="E9" i="6"/>
  <c r="E8" i="6"/>
  <c r="E7" i="6"/>
  <c r="E6" i="6"/>
  <c r="E5" i="6"/>
  <c r="F10" i="1"/>
  <c r="G10" i="1"/>
  <c r="F9" i="1"/>
  <c r="G9" i="1"/>
  <c r="F8" i="1"/>
  <c r="G8" i="1"/>
  <c r="F7" i="1"/>
  <c r="G7" i="1"/>
  <c r="F6" i="1"/>
  <c r="G6" i="1"/>
  <c r="F5" i="1"/>
  <c r="G5" i="1"/>
  <c r="F4" i="1"/>
  <c r="G4" i="1"/>
  <c r="F3" i="1"/>
  <c r="G3" i="1"/>
  <c r="F2" i="1"/>
  <c r="G2" i="1"/>
</calcChain>
</file>

<file path=xl/sharedStrings.xml><?xml version="1.0" encoding="utf-8"?>
<sst xmlns="http://schemas.openxmlformats.org/spreadsheetml/2006/main" count="356" uniqueCount="216">
  <si>
    <t>Company</t>
  </si>
  <si>
    <t>Intercept</t>
  </si>
  <si>
    <t>Beta</t>
  </si>
  <si>
    <t>Rf (1-Beta)</t>
  </si>
  <si>
    <t>Jensen's alpha (monthy)</t>
  </si>
  <si>
    <t>Jensen's alpha (annual)</t>
  </si>
  <si>
    <t>R-squared</t>
  </si>
  <si>
    <t>Biggest Holder</t>
  </si>
  <si>
    <t>Holding</t>
  </si>
  <si>
    <t>Other comments</t>
  </si>
  <si>
    <t>Blackrock, Vanguard</t>
  </si>
  <si>
    <t>Exposure</t>
  </si>
  <si>
    <t>ERP</t>
  </si>
  <si>
    <t>Revenues</t>
  </si>
  <si>
    <t>Rest of the World</t>
  </si>
  <si>
    <t>Europe</t>
  </si>
  <si>
    <t>Proportion</t>
  </si>
  <si>
    <t>Weighted ERP</t>
  </si>
  <si>
    <t>Business</t>
  </si>
  <si>
    <t>Unlevered Beta</t>
  </si>
  <si>
    <t>Total Debt</t>
  </si>
  <si>
    <t>Market Cap</t>
  </si>
  <si>
    <t>D/E Ratio</t>
  </si>
  <si>
    <t>Levered Beta</t>
  </si>
  <si>
    <t>Industry</t>
  </si>
  <si>
    <t>Number of firms</t>
  </si>
  <si>
    <t xml:space="preserve">Beta </t>
  </si>
  <si>
    <t>Tax rate</t>
  </si>
  <si>
    <t>Unlevered beta</t>
  </si>
  <si>
    <t>Cash/Firm value</t>
  </si>
  <si>
    <t>Unlevered beta corrected for cash</t>
  </si>
  <si>
    <t>HiLo Risk</t>
  </si>
  <si>
    <t>Standard deviation of equity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</si>
  <si>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</si>
  <si>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</si>
  <si>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</si>
  <si>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</si>
  <si>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</si>
  <si>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</si>
  <si>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</si>
  <si>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</si>
  <si>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</si>
  <si>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</si>
  <si>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</si>
  <si>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</si>
  <si>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</si>
  <si>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</si>
  <si>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</si>
  <si>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</si>
  <si>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</si>
  <si>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</si>
  <si>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</si>
  <si>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</si>
  <si>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</si>
  <si>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</si>
  <si>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</si>
  <si>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</si>
  <si>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</si>
  <si>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</si>
  <si>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</si>
  <si>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</si>
  <si>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</si>
  <si>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</si>
  <si>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</si>
  <si>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</si>
  <si>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</si>
  <si>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</si>
  <si>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</si>
  <si>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</si>
  <si>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</si>
  <si>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</si>
  <si>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</si>
  <si>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</si>
  <si>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</si>
  <si>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</si>
  <si>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</si>
  <si>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</si>
  <si>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</si>
  <si>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</si>
  <si>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</si>
  <si>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</si>
  <si>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</si>
  <si>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</si>
  <si>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</si>
  <si>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</si>
  <si>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</si>
  <si>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</si>
  <si>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</si>
  <si>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</si>
  <si>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</si>
  <si>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</si>
  <si>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</si>
  <si>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</si>
  <si>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</si>
  <si>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</si>
  <si>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</si>
  <si>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</si>
  <si>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</si>
  <si>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</si>
  <si>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</si>
  <si>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</si>
  <si>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</si>
  <si>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</si>
  <si>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</si>
  <si>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</si>
  <si>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</si>
  <si>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</si>
  <si>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(Online)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</si>
  <si>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</si>
  <si>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</si>
  <si>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</si>
  <si>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</si>
  <si>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</si>
  <si>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</si>
  <si>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</si>
  <si>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</si>
  <si>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</si>
  <si>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</si>
  <si>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</si>
  <si>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</si>
  <si>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</si>
  <si>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</si>
  <si>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</si>
  <si>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</si>
  <si>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</si>
  <si>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Unclassified</t>
  </si>
  <si>
    <t>Utility (General)</t>
  </si>
  <si>
    <t>Utility (Water)</t>
  </si>
  <si>
    <t>Total Market</t>
  </si>
  <si>
    <t>Marginal tax rate =</t>
  </si>
  <si>
    <t>EBIT</t>
  </si>
  <si>
    <t>Interest Expense</t>
  </si>
  <si>
    <t>Interest coverage ratio</t>
  </si>
  <si>
    <t>Bond Rating</t>
  </si>
  <si>
    <t>Pre-tax cost of debt</t>
  </si>
  <si>
    <t>After-tax cost of debt</t>
  </si>
  <si>
    <t>If interest coverage ratio is</t>
  </si>
  <si>
    <t>greater than</t>
  </si>
  <si>
    <t>≤ to</t>
  </si>
  <si>
    <t>Rating is</t>
  </si>
  <si>
    <t>Spread is</t>
  </si>
  <si>
    <t>D</t>
  </si>
  <si>
    <t>C</t>
  </si>
  <si>
    <t>CC</t>
  </si>
  <si>
    <t>CCC</t>
  </si>
  <si>
    <t>B-</t>
  </si>
  <si>
    <t>B</t>
  </si>
  <si>
    <t>B+</t>
  </si>
  <si>
    <t>BB</t>
  </si>
  <si>
    <t>BB+</t>
  </si>
  <si>
    <t>BBB</t>
  </si>
  <si>
    <t>A-</t>
  </si>
  <si>
    <t>A</t>
  </si>
  <si>
    <t>A+</t>
  </si>
  <si>
    <t>AA</t>
  </si>
  <si>
    <t>AAA</t>
  </si>
  <si>
    <t>Cost of Equity</t>
  </si>
  <si>
    <t>Debt/Capital</t>
  </si>
  <si>
    <t>Effective Tax Rate</t>
  </si>
  <si>
    <t>Book Equity</t>
  </si>
  <si>
    <t>Cash</t>
  </si>
  <si>
    <t>Invested Capital</t>
  </si>
  <si>
    <t>ROIC</t>
  </si>
  <si>
    <t>Cost of Capital</t>
  </si>
  <si>
    <t>Market Debt to Capital</t>
  </si>
  <si>
    <t>Industry for comparison</t>
  </si>
  <si>
    <t>Industry Average Debt to Capital (Market)</t>
  </si>
  <si>
    <t>Dividends</t>
  </si>
  <si>
    <t>Net Income</t>
  </si>
  <si>
    <t>Dividend Yield</t>
  </si>
  <si>
    <t>Dividend Payout</t>
  </si>
  <si>
    <t>Industry Dividend Yield</t>
  </si>
  <si>
    <t>Industry Dividend Payout</t>
  </si>
  <si>
    <t>ROE</t>
  </si>
  <si>
    <t>Institutional Holdings</t>
  </si>
  <si>
    <t>Std Dev in Stock Prices</t>
  </si>
  <si>
    <t>Std Error of Beta</t>
  </si>
  <si>
    <t>Beta (low)</t>
  </si>
  <si>
    <t>Beta (high)</t>
  </si>
  <si>
    <t>United States</t>
  </si>
  <si>
    <t>Debt/EBITDA</t>
  </si>
  <si>
    <t>EBITDA</t>
  </si>
  <si>
    <t>Krakatau Steel</t>
  </si>
  <si>
    <t>Republic of Indonesia</t>
  </si>
  <si>
    <t>Bumi Resources</t>
  </si>
  <si>
    <t>Long Haul Holdings</t>
  </si>
  <si>
    <t>5 FII on list</t>
  </si>
  <si>
    <t>Lippo Karawacki</t>
  </si>
  <si>
    <t>Pacific Asia Holdings</t>
  </si>
  <si>
    <t>Blackrock, Vanguard etc.</t>
  </si>
  <si>
    <t>Gudang Garam</t>
  </si>
  <si>
    <t>Sutyaduta Investama</t>
  </si>
  <si>
    <t>Blackrock</t>
  </si>
  <si>
    <t>Perushann Gas</t>
  </si>
  <si>
    <t>Blackrock again</t>
  </si>
  <si>
    <t>Semen Indonesia</t>
  </si>
  <si>
    <t>United Tractors</t>
  </si>
  <si>
    <t>PT Astra</t>
  </si>
  <si>
    <t>Media Nusantra</t>
  </si>
  <si>
    <t>Blackrock and other FII</t>
  </si>
  <si>
    <t>Global Mediacom</t>
  </si>
  <si>
    <t>Blackrock and FII</t>
  </si>
  <si>
    <t>Coredoo Asia</t>
  </si>
  <si>
    <t>4 FII</t>
  </si>
  <si>
    <t>Krakatau</t>
  </si>
  <si>
    <t>Indonesia</t>
  </si>
  <si>
    <t>Rest of Asia</t>
  </si>
  <si>
    <t>Perushaan Gas</t>
  </si>
  <si>
    <t>United Tractor</t>
  </si>
  <si>
    <t>Indosat</t>
  </si>
  <si>
    <t>Default Spread for Indonesia =</t>
  </si>
  <si>
    <t>Cost of Capital (Rupiah)</t>
  </si>
  <si>
    <t xml:space="preserve">Indonesian Rupiah Risk free rate </t>
  </si>
  <si>
    <t>Optimal Debt Ratio</t>
  </si>
  <si>
    <t>Change in Value</t>
  </si>
  <si>
    <t>EBITDA/EV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</si>
</sst>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0.0000"/>
    <numFmt numFmtId="165" formatCode="_(&quot;$&quot;* #,##0_);_(&quot;$&quot;* \(#,##0\);_(&quot;$&quot;* &quot;-&quot;??_);_(@_)"/>
    <numFmt numFmtId="166" formatCode="&quot;$&quot;#,##0.00"/>
    <numFmt numFmtId="167" formatCode="&quot;$&quot;#,##0.00;[Red]&quot;$&quot;#,##0.00"/>
    <numFmt numFmtId="168" formatCode="0.0%"/>
    <numFmt numFmtId="169" formatCode="[$IDR]\ #,##0.00;[Red][$IDR]\ #,##0.00"/>
    <numFmt numFmtId="170" formatCode="[$IDR]\ #,##0"/>
    <numFmt numFmtId="171" formatCode="[$IDR]\ #,##0;[Red][$IDR]\ #,##0"/>
    <numFmt numFmtId="172" formatCode="[$IDR]\ #,##0.00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0"/>
      <name val="Verdana"/>
    </font>
    <font>
      <b/>
      <sz val="10"/>
      <name val="Verdana"/>
    </font>
    <font>
      <i/>
      <sz val="10"/>
      <name val="Times"/>
    </font>
    <font>
      <sz val="10"/>
      <name val="Times"/>
    </font>
    <font>
      <i/>
      <sz val="9"/>
      <name val="Geneva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14">
    <xf numFmtId="0" fontId="0" fillId="0" borderId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2">
    <xf numFmtId="0" fontId="0" fillId="0" borderId="0" xfId="0"/>
    <xf numFmtId="10" fontId="0" fillId="0" borderId="0" xfId="1" applyNumberFormat="1" applyFont="1"/>
    <xf numFmtId="0" fontId="3" fillId="0" borderId="0" xfId="0" applyFont="1"/>
    <xf numFmtId="0" fontId="3" fillId="0" borderId="1" xfId="0" applyFont="1" applyBorder="1"/>
    <xf numFmtId="0" fontId="0" fillId="0" borderId="1" xfId="0" applyBorder="1"/>
    <xf numFmtId="10" fontId="0" fillId="0" borderId="1" xfId="1" applyNumberFormat="1" applyFont="1" applyBorder="1"/>
    <xf numFmtId="10" fontId="0" fillId="0" borderId="1" xfId="0" applyNumberFormat="1" applyBorder="1"/>
    <xf numFmtId="0" fontId="0" fillId="2" borderId="1" xfId="0" applyFill="1" applyBorder="1"/>
    <xf numFmtId="10" fontId="0" fillId="2" borderId="1" xfId="1" applyNumberFormat="1" applyFont="1" applyFill="1" applyBorder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0" fontId="0" fillId="3" borderId="1" xfId="0" applyFill="1" applyBorder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" xfId="0" applyFill="1" applyBorder="1"/>
    <xf numFmtId="10" fontId="0" fillId="4" borderId="1" xfId="1" applyNumberFormat="1" applyFont="1" applyFill="1" applyBorder="1"/>
    <xf numFmtId="10" fontId="0" fillId="2" borderId="2" xfId="0" applyNumberFormat="1" applyFill="1" applyBorder="1" applyAlignment="1">
      <alignment horizontal="center"/>
    </xf>
    <xf numFmtId="10" fontId="0" fillId="4" borderId="2" xfId="0" applyNumberFormat="1" applyFill="1" applyBorder="1" applyAlignment="1">
      <alignment horizontal="center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2" fontId="7" fillId="0" borderId="1" xfId="0" applyNumberFormat="1" applyFont="1" applyBorder="1" applyAlignment="1">
      <alignment horizontal="center" wrapText="1"/>
    </xf>
    <xf numFmtId="2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0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9" fontId="0" fillId="0" borderId="6" xfId="0" applyNumberFormat="1" applyBorder="1"/>
    <xf numFmtId="164" fontId="0" fillId="0" borderId="1" xfId="0" applyNumberFormat="1" applyBorder="1"/>
    <xf numFmtId="2" fontId="0" fillId="0" borderId="1" xfId="0" applyNumberFormat="1" applyBorder="1"/>
    <xf numFmtId="0" fontId="9" fillId="0" borderId="1" xfId="0" applyFont="1" applyBorder="1" applyAlignment="1">
      <alignment horizontal="centerContinuous"/>
    </xf>
    <xf numFmtId="0" fontId="10" fillId="0" borderId="7" xfId="0" applyFont="1" applyBorder="1" applyAlignment="1">
      <alignment horizontal="centerContinuous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0" fontId="10" fillId="0" borderId="9" xfId="0" applyNumberFormat="1" applyFont="1" applyBorder="1" applyAlignment="1">
      <alignment horizontal="center"/>
    </xf>
    <xf numFmtId="10" fontId="7" fillId="0" borderId="1" xfId="0" applyNumberFormat="1" applyFont="1" applyBorder="1" applyAlignment="1">
      <alignment horizontal="center" wrapText="1"/>
    </xf>
    <xf numFmtId="165" fontId="11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166" fontId="0" fillId="0" borderId="1" xfId="0" applyNumberFormat="1" applyBorder="1"/>
    <xf numFmtId="10" fontId="1" fillId="0" borderId="1" xfId="1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0" fontId="6" fillId="0" borderId="1" xfId="0" applyNumberFormat="1" applyFont="1" applyBorder="1" applyAlignment="1">
      <alignment horizontal="center"/>
    </xf>
    <xf numFmtId="166" fontId="6" fillId="0" borderId="1" xfId="0" applyNumberFormat="1" applyFont="1" applyBorder="1"/>
    <xf numFmtId="10" fontId="6" fillId="0" borderId="1" xfId="1" applyNumberFormat="1" applyFont="1" applyBorder="1"/>
    <xf numFmtId="10" fontId="0" fillId="3" borderId="1" xfId="1" applyNumberFormat="1" applyFont="1" applyFill="1" applyBorder="1"/>
    <xf numFmtId="2" fontId="0" fillId="3" borderId="1" xfId="0" applyNumberFormat="1" applyFill="1" applyBorder="1"/>
    <xf numFmtId="10" fontId="3" fillId="0" borderId="0" xfId="1" applyNumberFormat="1" applyFont="1"/>
    <xf numFmtId="9" fontId="0" fillId="4" borderId="1" xfId="0" applyNumberFormat="1" applyFill="1" applyBorder="1"/>
    <xf numFmtId="10" fontId="6" fillId="2" borderId="3" xfId="1" applyNumberFormat="1" applyFont="1" applyFill="1" applyBorder="1" applyAlignment="1">
      <alignment horizontal="center" vertical="center"/>
    </xf>
    <xf numFmtId="10" fontId="0" fillId="2" borderId="1" xfId="0" applyNumberFormat="1" applyFill="1" applyBorder="1" applyAlignment="1">
      <alignment horizontal="center"/>
    </xf>
    <xf numFmtId="10" fontId="0" fillId="4" borderId="1" xfId="0" applyNumberFormat="1" applyFill="1" applyBorder="1" applyAlignment="1">
      <alignment horizontal="center"/>
    </xf>
    <xf numFmtId="10" fontId="6" fillId="2" borderId="4" xfId="1" applyNumberFormat="1" applyFont="1" applyFill="1" applyBorder="1" applyAlignment="1">
      <alignment horizontal="center" vertical="center"/>
    </xf>
    <xf numFmtId="10" fontId="6" fillId="4" borderId="1" xfId="1" applyNumberFormat="1" applyFont="1" applyFill="1" applyBorder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9" fontId="0" fillId="2" borderId="1" xfId="0" applyNumberFormat="1" applyFill="1" applyBorder="1"/>
    <xf numFmtId="10" fontId="6" fillId="2" borderId="1" xfId="1" applyNumberFormat="1" applyFont="1" applyFill="1" applyBorder="1" applyAlignment="1">
      <alignment horizontal="center"/>
    </xf>
    <xf numFmtId="10" fontId="0" fillId="2" borderId="1" xfId="0" applyNumberFormat="1" applyFill="1" applyBorder="1"/>
    <xf numFmtId="169" fontId="0" fillId="0" borderId="1" xfId="0" applyNumberFormat="1" applyBorder="1" applyAlignment="1">
      <alignment horizontal="center"/>
    </xf>
    <xf numFmtId="170" fontId="0" fillId="0" borderId="1" xfId="0" applyNumberFormat="1" applyBorder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/>
    <xf numFmtId="172" fontId="0" fillId="0" borderId="1" xfId="0" applyNumberFormat="1" applyBorder="1"/>
    <xf numFmtId="168" fontId="6" fillId="4" borderId="3" xfId="1" applyNumberFormat="1" applyFont="1" applyFill="1" applyBorder="1" applyAlignment="1">
      <alignment horizontal="center" vertical="center"/>
    </xf>
    <xf numFmtId="168" fontId="6" fillId="4" borderId="4" xfId="1" applyNumberFormat="1" applyFont="1" applyFill="1" applyBorder="1" applyAlignment="1">
      <alignment horizontal="center" vertical="center"/>
    </xf>
    <xf numFmtId="168" fontId="6" fillId="4" borderId="5" xfId="1" applyNumberFormat="1" applyFont="1" applyFill="1" applyBorder="1" applyAlignment="1">
      <alignment horizontal="center" vertical="center"/>
    </xf>
    <xf numFmtId="10" fontId="6" fillId="4" borderId="3" xfId="1" applyNumberFormat="1" applyFont="1" applyFill="1" applyBorder="1" applyAlignment="1">
      <alignment horizontal="center" vertical="center"/>
    </xf>
    <xf numFmtId="10" fontId="6" fillId="4" borderId="4" xfId="1" applyNumberFormat="1" applyFont="1" applyFill="1" applyBorder="1" applyAlignment="1">
      <alignment horizontal="center" vertical="center"/>
    </xf>
  </cellXfs>
  <cellStyles count="214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D10" sqref="A1:D10"/>
    </sheetView>
  </sheetViews>
  <sheetFormatPr baseColWidth="10" defaultRowHeight="15" x14ac:dyDescent="0"/>
  <cols>
    <col min="1" max="1" width="14.33203125" customWidth="1"/>
    <col min="2" max="2" width="27.33203125" customWidth="1"/>
    <col min="3" max="3" width="11.5" style="9" customWidth="1"/>
    <col min="4" max="4" width="25.5" customWidth="1"/>
  </cols>
  <sheetData>
    <row r="1" spans="1:4" s="2" customFormat="1">
      <c r="A1" s="3" t="s">
        <v>0</v>
      </c>
      <c r="B1" s="3" t="s">
        <v>7</v>
      </c>
      <c r="C1" s="10" t="s">
        <v>8</v>
      </c>
      <c r="D1" s="3" t="s">
        <v>9</v>
      </c>
    </row>
    <row r="2" spans="1:4">
      <c r="A2" s="4" t="s">
        <v>182</v>
      </c>
      <c r="B2" s="4" t="s">
        <v>183</v>
      </c>
      <c r="C2" s="11">
        <v>0.8</v>
      </c>
      <c r="D2" s="4"/>
    </row>
    <row r="3" spans="1:4">
      <c r="A3" s="4" t="s">
        <v>184</v>
      </c>
      <c r="B3" s="4" t="s">
        <v>185</v>
      </c>
      <c r="C3" s="11">
        <v>0.23150000000000001</v>
      </c>
      <c r="D3" s="4" t="s">
        <v>186</v>
      </c>
    </row>
    <row r="4" spans="1:4">
      <c r="A4" s="4" t="s">
        <v>187</v>
      </c>
      <c r="B4" s="4" t="s">
        <v>188</v>
      </c>
      <c r="C4" s="11">
        <v>0.17879999999999999</v>
      </c>
      <c r="D4" s="4" t="s">
        <v>189</v>
      </c>
    </row>
    <row r="5" spans="1:4">
      <c r="A5" s="4" t="s">
        <v>190</v>
      </c>
      <c r="B5" s="4" t="s">
        <v>191</v>
      </c>
      <c r="C5" s="11">
        <v>0.69289999999999996</v>
      </c>
      <c r="D5" s="4" t="s">
        <v>192</v>
      </c>
    </row>
    <row r="6" spans="1:4">
      <c r="A6" s="4" t="s">
        <v>193</v>
      </c>
      <c r="B6" s="4" t="s">
        <v>183</v>
      </c>
      <c r="C6" s="11">
        <v>0.56969999999999998</v>
      </c>
      <c r="D6" s="4" t="s">
        <v>194</v>
      </c>
    </row>
    <row r="7" spans="1:4">
      <c r="A7" s="12" t="s">
        <v>195</v>
      </c>
      <c r="B7" s="4" t="s">
        <v>183</v>
      </c>
      <c r="C7" s="11">
        <v>0.5101</v>
      </c>
      <c r="D7" s="4" t="s">
        <v>10</v>
      </c>
    </row>
    <row r="8" spans="1:4">
      <c r="A8" s="12" t="s">
        <v>196</v>
      </c>
      <c r="B8" s="4" t="s">
        <v>197</v>
      </c>
      <c r="C8" s="11">
        <v>0.59499999999999997</v>
      </c>
      <c r="D8" s="4" t="s">
        <v>199</v>
      </c>
    </row>
    <row r="9" spans="1:4">
      <c r="A9" s="12" t="s">
        <v>198</v>
      </c>
      <c r="B9" s="4" t="s">
        <v>200</v>
      </c>
      <c r="C9" s="11">
        <v>0.6532</v>
      </c>
      <c r="D9" s="4" t="s">
        <v>201</v>
      </c>
    </row>
    <row r="10" spans="1:4">
      <c r="A10" s="12" t="s">
        <v>209</v>
      </c>
      <c r="B10" s="4" t="s">
        <v>202</v>
      </c>
      <c r="C10" s="11">
        <v>0.65</v>
      </c>
      <c r="D10" s="4" t="s">
        <v>203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F40" sqref="F40"/>
    </sheetView>
  </sheetViews>
  <sheetFormatPr baseColWidth="10" defaultRowHeight="15" x14ac:dyDescent="0"/>
  <cols>
    <col min="1" max="1" width="15.1640625" bestFit="1" customWidth="1"/>
    <col min="2" max="2" width="8.5" customWidth="1"/>
    <col min="3" max="3" width="5" bestFit="1" customWidth="1"/>
    <col min="4" max="4" width="9.5" customWidth="1"/>
    <col min="5" max="5" width="10" customWidth="1"/>
    <col min="6" max="6" width="20.83203125" bestFit="1" customWidth="1"/>
    <col min="7" max="7" width="20.1640625" bestFit="1" customWidth="1"/>
    <col min="8" max="8" width="14.6640625" bestFit="1" customWidth="1"/>
    <col min="9" max="9" width="9.5" bestFit="1" customWidth="1"/>
    <col min="10" max="10" width="10.1640625" bestFit="1" customWidth="1"/>
  </cols>
  <sheetData>
    <row r="1" spans="1:10" s="2" customFormat="1">
      <c r="A1" s="3" t="s">
        <v>0</v>
      </c>
      <c r="B1" s="3" t="s">
        <v>1</v>
      </c>
      <c r="C1" s="3" t="s">
        <v>2</v>
      </c>
      <c r="D1" s="3" t="s">
        <v>6</v>
      </c>
      <c r="E1" s="3" t="s">
        <v>3</v>
      </c>
      <c r="F1" s="3" t="s">
        <v>4</v>
      </c>
      <c r="G1" s="3" t="s">
        <v>5</v>
      </c>
      <c r="H1" s="3" t="s">
        <v>176</v>
      </c>
      <c r="I1" s="3" t="s">
        <v>177</v>
      </c>
      <c r="J1" s="3" t="s">
        <v>178</v>
      </c>
    </row>
    <row r="2" spans="1:10">
      <c r="A2" s="4" t="str">
        <f>'Biggest holders'!A2</f>
        <v>Krakatau Steel</v>
      </c>
      <c r="B2" s="5">
        <v>-2.2000000000000001E-3</v>
      </c>
      <c r="C2" s="31">
        <v>0.99</v>
      </c>
      <c r="D2" s="5">
        <v>0.21099999999999999</v>
      </c>
      <c r="E2" s="5">
        <f>5%/52*(1-C2)</f>
        <v>9.6153846153846242E-6</v>
      </c>
      <c r="F2" s="5">
        <f t="shared" ref="F2:F10" si="0">B2-E2</f>
        <v>-2.209615384615385E-3</v>
      </c>
      <c r="G2" s="5">
        <f t="shared" ref="G2:G10" si="1">(1+F2)^52-1</f>
        <v>-0.10865803827031695</v>
      </c>
      <c r="H2" s="4">
        <v>0.19</v>
      </c>
      <c r="I2" s="4">
        <f>C2-2*H2</f>
        <v>0.61</v>
      </c>
      <c r="J2" s="4">
        <f>C2+H2*2</f>
        <v>1.37</v>
      </c>
    </row>
    <row r="3" spans="1:10">
      <c r="A3" s="4" t="str">
        <f>'Biggest holders'!A3</f>
        <v>Bumi Resources</v>
      </c>
      <c r="B3" s="5">
        <v>-1.6799999999999999E-2</v>
      </c>
      <c r="C3" s="31">
        <v>1.19</v>
      </c>
      <c r="D3" s="5">
        <v>9.2999999999999999E-2</v>
      </c>
      <c r="E3" s="5">
        <f t="shared" ref="E3:E10" si="2">5%/52*(1-C3)</f>
        <v>-1.8269230769230765E-4</v>
      </c>
      <c r="F3" s="5">
        <f t="shared" si="0"/>
        <v>-1.6617307692307692E-2</v>
      </c>
      <c r="G3" s="5">
        <f t="shared" si="1"/>
        <v>-0.58161785786649745</v>
      </c>
      <c r="H3" s="4">
        <v>0.37</v>
      </c>
      <c r="I3" s="4">
        <f t="shared" ref="I3:I10" si="3">C3-2*H3</f>
        <v>0.44999999999999996</v>
      </c>
      <c r="J3" s="4">
        <f t="shared" ref="J3:J10" si="4">C3+H3*2</f>
        <v>1.93</v>
      </c>
    </row>
    <row r="4" spans="1:10">
      <c r="A4" s="4" t="str">
        <f>'Biggest holders'!A4</f>
        <v>Lippo Karawacki</v>
      </c>
      <c r="B4" s="5">
        <v>-2.2000000000000001E-3</v>
      </c>
      <c r="C4" s="31">
        <v>2</v>
      </c>
      <c r="D4" s="5">
        <v>0.46899999999999997</v>
      </c>
      <c r="E4" s="5">
        <f t="shared" si="2"/>
        <v>-9.6153846153846159E-4</v>
      </c>
      <c r="F4" s="5">
        <f t="shared" si="0"/>
        <v>-1.2384615384615385E-3</v>
      </c>
      <c r="G4" s="5">
        <f t="shared" si="1"/>
        <v>-6.2407548829164328E-2</v>
      </c>
      <c r="H4" s="4">
        <v>0.21</v>
      </c>
      <c r="I4" s="4">
        <f t="shared" si="3"/>
        <v>1.58</v>
      </c>
      <c r="J4" s="4">
        <f t="shared" si="4"/>
        <v>2.42</v>
      </c>
    </row>
    <row r="5" spans="1:10">
      <c r="A5" s="4" t="str">
        <f>'Biggest holders'!A5</f>
        <v>Gudang Garam</v>
      </c>
      <c r="B5" s="5">
        <v>-8.0000000000000004E-4</v>
      </c>
      <c r="C5" s="31">
        <v>0.95</v>
      </c>
      <c r="D5" s="5">
        <v>0.24299999999999999</v>
      </c>
      <c r="E5" s="5">
        <f t="shared" si="2"/>
        <v>4.8076923076923124E-5</v>
      </c>
      <c r="F5" s="5">
        <f t="shared" si="0"/>
        <v>-8.4807692307692318E-4</v>
      </c>
      <c r="G5" s="5">
        <f t="shared" si="1"/>
        <v>-4.3159636435251225E-2</v>
      </c>
      <c r="H5" s="4">
        <v>0.17</v>
      </c>
      <c r="I5" s="4">
        <f t="shared" si="3"/>
        <v>0.60999999999999988</v>
      </c>
      <c r="J5" s="4">
        <f t="shared" si="4"/>
        <v>1.29</v>
      </c>
    </row>
    <row r="6" spans="1:10">
      <c r="A6" s="4" t="str">
        <f>'Biggest holders'!A6</f>
        <v>Perushann Gas</v>
      </c>
      <c r="B6" s="5">
        <v>-2.2000000000000001E-3</v>
      </c>
      <c r="C6" s="31">
        <v>1</v>
      </c>
      <c r="D6" s="5">
        <v>0.35799999999999998</v>
      </c>
      <c r="E6" s="5">
        <f t="shared" si="2"/>
        <v>0</v>
      </c>
      <c r="F6" s="5">
        <f t="shared" si="0"/>
        <v>-2.2000000000000001E-3</v>
      </c>
      <c r="G6" s="5">
        <f t="shared" si="1"/>
        <v>-0.10821127056998825</v>
      </c>
      <c r="H6" s="4">
        <v>0.13</v>
      </c>
      <c r="I6" s="4">
        <f t="shared" si="3"/>
        <v>0.74</v>
      </c>
      <c r="J6" s="4">
        <f t="shared" si="4"/>
        <v>1.26</v>
      </c>
    </row>
    <row r="7" spans="1:10">
      <c r="A7" s="4" t="str">
        <f>'Biggest holders'!A7</f>
        <v>Semen Indonesia</v>
      </c>
      <c r="B7" s="48">
        <v>-2.5000000000000001E-3</v>
      </c>
      <c r="C7" s="49">
        <v>1.3</v>
      </c>
      <c r="D7" s="48">
        <v>0.44</v>
      </c>
      <c r="E7" s="5">
        <f t="shared" si="2"/>
        <v>-2.8846153846153854E-4</v>
      </c>
      <c r="F7" s="48">
        <f t="shared" si="0"/>
        <v>-2.2115384615384614E-3</v>
      </c>
      <c r="G7" s="48">
        <f t="shared" si="1"/>
        <v>-0.10874736546468833</v>
      </c>
      <c r="H7" s="4">
        <v>0.15</v>
      </c>
      <c r="I7" s="4">
        <f t="shared" si="3"/>
        <v>1</v>
      </c>
      <c r="J7" s="4">
        <f t="shared" si="4"/>
        <v>1.6</v>
      </c>
    </row>
    <row r="8" spans="1:10">
      <c r="A8" s="4" t="str">
        <f>'Biggest holders'!A8</f>
        <v>United Tractors</v>
      </c>
      <c r="B8" s="48">
        <v>2.5999999999999999E-3</v>
      </c>
      <c r="C8" s="49">
        <v>0.81</v>
      </c>
      <c r="D8" s="48">
        <v>0.193</v>
      </c>
      <c r="E8" s="5">
        <f t="shared" si="2"/>
        <v>1.8269230769230765E-4</v>
      </c>
      <c r="F8" s="48">
        <f t="shared" si="0"/>
        <v>2.4173076923076921E-3</v>
      </c>
      <c r="G8" s="48">
        <f t="shared" si="1"/>
        <v>0.13376994755299521</v>
      </c>
      <c r="H8" s="4">
        <v>0.17</v>
      </c>
      <c r="I8" s="4">
        <f t="shared" si="3"/>
        <v>0.47000000000000003</v>
      </c>
      <c r="J8" s="4">
        <f t="shared" si="4"/>
        <v>1.1500000000000001</v>
      </c>
    </row>
    <row r="9" spans="1:10">
      <c r="A9" s="4" t="str">
        <f>'Biggest holders'!A9</f>
        <v>Media Nusantra</v>
      </c>
      <c r="B9" s="48">
        <v>-4.1000000000000003E-3</v>
      </c>
      <c r="C9" s="49">
        <v>1.29</v>
      </c>
      <c r="D9" s="48">
        <v>0.32300000000000001</v>
      </c>
      <c r="E9" s="5">
        <f t="shared" si="2"/>
        <v>-2.7884615384615388E-4</v>
      </c>
      <c r="F9" s="48">
        <f t="shared" si="0"/>
        <v>-3.8211538461538465E-3</v>
      </c>
      <c r="G9" s="48">
        <f t="shared" si="1"/>
        <v>-0.18051616095729794</v>
      </c>
      <c r="H9" s="4">
        <v>0.19</v>
      </c>
      <c r="I9" s="4">
        <f t="shared" si="3"/>
        <v>0.91</v>
      </c>
      <c r="J9" s="4">
        <f t="shared" si="4"/>
        <v>1.67</v>
      </c>
    </row>
    <row r="10" spans="1:10">
      <c r="A10" s="4" t="str">
        <f>'Biggest holders'!A10</f>
        <v>Indosat</v>
      </c>
      <c r="B10" s="48">
        <v>-2.7000000000000001E-3</v>
      </c>
      <c r="C10" s="49">
        <v>0.71</v>
      </c>
      <c r="D10" s="48">
        <v>0.152</v>
      </c>
      <c r="E10" s="5">
        <f t="shared" si="2"/>
        <v>2.7884615384615388E-4</v>
      </c>
      <c r="F10" s="48">
        <f t="shared" si="0"/>
        <v>-2.978846153846154E-3</v>
      </c>
      <c r="G10" s="48">
        <f t="shared" si="1"/>
        <v>-0.14369715183898668</v>
      </c>
      <c r="H10" s="4">
        <v>0.17</v>
      </c>
      <c r="I10" s="4">
        <f t="shared" si="3"/>
        <v>0.36999999999999994</v>
      </c>
      <c r="J10" s="4">
        <f t="shared" si="4"/>
        <v>1.05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B25" sqref="B25"/>
    </sheetView>
  </sheetViews>
  <sheetFormatPr baseColWidth="10" defaultRowHeight="15" x14ac:dyDescent="0"/>
  <cols>
    <col min="1" max="1" width="14.33203125" customWidth="1"/>
    <col min="2" max="2" width="29.83203125" customWidth="1"/>
    <col min="5" max="5" width="10.83203125" style="9"/>
    <col min="6" max="6" width="12.5" style="1" customWidth="1"/>
  </cols>
  <sheetData>
    <row r="1" spans="1:6" s="2" customFormat="1" ht="16" thickBot="1">
      <c r="A1" s="3" t="s">
        <v>0</v>
      </c>
      <c r="B1" s="3" t="s">
        <v>11</v>
      </c>
      <c r="C1" s="3" t="s">
        <v>13</v>
      </c>
      <c r="D1" s="3" t="s">
        <v>16</v>
      </c>
      <c r="E1" s="10" t="s">
        <v>12</v>
      </c>
      <c r="F1" s="50" t="s">
        <v>17</v>
      </c>
    </row>
    <row r="2" spans="1:6" ht="16" thickBot="1">
      <c r="A2" s="7" t="s">
        <v>204</v>
      </c>
      <c r="B2" s="7" t="s">
        <v>205</v>
      </c>
      <c r="C2" s="7">
        <v>1889</v>
      </c>
      <c r="D2" s="8">
        <f>C2/SUM($C$2:$C$2)</f>
        <v>1</v>
      </c>
      <c r="E2" s="17">
        <v>9.11E-2</v>
      </c>
      <c r="F2" s="52">
        <f>D2*E2</f>
        <v>9.11E-2</v>
      </c>
    </row>
    <row r="3" spans="1:6">
      <c r="A3" s="15" t="s">
        <v>184</v>
      </c>
      <c r="B3" s="15" t="s">
        <v>205</v>
      </c>
      <c r="C3" s="15">
        <v>2800</v>
      </c>
      <c r="D3" s="16">
        <f>C3/SUM($C$3:$C$6)</f>
        <v>0.39469974626444881</v>
      </c>
      <c r="E3" s="18">
        <v>9.11E-2</v>
      </c>
      <c r="F3" s="67">
        <f>D3*E3+D4*E4+D5*E5+D6*E6</f>
        <v>7.9376261629546085E-2</v>
      </c>
    </row>
    <row r="4" spans="1:6">
      <c r="A4" s="15"/>
      <c r="B4" s="15" t="s">
        <v>206</v>
      </c>
      <c r="C4" s="15">
        <v>3547</v>
      </c>
      <c r="D4" s="16">
        <f t="shared" ref="D4:D6" si="0">C4/SUM($C$3:$C$6)</f>
        <v>0.5</v>
      </c>
      <c r="E4" s="18">
        <v>7.2300000000000003E-2</v>
      </c>
      <c r="F4" s="68"/>
    </row>
    <row r="5" spans="1:6">
      <c r="A5" s="15"/>
      <c r="B5" s="15" t="s">
        <v>15</v>
      </c>
      <c r="C5" s="15">
        <v>704</v>
      </c>
      <c r="D5" s="16">
        <f t="shared" si="0"/>
        <v>9.9238793346489995E-2</v>
      </c>
      <c r="E5" s="18">
        <v>6.9699999999999998E-2</v>
      </c>
      <c r="F5" s="68"/>
    </row>
    <row r="6" spans="1:6" ht="16" thickBot="1">
      <c r="A6" s="15"/>
      <c r="B6" s="15" t="s">
        <v>179</v>
      </c>
      <c r="C6" s="15">
        <v>43</v>
      </c>
      <c r="D6" s="16">
        <f t="shared" si="0"/>
        <v>6.0614603890611785E-3</v>
      </c>
      <c r="E6" s="18">
        <v>5.8099999999999999E-2</v>
      </c>
      <c r="F6" s="69"/>
    </row>
    <row r="7" spans="1:6" ht="16" thickBot="1">
      <c r="A7" s="7" t="s">
        <v>187</v>
      </c>
      <c r="B7" s="7" t="s">
        <v>205</v>
      </c>
      <c r="C7" s="7">
        <v>12028</v>
      </c>
      <c r="D7" s="8">
        <v>1</v>
      </c>
      <c r="E7" s="17">
        <v>9.11E-2</v>
      </c>
      <c r="F7" s="52">
        <f>D7*E7</f>
        <v>9.11E-2</v>
      </c>
    </row>
    <row r="8" spans="1:6">
      <c r="A8" s="15" t="s">
        <v>190</v>
      </c>
      <c r="B8" s="15" t="s">
        <v>205</v>
      </c>
      <c r="C8" s="15">
        <v>62273</v>
      </c>
      <c r="D8" s="16">
        <f>C8/SUM($C$8:$C$9)</f>
        <v>0.95532714581575517</v>
      </c>
      <c r="E8" s="18">
        <v>9.11E-2</v>
      </c>
      <c r="F8" s="70">
        <f>D8*E8+D9*E9</f>
        <v>9.0264617626754626E-2</v>
      </c>
    </row>
    <row r="9" spans="1:6" ht="16" thickBot="1">
      <c r="A9" s="15"/>
      <c r="B9" s="15" t="s">
        <v>14</v>
      </c>
      <c r="C9" s="15">
        <v>2912</v>
      </c>
      <c r="D9" s="16">
        <f>C9/SUM($C$8:$C$9)</f>
        <v>4.467285418424484E-2</v>
      </c>
      <c r="E9" s="18">
        <v>7.2400000000000006E-2</v>
      </c>
      <c r="F9" s="71"/>
    </row>
    <row r="10" spans="1:6" ht="16" thickBot="1">
      <c r="A10" s="7" t="s">
        <v>207</v>
      </c>
      <c r="B10" s="7" t="s">
        <v>205</v>
      </c>
      <c r="C10" s="7">
        <v>3408</v>
      </c>
      <c r="D10" s="8">
        <v>1</v>
      </c>
      <c r="E10" s="17">
        <v>9.11E-2</v>
      </c>
      <c r="F10" s="52">
        <f>D10*E10</f>
        <v>9.11E-2</v>
      </c>
    </row>
    <row r="11" spans="1:6">
      <c r="A11" s="15" t="s">
        <v>195</v>
      </c>
      <c r="B11" s="15" t="s">
        <v>205</v>
      </c>
      <c r="C11" s="15">
        <v>25610</v>
      </c>
      <c r="D11" s="16">
        <f>C11/SUM(C11:C13)</f>
        <v>0.94901059808789745</v>
      </c>
      <c r="E11" s="18">
        <v>9.11E-2</v>
      </c>
      <c r="F11" s="70">
        <f>D11*E11+D12*E12+D13*E13</f>
        <v>9.0138990587712145E-2</v>
      </c>
    </row>
    <row r="12" spans="1:6">
      <c r="A12" s="15"/>
      <c r="B12" s="15" t="s">
        <v>206</v>
      </c>
      <c r="C12" s="15">
        <v>1351</v>
      </c>
      <c r="D12" s="16">
        <f>C12/SUM(C11:C13)</f>
        <v>5.0062995627362335E-2</v>
      </c>
      <c r="E12" s="18">
        <v>7.2300000000000003E-2</v>
      </c>
      <c r="F12" s="71"/>
    </row>
    <row r="13" spans="1:6">
      <c r="A13" s="15"/>
      <c r="B13" s="15" t="s">
        <v>15</v>
      </c>
      <c r="C13" s="15">
        <v>25</v>
      </c>
      <c r="D13" s="16">
        <f>C13/SUM(C11:C13)</f>
        <v>9.2640628474023568E-4</v>
      </c>
      <c r="E13" s="18">
        <v>6.9699999999999998E-2</v>
      </c>
      <c r="F13" s="71"/>
    </row>
    <row r="14" spans="1:6">
      <c r="A14" s="7" t="s">
        <v>208</v>
      </c>
      <c r="B14" s="7" t="s">
        <v>205</v>
      </c>
      <c r="C14" s="7">
        <v>51012</v>
      </c>
      <c r="D14" s="8">
        <v>1</v>
      </c>
      <c r="E14" s="17">
        <v>9.11E-2</v>
      </c>
      <c r="F14" s="55">
        <f>D14*E14</f>
        <v>9.11E-2</v>
      </c>
    </row>
    <row r="15" spans="1:6">
      <c r="A15" s="15" t="s">
        <v>198</v>
      </c>
      <c r="B15" s="15" t="s">
        <v>205</v>
      </c>
      <c r="C15" s="15">
        <v>24405</v>
      </c>
      <c r="D15" s="51">
        <v>1</v>
      </c>
      <c r="E15" s="54">
        <v>9.11E-2</v>
      </c>
      <c r="F15" s="56">
        <v>9.11E-2</v>
      </c>
    </row>
    <row r="16" spans="1:6">
      <c r="A16" s="7" t="s">
        <v>209</v>
      </c>
      <c r="B16" s="7" t="s">
        <v>205</v>
      </c>
      <c r="C16" s="7">
        <v>24085</v>
      </c>
      <c r="D16" s="59">
        <v>1</v>
      </c>
      <c r="E16" s="53">
        <v>9.11E-2</v>
      </c>
      <c r="F16" s="60">
        <v>9.11E-2</v>
      </c>
    </row>
  </sheetData>
  <mergeCells count="3">
    <mergeCell ref="F3:F6"/>
    <mergeCell ref="F11:F13"/>
    <mergeCell ref="F8:F9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5" sqref="E5"/>
    </sheetView>
  </sheetViews>
  <sheetFormatPr baseColWidth="10" defaultRowHeight="15" x14ac:dyDescent="0"/>
  <cols>
    <col min="1" max="1" width="20.33203125" customWidth="1"/>
    <col min="2" max="2" width="24.1640625" customWidth="1"/>
    <col min="3" max="3" width="13.83203125" bestFit="1" customWidth="1"/>
    <col min="4" max="4" width="13.1640625" customWidth="1"/>
    <col min="5" max="5" width="10.6640625" customWidth="1"/>
    <col min="6" max="6" width="11.5" customWidth="1"/>
    <col min="7" max="7" width="11.83203125" bestFit="1" customWidth="1"/>
  </cols>
  <sheetData>
    <row r="1" spans="1:7">
      <c r="A1" t="s">
        <v>129</v>
      </c>
      <c r="B1" s="29">
        <v>0.25</v>
      </c>
    </row>
    <row r="2" spans="1:7">
      <c r="A2" s="3" t="s">
        <v>0</v>
      </c>
      <c r="B2" s="4" t="s">
        <v>18</v>
      </c>
      <c r="C2" s="4" t="s">
        <v>19</v>
      </c>
      <c r="D2" s="4" t="s">
        <v>20</v>
      </c>
      <c r="E2" s="4" t="s">
        <v>21</v>
      </c>
      <c r="F2" s="4" t="s">
        <v>22</v>
      </c>
      <c r="G2" s="4" t="s">
        <v>23</v>
      </c>
    </row>
    <row r="3" spans="1:7">
      <c r="A3" s="4" t="str">
        <f>'Beta Regression'!A2</f>
        <v>Krakatau Steel</v>
      </c>
      <c r="B3" s="4" t="s">
        <v>117</v>
      </c>
      <c r="C3" s="30">
        <f>VLOOKUP(B3,'Global Betas'!$A$2:$J$97,6)</f>
        <v>0.71886155770485261</v>
      </c>
      <c r="D3" s="65">
        <v>1529</v>
      </c>
      <c r="E3" s="65">
        <v>408</v>
      </c>
      <c r="F3" s="5">
        <f>D3/E3</f>
        <v>3.7475490196078431</v>
      </c>
      <c r="G3" s="31">
        <f>C3*(1+(1-$B$1)*F3)</f>
        <v>2.7393382520627929</v>
      </c>
    </row>
    <row r="4" spans="1:7">
      <c r="A4" s="4" t="str">
        <f>'Beta Regression'!A3</f>
        <v>Bumi Resources</v>
      </c>
      <c r="B4" s="4" t="s">
        <v>51</v>
      </c>
      <c r="C4" s="30">
        <f>VLOOKUP(B4,'Global Betas'!$A$2:$J$97,6)</f>
        <v>0.914658134190519</v>
      </c>
      <c r="D4" s="65">
        <v>4228</v>
      </c>
      <c r="E4" s="65">
        <v>216</v>
      </c>
      <c r="F4" s="5">
        <f t="shared" ref="F4:F11" si="0">D4/E4</f>
        <v>19.574074074074073</v>
      </c>
      <c r="G4" s="31">
        <f t="shared" ref="G4:G11" si="1">C4*(1+(1-$B$1)*F4)</f>
        <v>14.34234768751522</v>
      </c>
    </row>
    <row r="5" spans="1:7">
      <c r="A5" s="4" t="str">
        <f>'Beta Regression'!A4</f>
        <v>Lippo Karawacki</v>
      </c>
      <c r="B5" s="4" t="s">
        <v>97</v>
      </c>
      <c r="C5" s="30">
        <f>VLOOKUP(B5,'Global Betas'!$A$2:$J$97,6)</f>
        <v>0.64638217303779655</v>
      </c>
      <c r="D5" s="65">
        <v>10787</v>
      </c>
      <c r="E5" s="65">
        <v>30001</v>
      </c>
      <c r="F5" s="5">
        <f t="shared" si="0"/>
        <v>0.35955468151061631</v>
      </c>
      <c r="G5" s="31">
        <f t="shared" si="1"/>
        <v>0.82068947530835534</v>
      </c>
    </row>
    <row r="6" spans="1:7">
      <c r="A6" s="4" t="str">
        <f>'Beta Regression'!A5</f>
        <v>Gudang Garam</v>
      </c>
      <c r="B6" s="4" t="s">
        <v>121</v>
      </c>
      <c r="C6" s="30">
        <f>VLOOKUP(B6,'Global Betas'!$A$2:$J$97,6)</f>
        <v>0.67246171340149175</v>
      </c>
      <c r="D6" s="65">
        <v>15170</v>
      </c>
      <c r="E6" s="65">
        <v>90624</v>
      </c>
      <c r="F6" s="5">
        <f t="shared" si="0"/>
        <v>0.16739495056497175</v>
      </c>
      <c r="G6" s="31">
        <f t="shared" si="1"/>
        <v>0.75688673485525093</v>
      </c>
    </row>
    <row r="7" spans="1:7">
      <c r="A7" s="4" t="str">
        <f>'Beta Regression'!A6</f>
        <v>Perushann Gas</v>
      </c>
      <c r="B7" s="4" t="s">
        <v>88</v>
      </c>
      <c r="C7" s="30">
        <f>VLOOKUP(B7,'Global Betas'!$A$2:$J$97,6)</f>
        <v>0.83319464693117118</v>
      </c>
      <c r="D7" s="65">
        <v>2145</v>
      </c>
      <c r="E7" s="65">
        <v>7881</v>
      </c>
      <c r="F7" s="5">
        <f t="shared" si="0"/>
        <v>0.27217358203273695</v>
      </c>
      <c r="G7" s="31">
        <f t="shared" si="1"/>
        <v>1.0032748256204902</v>
      </c>
    </row>
    <row r="8" spans="1:7">
      <c r="A8" s="4" t="str">
        <f>'Beta Regression'!A7</f>
        <v>Semen Indonesia</v>
      </c>
      <c r="B8" s="4" t="s">
        <v>54</v>
      </c>
      <c r="C8" s="30">
        <f>VLOOKUP(B8,'Global Betas'!$A$2:$J$97,6)</f>
        <v>0.82194399053208778</v>
      </c>
      <c r="D8" s="65">
        <v>3970</v>
      </c>
      <c r="E8" s="65">
        <v>79779</v>
      </c>
      <c r="F8" s="5">
        <f t="shared" si="0"/>
        <v>4.976246882011557E-2</v>
      </c>
      <c r="G8" s="31">
        <f t="shared" si="1"/>
        <v>0.85262046218263854</v>
      </c>
    </row>
    <row r="9" spans="1:7">
      <c r="A9" s="4" t="str">
        <f>'Beta Regression'!A8</f>
        <v>United Tractors</v>
      </c>
      <c r="B9" s="4" t="s">
        <v>83</v>
      </c>
      <c r="C9" s="30">
        <f>VLOOKUP(B9,'Global Betas'!$A$2:$J$97,6)</f>
        <v>0.95805119128199168</v>
      </c>
      <c r="D9" s="65">
        <v>2620</v>
      </c>
      <c r="E9" s="65">
        <v>75271</v>
      </c>
      <c r="F9" s="5">
        <f t="shared" si="0"/>
        <v>3.4807562009273159E-2</v>
      </c>
      <c r="G9" s="31">
        <f t="shared" si="1"/>
        <v>0.98306176096844622</v>
      </c>
    </row>
    <row r="10" spans="1:7">
      <c r="A10" s="4" t="str">
        <f>'Beta Regression'!A9</f>
        <v>Media Nusantra</v>
      </c>
      <c r="B10" s="4" t="s">
        <v>63</v>
      </c>
      <c r="C10" s="30">
        <f>VLOOKUP(B10,'Global Betas'!$A$2:$J$97,6)</f>
        <v>0.89673298189294959</v>
      </c>
      <c r="D10" s="65">
        <v>3376</v>
      </c>
      <c r="E10" s="65">
        <v>29409</v>
      </c>
      <c r="F10" s="5">
        <f t="shared" si="0"/>
        <v>0.11479479071032678</v>
      </c>
      <c r="G10" s="31">
        <f t="shared" si="1"/>
        <v>0.97393818812753585</v>
      </c>
    </row>
    <row r="11" spans="1:7">
      <c r="A11" s="4" t="str">
        <f>'Beta Regression'!A10</f>
        <v>Indosat</v>
      </c>
      <c r="B11" s="4" t="s">
        <v>120</v>
      </c>
      <c r="C11" s="30">
        <f>VLOOKUP(B11,'Global Betas'!$A$2:$J$97,6)</f>
        <v>0.65811374638357178</v>
      </c>
      <c r="D11" s="65">
        <v>27279</v>
      </c>
      <c r="E11" s="65">
        <v>20323</v>
      </c>
      <c r="F11" s="5">
        <f t="shared" si="0"/>
        <v>1.3422723023175713</v>
      </c>
      <c r="G11" s="31">
        <f t="shared" si="1"/>
        <v>1.3206396365424111</v>
      </c>
    </row>
  </sheetData>
  <pageMargins left="0.75" right="0.75" top="1" bottom="1" header="0.5" footer="0.5"/>
  <pageSetup orientation="portrait" horizontalDpi="4294967292" verticalDpi="429496729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'Global Betas'!$A$2:$A$96</xm:f>
          </x14:formula1>
          <xm:sqref>B3:B11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sqref="A1:G13"/>
    </sheetView>
  </sheetViews>
  <sheetFormatPr baseColWidth="10" defaultRowHeight="15" x14ac:dyDescent="0"/>
  <cols>
    <col min="1" max="1" width="21.6640625" customWidth="1"/>
    <col min="2" max="2" width="12" customWidth="1"/>
    <col min="3" max="3" width="14.5" bestFit="1" customWidth="1"/>
    <col min="4" max="4" width="19.6640625" bestFit="1" customWidth="1"/>
    <col min="5" max="5" width="11.1640625" bestFit="1" customWidth="1"/>
    <col min="6" max="6" width="17.1640625" bestFit="1" customWidth="1"/>
    <col min="7" max="7" width="18.5" bestFit="1" customWidth="1"/>
  </cols>
  <sheetData>
    <row r="1" spans="1:7">
      <c r="A1" t="s">
        <v>212</v>
      </c>
      <c r="C1" s="61">
        <v>6.1100000000000002E-2</v>
      </c>
    </row>
    <row r="2" spans="1:7">
      <c r="A2" t="s">
        <v>210</v>
      </c>
      <c r="C2" s="61">
        <v>2.1999999999999999E-2</v>
      </c>
    </row>
    <row r="3" spans="1:7">
      <c r="A3" t="s">
        <v>129</v>
      </c>
      <c r="C3" s="61">
        <f>Beta!B1</f>
        <v>0.25</v>
      </c>
    </row>
    <row r="4" spans="1:7" s="2" customFormat="1">
      <c r="A4" s="3" t="str">
        <f>Beta!A2</f>
        <v>Company</v>
      </c>
      <c r="B4" s="3" t="s">
        <v>130</v>
      </c>
      <c r="C4" s="3" t="s">
        <v>131</v>
      </c>
      <c r="D4" s="3" t="s">
        <v>132</v>
      </c>
      <c r="E4" s="3" t="s">
        <v>133</v>
      </c>
      <c r="F4" s="3" t="s">
        <v>134</v>
      </c>
      <c r="G4" s="3" t="s">
        <v>135</v>
      </c>
    </row>
    <row r="5" spans="1:7">
      <c r="A5" s="4" t="str">
        <f>Beta!A3</f>
        <v>Krakatau Steel</v>
      </c>
      <c r="B5" s="66">
        <v>-115</v>
      </c>
      <c r="C5" s="66">
        <v>67</v>
      </c>
      <c r="D5" s="31">
        <f t="shared" ref="D5:D6" si="0">IF(C5=0,100000,B5/C5)</f>
        <v>-1.7164179104477613</v>
      </c>
      <c r="E5" s="14" t="str">
        <f>VLOOKUP(D5,'Ratings Lookup'!$A$3:$D$17,3)</f>
        <v>D</v>
      </c>
      <c r="F5" s="5">
        <f>VLOOKUP(D5,'Ratings Lookup'!$A$3:$D$17,4)+$C$1+$C$2</f>
        <v>0.20309999999999997</v>
      </c>
      <c r="G5" s="5">
        <f>F5*(1-$C$3)</f>
        <v>0.15232499999999999</v>
      </c>
    </row>
    <row r="6" spans="1:7">
      <c r="A6" s="4" t="str">
        <f>Beta!A4</f>
        <v>Bumi Resources</v>
      </c>
      <c r="B6" s="66">
        <v>87</v>
      </c>
      <c r="C6" s="66">
        <v>723</v>
      </c>
      <c r="D6" s="31">
        <f t="shared" si="0"/>
        <v>0.12033195020746888</v>
      </c>
      <c r="E6" s="14" t="str">
        <f>VLOOKUP(D6,'Ratings Lookup'!$A$3:$D$17,3)</f>
        <v>D</v>
      </c>
      <c r="F6" s="5">
        <f>VLOOKUP(D6,'Ratings Lookup'!$A$3:$D$17,4)+$C$1+$C$2</f>
        <v>0.20309999999999997</v>
      </c>
      <c r="G6" s="5">
        <f t="shared" ref="G6:G13" si="1">F6*(1-$C$3)</f>
        <v>0.15232499999999999</v>
      </c>
    </row>
    <row r="7" spans="1:7">
      <c r="A7" s="4" t="str">
        <f>Beta!A5</f>
        <v>Lippo Karawacki</v>
      </c>
      <c r="B7" s="66">
        <v>3295</v>
      </c>
      <c r="C7" s="66">
        <v>1356</v>
      </c>
      <c r="D7" s="31">
        <f>IF(C7=0,100000,B7/C7)</f>
        <v>2.4299410029498527</v>
      </c>
      <c r="E7" s="14" t="str">
        <f>VLOOKUP(D7,'Ratings Lookup'!$A$3:$D$17,3)</f>
        <v>B</v>
      </c>
      <c r="F7" s="5">
        <f>VLOOKUP(D7,'Ratings Lookup'!$A$3:$D$17,4)+$C$1+$C$2</f>
        <v>0.1331</v>
      </c>
      <c r="G7" s="5">
        <f t="shared" si="1"/>
        <v>9.9824999999999997E-2</v>
      </c>
    </row>
    <row r="8" spans="1:7">
      <c r="A8" s="4" t="str">
        <f>Beta!A6</f>
        <v>Gudang Garam</v>
      </c>
      <c r="B8" s="66">
        <v>8506</v>
      </c>
      <c r="C8" s="66">
        <v>1488</v>
      </c>
      <c r="D8" s="31">
        <f t="shared" ref="D8:D13" si="2">IF(C8=0,100000,B8/C8)</f>
        <v>5.716397849462366</v>
      </c>
      <c r="E8" s="14" t="str">
        <f>VLOOKUP(D8,'Ratings Lookup'!$A$3:$D$17,3)</f>
        <v>A-</v>
      </c>
      <c r="F8" s="5">
        <f>VLOOKUP(D8,'Ratings Lookup'!$A$3:$D$17,4)+$C$1+$C$2</f>
        <v>9.509999999999999E-2</v>
      </c>
      <c r="G8" s="5">
        <f t="shared" si="1"/>
        <v>7.1325E-2</v>
      </c>
    </row>
    <row r="9" spans="1:7">
      <c r="A9" s="4" t="str">
        <f>Beta!A7</f>
        <v>Perushann Gas</v>
      </c>
      <c r="B9" s="66">
        <v>721</v>
      </c>
      <c r="C9" s="66">
        <v>90</v>
      </c>
      <c r="D9" s="31">
        <f t="shared" si="2"/>
        <v>8.0111111111111111</v>
      </c>
      <c r="E9" s="14" t="str">
        <f>VLOOKUP(D9,'Ratings Lookup'!$A$3:$D$17,3)</f>
        <v>A+</v>
      </c>
      <c r="F9" s="5">
        <f>VLOOKUP(D9,'Ratings Lookup'!$A$3:$D$17,4)+$C$1+$C$2</f>
        <v>9.2099999999999987E-2</v>
      </c>
      <c r="G9" s="5">
        <f t="shared" si="1"/>
        <v>6.9074999999999998E-2</v>
      </c>
    </row>
    <row r="10" spans="1:7">
      <c r="A10" s="4" t="str">
        <f>Beta!A8</f>
        <v>Semen Indonesia</v>
      </c>
      <c r="B10" s="66">
        <v>6878</v>
      </c>
      <c r="C10" s="66">
        <v>843</v>
      </c>
      <c r="D10" s="31">
        <f t="shared" si="2"/>
        <v>8.1589561091340457</v>
      </c>
      <c r="E10" s="14" t="str">
        <f>VLOOKUP(D10,'Ratings Lookup'!$A$3:$D$17,3)</f>
        <v>A+</v>
      </c>
      <c r="F10" s="5">
        <f>VLOOKUP(D10,'Ratings Lookup'!$A$3:$D$17,4)+$C$1+$C$2</f>
        <v>9.2099999999999987E-2</v>
      </c>
      <c r="G10" s="5">
        <f t="shared" si="1"/>
        <v>6.9074999999999998E-2</v>
      </c>
    </row>
    <row r="11" spans="1:7">
      <c r="A11" s="4" t="str">
        <f>Beta!A9</f>
        <v>United Tractors</v>
      </c>
      <c r="B11" s="66">
        <v>8595</v>
      </c>
      <c r="C11" s="66">
        <v>92</v>
      </c>
      <c r="D11" s="31">
        <f t="shared" si="2"/>
        <v>93.423913043478265</v>
      </c>
      <c r="E11" s="14" t="str">
        <f>VLOOKUP(D11,'Ratings Lookup'!$A$3:$D$17,3)</f>
        <v>AAA</v>
      </c>
      <c r="F11" s="5">
        <f>VLOOKUP(D11,'Ratings Lookup'!$A$3:$D$17,4)+$C$1+$C$2</f>
        <v>8.7100000000000011E-2</v>
      </c>
      <c r="G11" s="5">
        <f t="shared" si="1"/>
        <v>6.5325000000000008E-2</v>
      </c>
    </row>
    <row r="12" spans="1:7">
      <c r="A12" s="4" t="str">
        <f>Beta!A10</f>
        <v>Media Nusantra</v>
      </c>
      <c r="B12" s="66">
        <v>2611</v>
      </c>
      <c r="C12" s="66">
        <v>82</v>
      </c>
      <c r="D12" s="31">
        <f t="shared" si="2"/>
        <v>31.841463414634145</v>
      </c>
      <c r="E12" s="14" t="str">
        <f>VLOOKUP(D12,'Ratings Lookup'!$A$3:$D$17,3)</f>
        <v>AAA</v>
      </c>
      <c r="F12" s="5">
        <f>VLOOKUP(D12,'Ratings Lookup'!$A$3:$D$17,4)+$C$1+$C$2</f>
        <v>8.7100000000000011E-2</v>
      </c>
      <c r="G12" s="5">
        <f t="shared" si="1"/>
        <v>6.5325000000000008E-2</v>
      </c>
    </row>
    <row r="13" spans="1:7">
      <c r="A13" s="4" t="str">
        <f>Beta!A11</f>
        <v>Indosat</v>
      </c>
      <c r="B13" s="66">
        <v>348</v>
      </c>
      <c r="C13" s="66">
        <v>2398</v>
      </c>
      <c r="D13" s="31">
        <f t="shared" si="2"/>
        <v>0.1451209341117598</v>
      </c>
      <c r="E13" s="14" t="str">
        <f>VLOOKUP(D13,'Ratings Lookup'!$A$3:$D$17,3)</f>
        <v>D</v>
      </c>
      <c r="F13" s="5">
        <f>VLOOKUP(D13,'Ratings Lookup'!$A$3:$D$17,4)+$C$1+$C$2</f>
        <v>0.20309999999999997</v>
      </c>
      <c r="G13" s="5">
        <f t="shared" si="1"/>
        <v>0.15232499999999999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F6" sqref="F6"/>
    </sheetView>
  </sheetViews>
  <sheetFormatPr baseColWidth="10" defaultRowHeight="15" x14ac:dyDescent="0"/>
  <cols>
    <col min="1" max="1" width="15.1640625" customWidth="1"/>
    <col min="2" max="2" width="11.83203125" bestFit="1" customWidth="1"/>
    <col min="3" max="3" width="6.1640625" customWidth="1"/>
    <col min="4" max="4" width="12.33203125" customWidth="1"/>
    <col min="5" max="5" width="18.5" bestFit="1" customWidth="1"/>
    <col min="6" max="6" width="11.6640625" bestFit="1" customWidth="1"/>
    <col min="7" max="7" width="20.33203125" customWidth="1"/>
  </cols>
  <sheetData>
    <row r="1" spans="1:7" s="2" customFormat="1">
      <c r="A1" s="3" t="str">
        <f>'Cost of Debt'!A4</f>
        <v>Company</v>
      </c>
      <c r="B1" s="10" t="s">
        <v>23</v>
      </c>
      <c r="C1" s="10" t="s">
        <v>12</v>
      </c>
      <c r="D1" s="10" t="s">
        <v>156</v>
      </c>
      <c r="E1" s="10" t="s">
        <v>135</v>
      </c>
      <c r="F1" s="10" t="s">
        <v>157</v>
      </c>
      <c r="G1" s="10" t="s">
        <v>211</v>
      </c>
    </row>
    <row r="2" spans="1:7">
      <c r="A2" s="4" t="str">
        <f>'Cost of Debt'!A5</f>
        <v>Krakatau Steel</v>
      </c>
      <c r="B2" s="22">
        <f>Beta!G3</f>
        <v>2.7393382520627929</v>
      </c>
      <c r="C2" s="11">
        <f>ERP!F2</f>
        <v>9.11E-2</v>
      </c>
      <c r="D2" s="11">
        <f>'Cost of Debt'!$C$1+B2*C2</f>
        <v>0.31065371476292042</v>
      </c>
      <c r="E2" s="13">
        <f>'Cost of Debt'!G5</f>
        <v>0.15232499999999999</v>
      </c>
      <c r="F2" s="11">
        <f>Beta!D3/(Beta!D3+Beta!E3)</f>
        <v>0.78936499741868871</v>
      </c>
      <c r="G2" s="11">
        <f>D2*(1-F2)+E2*F2</f>
        <v>0.18567456924278342</v>
      </c>
    </row>
    <row r="3" spans="1:7">
      <c r="A3" s="4" t="str">
        <f>'Cost of Debt'!A6</f>
        <v>Bumi Resources</v>
      </c>
      <c r="B3" s="22">
        <f>Beta!G4</f>
        <v>14.34234768751522</v>
      </c>
      <c r="C3" s="11">
        <f>ERP!F3</f>
        <v>7.9376261629546085E-2</v>
      </c>
      <c r="D3" s="11">
        <f>'Cost of Debt'!$C$1+B3*C3</f>
        <v>1.1995419424261233</v>
      </c>
      <c r="E3" s="13">
        <f>'Cost of Debt'!G6</f>
        <v>0.15232499999999999</v>
      </c>
      <c r="F3" s="11">
        <f>Beta!D4/(Beta!D4+Beta!E4)</f>
        <v>0.95139513951395138</v>
      </c>
      <c r="G3" s="11">
        <f t="shared" ref="G3:G10" si="0">D3*(1-F3)+E3*F3</f>
        <v>0.2032248333852481</v>
      </c>
    </row>
    <row r="4" spans="1:7">
      <c r="A4" s="4" t="str">
        <f>'Cost of Debt'!A7</f>
        <v>Lippo Karawacki</v>
      </c>
      <c r="B4" s="22">
        <f>Beta!G5</f>
        <v>0.82068947530835534</v>
      </c>
      <c r="C4" s="11">
        <f>ERP!F7</f>
        <v>9.11E-2</v>
      </c>
      <c r="D4" s="11">
        <f>'Cost of Debt'!$C$1+B4*C4</f>
        <v>0.13586481120059118</v>
      </c>
      <c r="E4" s="13">
        <f>'Cost of Debt'!G7</f>
        <v>9.9824999999999997E-2</v>
      </c>
      <c r="F4" s="11">
        <f>Beta!D5/(Beta!D5+Beta!E5)</f>
        <v>0.26446503873688337</v>
      </c>
      <c r="G4" s="11">
        <f t="shared" si="0"/>
        <v>0.12633354113535686</v>
      </c>
    </row>
    <row r="5" spans="1:7">
      <c r="A5" s="4" t="str">
        <f>'Cost of Debt'!A8</f>
        <v>Gudang Garam</v>
      </c>
      <c r="B5" s="22">
        <f>Beta!G6</f>
        <v>0.75688673485525093</v>
      </c>
      <c r="C5" s="11">
        <f>ERP!F8</f>
        <v>9.0264617626754626E-2</v>
      </c>
      <c r="D5" s="11">
        <f>'Cost of Debt'!$C$1+B5*C5</f>
        <v>0.12942009170847205</v>
      </c>
      <c r="E5" s="13">
        <f>'Cost of Debt'!G8</f>
        <v>7.1325E-2</v>
      </c>
      <c r="F5" s="11">
        <f>Beta!D6/(Beta!D6+Beta!E6)</f>
        <v>0.14339187477550711</v>
      </c>
      <c r="G5" s="11">
        <f t="shared" si="0"/>
        <v>0.12108972759313923</v>
      </c>
    </row>
    <row r="6" spans="1:7">
      <c r="A6" s="4" t="str">
        <f>'Cost of Debt'!A9</f>
        <v>Perushann Gas</v>
      </c>
      <c r="B6" s="22">
        <f>Beta!G7</f>
        <v>1.0032748256204902</v>
      </c>
      <c r="C6" s="11">
        <f>ERP!F10</f>
        <v>9.11E-2</v>
      </c>
      <c r="D6" s="11">
        <f>'Cost of Debt'!$C$1+B6*C6</f>
        <v>0.15249833661402667</v>
      </c>
      <c r="E6" s="13">
        <f>'Cost of Debt'!G9</f>
        <v>6.9074999999999998E-2</v>
      </c>
      <c r="F6" s="11">
        <f>Beta!D7/(Beta!D7+Beta!E7)</f>
        <v>0.2139437462597247</v>
      </c>
      <c r="G6" s="11">
        <f t="shared" si="0"/>
        <v>0.13465043545333574</v>
      </c>
    </row>
    <row r="7" spans="1:7">
      <c r="A7" s="4" t="str">
        <f>'Cost of Debt'!A10</f>
        <v>Semen Indonesia</v>
      </c>
      <c r="B7" s="22">
        <f>Beta!G8</f>
        <v>0.85262046218263854</v>
      </c>
      <c r="C7" s="11">
        <f>ERP!F11</f>
        <v>9.0138990587712145E-2</v>
      </c>
      <c r="D7" s="11">
        <f>'Cost of Debt'!$C$1+B7*C7</f>
        <v>0.13795434781557164</v>
      </c>
      <c r="E7" s="13">
        <f>'Cost of Debt'!G10</f>
        <v>6.9074999999999998E-2</v>
      </c>
      <c r="F7" s="11">
        <f>Beta!D8/(Beta!D8+Beta!E8)</f>
        <v>4.7403551087177163E-2</v>
      </c>
      <c r="G7" s="11">
        <f t="shared" si="0"/>
        <v>0.13468922213254475</v>
      </c>
    </row>
    <row r="8" spans="1:7">
      <c r="A8" s="4" t="str">
        <f>'Cost of Debt'!A11</f>
        <v>United Tractors</v>
      </c>
      <c r="B8" s="22">
        <f>Beta!G9</f>
        <v>0.98306176096844622</v>
      </c>
      <c r="C8" s="11">
        <f>ERP!F14</f>
        <v>9.11E-2</v>
      </c>
      <c r="D8" s="11">
        <f>'Cost of Debt'!$C$1+B8*C8</f>
        <v>0.15065692642422546</v>
      </c>
      <c r="E8" s="13">
        <f>'Cost of Debt'!G11</f>
        <v>6.5325000000000008E-2</v>
      </c>
      <c r="F8" s="11">
        <f>Beta!D9/(Beta!D9+Beta!E9)</f>
        <v>3.3636748789975739E-2</v>
      </c>
      <c r="G8" s="11">
        <f t="shared" si="0"/>
        <v>0.14778663785132912</v>
      </c>
    </row>
    <row r="9" spans="1:7">
      <c r="A9" s="4" t="str">
        <f>'Cost of Debt'!A12</f>
        <v>Media Nusantra</v>
      </c>
      <c r="B9" s="22">
        <f>Beta!G10</f>
        <v>0.97393818812753585</v>
      </c>
      <c r="C9" s="11">
        <f>ERP!F15</f>
        <v>9.11E-2</v>
      </c>
      <c r="D9" s="11">
        <f>'Cost of Debt'!$C$1+B9*C9</f>
        <v>0.14982576893841854</v>
      </c>
      <c r="E9" s="13">
        <f>'Cost of Debt'!G12</f>
        <v>6.5325000000000008E-2</v>
      </c>
      <c r="F9" s="11">
        <f>Beta!D10/(Beta!D10+Beta!E10)</f>
        <v>0.10297392100045753</v>
      </c>
      <c r="G9" s="11">
        <f t="shared" si="0"/>
        <v>0.14112439343327593</v>
      </c>
    </row>
    <row r="10" spans="1:7">
      <c r="A10" s="4" t="str">
        <f>'Cost of Debt'!A13</f>
        <v>Indosat</v>
      </c>
      <c r="B10" s="22">
        <f>Beta!G11</f>
        <v>1.3206396365424111</v>
      </c>
      <c r="C10" s="11">
        <f>ERP!F16</f>
        <v>9.11E-2</v>
      </c>
      <c r="D10" s="11">
        <f>'Cost of Debt'!$C$1+B10*C10</f>
        <v>0.18141027088901365</v>
      </c>
      <c r="E10" s="13">
        <f>'Cost of Debt'!G13</f>
        <v>0.15232499999999999</v>
      </c>
      <c r="F10" s="11">
        <f>Beta!D11/(Beta!D11+Beta!E11)</f>
        <v>0.57306415696819457</v>
      </c>
      <c r="G10" s="11">
        <f t="shared" si="0"/>
        <v>0.16474254464680949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sqref="A1:I10"/>
    </sheetView>
  </sheetViews>
  <sheetFormatPr baseColWidth="10" defaultRowHeight="15" x14ac:dyDescent="0"/>
  <cols>
    <col min="1" max="1" width="15.1640625" bestFit="1" customWidth="1"/>
    <col min="2" max="2" width="9" style="9" bestFit="1" customWidth="1"/>
    <col min="3" max="3" width="15.6640625" bestFit="1" customWidth="1"/>
    <col min="4" max="4" width="10.1640625" bestFit="1" customWidth="1"/>
    <col min="5" max="5" width="10.83203125" bestFit="1" customWidth="1"/>
    <col min="6" max="6" width="10.1640625" bestFit="1" customWidth="1"/>
    <col min="7" max="7" width="14.1640625" bestFit="1" customWidth="1"/>
    <col min="8" max="8" width="7.1640625" bestFit="1" customWidth="1"/>
    <col min="9" max="9" width="13" bestFit="1" customWidth="1"/>
  </cols>
  <sheetData>
    <row r="1" spans="1:9" s="2" customFormat="1">
      <c r="A1" s="3" t="str">
        <f>'Cost of capital'!A1</f>
        <v>Company</v>
      </c>
      <c r="B1" s="10" t="s">
        <v>130</v>
      </c>
      <c r="C1" s="3" t="s">
        <v>158</v>
      </c>
      <c r="D1" s="3" t="s">
        <v>20</v>
      </c>
      <c r="E1" s="3" t="s">
        <v>159</v>
      </c>
      <c r="F1" s="3" t="s">
        <v>160</v>
      </c>
      <c r="G1" s="3" t="s">
        <v>161</v>
      </c>
      <c r="H1" s="3" t="s">
        <v>162</v>
      </c>
      <c r="I1" s="3" t="s">
        <v>163</v>
      </c>
    </row>
    <row r="2" spans="1:9">
      <c r="A2" s="4" t="str">
        <f>'Cost of capital'!A2</f>
        <v>Krakatau Steel</v>
      </c>
      <c r="B2" s="63">
        <f>'Cost of Debt'!B5</f>
        <v>-115</v>
      </c>
      <c r="C2" s="5">
        <v>0</v>
      </c>
      <c r="D2" s="64">
        <v>1006.33</v>
      </c>
      <c r="E2" s="64">
        <v>835</v>
      </c>
      <c r="F2" s="64">
        <v>193</v>
      </c>
      <c r="G2" s="64">
        <f>D2+E2-F2</f>
        <v>1648.33</v>
      </c>
      <c r="H2" s="5">
        <f>B2*(1-C2)/G2</f>
        <v>-6.9767582947589377E-2</v>
      </c>
      <c r="I2" s="6">
        <f>'Cost of capital'!G2</f>
        <v>0.18567456924278342</v>
      </c>
    </row>
    <row r="3" spans="1:9">
      <c r="A3" s="4" t="str">
        <f>'Cost of capital'!A3</f>
        <v>Bumi Resources</v>
      </c>
      <c r="B3" s="63">
        <f>'Cost of Debt'!B6</f>
        <v>87</v>
      </c>
      <c r="C3" s="5">
        <v>0.25</v>
      </c>
      <c r="D3" s="64">
        <v>4252</v>
      </c>
      <c r="E3" s="64">
        <v>-321</v>
      </c>
      <c r="F3" s="64">
        <v>21</v>
      </c>
      <c r="G3" s="64">
        <f t="shared" ref="G3:G10" si="0">D3+E3-F3</f>
        <v>3910</v>
      </c>
      <c r="H3" s="5">
        <f t="shared" ref="H3:H10" si="1">B3*(1-C3)/G3</f>
        <v>1.6687979539641944E-2</v>
      </c>
      <c r="I3" s="6">
        <f>'Cost of capital'!G3</f>
        <v>0.2032248333852481</v>
      </c>
    </row>
    <row r="4" spans="1:9">
      <c r="A4" s="4" t="str">
        <f>'Cost of capital'!A4</f>
        <v>Lippo Karawacki</v>
      </c>
      <c r="B4" s="63">
        <f>'Cost of Debt'!B7</f>
        <v>3295</v>
      </c>
      <c r="C4" s="5">
        <v>6.3399999999999998E-2</v>
      </c>
      <c r="D4" s="64">
        <v>9997</v>
      </c>
      <c r="E4" s="64">
        <v>17646</v>
      </c>
      <c r="F4" s="64">
        <v>11640</v>
      </c>
      <c r="G4" s="64">
        <f t="shared" si="0"/>
        <v>16003</v>
      </c>
      <c r="H4" s="5">
        <f t="shared" si="1"/>
        <v>0.19284490408048488</v>
      </c>
      <c r="I4" s="6">
        <f>'Cost of capital'!G4</f>
        <v>0.12633354113535686</v>
      </c>
    </row>
    <row r="5" spans="1:9">
      <c r="A5" s="4" t="str">
        <f>'Cost of capital'!A5</f>
        <v>Gudang Garam</v>
      </c>
      <c r="B5" s="63">
        <f>'Cost of Debt'!B8</f>
        <v>8506</v>
      </c>
      <c r="C5" s="5">
        <v>0.25009999999999999</v>
      </c>
      <c r="D5" s="64">
        <v>18147</v>
      </c>
      <c r="E5" s="64">
        <v>33229</v>
      </c>
      <c r="F5" s="64">
        <v>1588</v>
      </c>
      <c r="G5" s="64">
        <f t="shared" si="0"/>
        <v>49788</v>
      </c>
      <c r="H5" s="5">
        <f t="shared" si="1"/>
        <v>0.12811620069092955</v>
      </c>
      <c r="I5" s="6">
        <f>'Cost of capital'!G5</f>
        <v>0.12108972759313923</v>
      </c>
    </row>
    <row r="6" spans="1:9">
      <c r="A6" s="4" t="str">
        <f>'Cost of capital'!A6</f>
        <v>Perushann Gas</v>
      </c>
      <c r="B6" s="63">
        <f>'Cost of Debt'!B9</f>
        <v>721</v>
      </c>
      <c r="C6" s="5">
        <v>0.27110000000000001</v>
      </c>
      <c r="D6" s="64">
        <v>1892</v>
      </c>
      <c r="E6" s="64">
        <v>2963</v>
      </c>
      <c r="F6" s="64">
        <v>1309</v>
      </c>
      <c r="G6" s="64">
        <f t="shared" si="0"/>
        <v>3546</v>
      </c>
      <c r="H6" s="5">
        <f t="shared" si="1"/>
        <v>0.14820555555555553</v>
      </c>
      <c r="I6" s="6">
        <f>'Cost of capital'!G6</f>
        <v>0.13465043545333574</v>
      </c>
    </row>
    <row r="7" spans="1:9">
      <c r="A7" s="4" t="str">
        <f>'Cost of capital'!A7</f>
        <v>Semen Indonesia</v>
      </c>
      <c r="B7" s="63">
        <f>'Cost of Debt'!B10</f>
        <v>6878</v>
      </c>
      <c r="C7" s="5">
        <v>0.20449999999999999</v>
      </c>
      <c r="D7" s="64">
        <v>4083</v>
      </c>
      <c r="E7" s="64">
        <v>21804</v>
      </c>
      <c r="F7" s="64">
        <v>4175</v>
      </c>
      <c r="G7" s="64">
        <f t="shared" si="0"/>
        <v>21712</v>
      </c>
      <c r="H7" s="5">
        <f t="shared" si="1"/>
        <v>0.25200115143699336</v>
      </c>
      <c r="I7" s="6">
        <f>'Cost of capital'!G7</f>
        <v>0.13468922213254475</v>
      </c>
    </row>
    <row r="8" spans="1:9">
      <c r="A8" s="4" t="str">
        <f>'Cost of capital'!A8</f>
        <v>United Tractors</v>
      </c>
      <c r="B8" s="63">
        <f>'Cost of Debt'!B11</f>
        <v>8595</v>
      </c>
      <c r="C8" s="5">
        <v>0.26100000000000001</v>
      </c>
      <c r="D8" s="64">
        <v>2597</v>
      </c>
      <c r="E8" s="64">
        <v>36576</v>
      </c>
      <c r="F8" s="64">
        <v>10610</v>
      </c>
      <c r="G8" s="64">
        <f t="shared" si="0"/>
        <v>28563</v>
      </c>
      <c r="H8" s="5">
        <f t="shared" si="1"/>
        <v>0.22237527570633336</v>
      </c>
      <c r="I8" s="6">
        <f>'Cost of capital'!G8</f>
        <v>0.14778663785132912</v>
      </c>
    </row>
    <row r="9" spans="1:9">
      <c r="A9" s="4" t="str">
        <f>'Cost of capital'!A9</f>
        <v>Media Nusantra</v>
      </c>
      <c r="B9" s="63">
        <f>'Cost of Debt'!B12</f>
        <v>2611</v>
      </c>
      <c r="C9" s="5">
        <v>0.30559999999999998</v>
      </c>
      <c r="D9" s="64">
        <v>3182</v>
      </c>
      <c r="E9" s="64">
        <v>9393</v>
      </c>
      <c r="F9" s="64">
        <v>1132</v>
      </c>
      <c r="G9" s="64">
        <f t="shared" si="0"/>
        <v>11443</v>
      </c>
      <c r="H9" s="5">
        <f t="shared" si="1"/>
        <v>0.15844432404089837</v>
      </c>
      <c r="I9" s="6">
        <f>'Cost of capital'!G9</f>
        <v>0.14112439343327593</v>
      </c>
    </row>
    <row r="10" spans="1:9">
      <c r="A10" s="4" t="str">
        <f>'Cost of capital'!A10</f>
        <v>Indosat</v>
      </c>
      <c r="B10" s="63">
        <f>'Cost of Debt'!B13</f>
        <v>348</v>
      </c>
      <c r="C10" s="5">
        <v>0</v>
      </c>
      <c r="D10" s="64">
        <v>27872</v>
      </c>
      <c r="E10" s="64">
        <v>14210</v>
      </c>
      <c r="F10" s="64">
        <v>3480</v>
      </c>
      <c r="G10" s="64">
        <f t="shared" si="0"/>
        <v>38602</v>
      </c>
      <c r="H10" s="5">
        <f t="shared" si="1"/>
        <v>9.0150769390187034E-3</v>
      </c>
      <c r="I10" s="6">
        <f>'Cost of capital'!G10</f>
        <v>0.16474254464680949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G10" sqref="G10"/>
    </sheetView>
  </sheetViews>
  <sheetFormatPr baseColWidth="10" defaultRowHeight="15" x14ac:dyDescent="0"/>
  <cols>
    <col min="1" max="1" width="21.33203125" customWidth="1"/>
    <col min="2" max="2" width="12.6640625" style="58" customWidth="1"/>
    <col min="3" max="4" width="14.1640625" customWidth="1"/>
    <col min="5" max="5" width="19.83203125" style="9" bestFit="1" customWidth="1"/>
    <col min="6" max="7" width="19.83203125" style="9" customWidth="1"/>
    <col min="8" max="8" width="24.1640625" style="9" bestFit="1" customWidth="1"/>
    <col min="9" max="9" width="35.33203125" style="9" bestFit="1" customWidth="1"/>
  </cols>
  <sheetData>
    <row r="1" spans="1:9" s="2" customFormat="1">
      <c r="A1" s="3" t="str">
        <f>'ROIC &amp; EVA'!A1</f>
        <v>Company</v>
      </c>
      <c r="B1" s="57" t="s">
        <v>181</v>
      </c>
      <c r="C1" s="10" t="s">
        <v>180</v>
      </c>
      <c r="D1" s="10" t="s">
        <v>215</v>
      </c>
      <c r="E1" s="10" t="s">
        <v>164</v>
      </c>
      <c r="F1" s="10" t="s">
        <v>213</v>
      </c>
      <c r="G1" s="10" t="s">
        <v>214</v>
      </c>
      <c r="H1" s="10" t="s">
        <v>165</v>
      </c>
      <c r="I1" s="10" t="s">
        <v>166</v>
      </c>
    </row>
    <row r="2" spans="1:9">
      <c r="A2" s="4" t="str">
        <f>'ROIC &amp; EVA'!A2</f>
        <v>Krakatau Steel</v>
      </c>
      <c r="B2" s="62">
        <v>-48</v>
      </c>
      <c r="C2" s="22">
        <f>Beta!D3/'Debt Ratios'!B2</f>
        <v>-31.854166666666668</v>
      </c>
      <c r="D2" s="11">
        <f>'Debt Ratios'!B2/(Beta!E3+Beta!D3-'ROIC &amp; EVA'!F2)</f>
        <v>-2.7522935779816515E-2</v>
      </c>
      <c r="E2" s="13">
        <f>'Cost of capital'!F2</f>
        <v>0.78936499741868871</v>
      </c>
      <c r="F2" s="13">
        <v>0</v>
      </c>
      <c r="G2" s="13">
        <v>0.55189999999999995</v>
      </c>
      <c r="H2" s="14" t="str">
        <f>Beta!B3</f>
        <v>Steel</v>
      </c>
      <c r="I2" s="11">
        <f>VLOOKUP(H2,'Global Betas'!$A$2:$J$96,4)/(1+VLOOKUP(H2,'Global Betas'!$A$2:$J$96,4))</f>
        <v>0.47340045347762238</v>
      </c>
    </row>
    <row r="3" spans="1:9">
      <c r="A3" s="4" t="str">
        <f>'ROIC &amp; EVA'!A3</f>
        <v>Bumi Resources</v>
      </c>
      <c r="B3" s="62">
        <v>581</v>
      </c>
      <c r="C3" s="22">
        <f>Beta!D4/'Debt Ratios'!B3</f>
        <v>7.2771084337349397</v>
      </c>
      <c r="D3" s="11">
        <f>'Debt Ratios'!B3/(Beta!E4+Beta!D4-'ROIC &amp; EVA'!F3)</f>
        <v>0.13135880624010851</v>
      </c>
      <c r="E3" s="13">
        <f>'Cost of capital'!F3</f>
        <v>0.95139513951395138</v>
      </c>
      <c r="F3" s="13">
        <v>0</v>
      </c>
      <c r="G3" s="13">
        <v>0.61570000000000003</v>
      </c>
      <c r="H3" s="14" t="str">
        <f>Beta!B4</f>
        <v>Coal &amp; Related Energy</v>
      </c>
      <c r="I3" s="11">
        <f>VLOOKUP(H3,'Global Betas'!$A$2:$J$96,4)/(1+VLOOKUP(H3,'Global Betas'!$A$2:$J$96,4))</f>
        <v>0.35058338006607692</v>
      </c>
    </row>
    <row r="4" spans="1:9">
      <c r="A4" s="4" t="str">
        <f>'ROIC &amp; EVA'!A4</f>
        <v>Lippo Karawacki</v>
      </c>
      <c r="B4" s="62">
        <v>2974</v>
      </c>
      <c r="C4" s="22">
        <f>Beta!D5/'Debt Ratios'!B4</f>
        <v>3.6271015467383996</v>
      </c>
      <c r="D4" s="11">
        <f>'Debt Ratios'!B4/(Beta!E5+Beta!D5-'ROIC &amp; EVA'!F4)</f>
        <v>0.10203101413476054</v>
      </c>
      <c r="E4" s="13">
        <f>'Cost of capital'!F4</f>
        <v>0.26446503873688337</v>
      </c>
      <c r="F4" s="13">
        <v>0.1</v>
      </c>
      <c r="G4" s="13">
        <v>0.1028</v>
      </c>
      <c r="H4" s="14" t="str">
        <f>Beta!B5</f>
        <v>Real Estate (General/Diversified)</v>
      </c>
      <c r="I4" s="11">
        <f>VLOOKUP(H4,'Global Betas'!$A$2:$J$96,4)/(1+VLOOKUP(H4,'Global Betas'!$A$2:$J$96,4))</f>
        <v>0.44114151933970031</v>
      </c>
    </row>
    <row r="5" spans="1:9">
      <c r="A5" s="4" t="str">
        <f>'ROIC &amp; EVA'!A5</f>
        <v>Gudang Garam</v>
      </c>
      <c r="B5" s="62">
        <v>10088</v>
      </c>
      <c r="C5" s="22">
        <f>Beta!D6/'Debt Ratios'!B5</f>
        <v>1.503766851704996</v>
      </c>
      <c r="D5" s="11">
        <f>'Debt Ratios'!B5/(Beta!E6+Beta!D6-'ROIC &amp; EVA'!F5)</f>
        <v>9.680824520660998E-2</v>
      </c>
      <c r="E5" s="13">
        <f>'Cost of capital'!F5</f>
        <v>0.14339187477550711</v>
      </c>
      <c r="F5" s="13">
        <v>0.1</v>
      </c>
      <c r="G5" s="13">
        <v>-1E-4</v>
      </c>
      <c r="H5" s="14" t="str">
        <f>Beta!B6</f>
        <v>Tobacco</v>
      </c>
      <c r="I5" s="11">
        <f>VLOOKUP(H5,'Global Betas'!$A$2:$J$96,4)/(1+VLOOKUP(H5,'Global Betas'!$A$2:$J$96,4))</f>
        <v>0.1443386517562312</v>
      </c>
    </row>
    <row r="6" spans="1:9">
      <c r="A6" s="4" t="str">
        <f>'ROIC &amp; EVA'!A6</f>
        <v>Perushann Gas</v>
      </c>
      <c r="B6" s="62">
        <v>980</v>
      </c>
      <c r="C6" s="22">
        <f>Beta!D7/'Debt Ratios'!B6</f>
        <v>2.1887755102040818</v>
      </c>
      <c r="D6" s="11">
        <f>'Debt Ratios'!B6/(Beta!E7+Beta!D7-'ROIC &amp; EVA'!F6)</f>
        <v>0.11242399908225306</v>
      </c>
      <c r="E6" s="13">
        <f>'Cost of capital'!F6</f>
        <v>0.2139437462597247</v>
      </c>
      <c r="F6" s="13">
        <v>0.2</v>
      </c>
      <c r="G6" s="13">
        <v>-1.4E-3</v>
      </c>
      <c r="H6" s="14" t="str">
        <f>Beta!B7</f>
        <v>Oil/Gas Distribution</v>
      </c>
      <c r="I6" s="11">
        <f>VLOOKUP(H6,'Global Betas'!$A$2:$J$96,4)/(1+VLOOKUP(H6,'Global Betas'!$A$2:$J$96,4))</f>
        <v>0.34575648188564978</v>
      </c>
    </row>
    <row r="7" spans="1:9">
      <c r="A7" s="4" t="str">
        <f>'ROIC &amp; EVA'!A7</f>
        <v>Semen Indonesia</v>
      </c>
      <c r="B7" s="62">
        <v>8204</v>
      </c>
      <c r="C7" s="22">
        <f>Beta!D8/'Debt Ratios'!B7</f>
        <v>0.48391028766455385</v>
      </c>
      <c r="D7" s="11">
        <f>'Debt Ratios'!B7/(Beta!E8+Beta!D8-'ROIC &amp; EVA'!F7)</f>
        <v>0.10309900218664388</v>
      </c>
      <c r="E7" s="13">
        <f>'Cost of capital'!F7</f>
        <v>4.7403551087177163E-2</v>
      </c>
      <c r="F7" s="13">
        <v>0.1</v>
      </c>
      <c r="G7" s="13">
        <v>4.4000000000000003E-3</v>
      </c>
      <c r="H7" s="14" t="str">
        <f>Beta!B8</f>
        <v>Construction Supplies</v>
      </c>
      <c r="I7" s="11">
        <f>VLOOKUP(H7,'Global Betas'!$A$2:$J$96,4)/(1+VLOOKUP(H7,'Global Betas'!$A$2:$J$96,4))</f>
        <v>0.32336289115572775</v>
      </c>
    </row>
    <row r="8" spans="1:9">
      <c r="A8" s="4" t="str">
        <f>'ROIC &amp; EVA'!A8</f>
        <v>United Tractors</v>
      </c>
      <c r="B8" s="62">
        <v>12900</v>
      </c>
      <c r="C8" s="22">
        <f>Beta!D9/'Debt Ratios'!B8</f>
        <v>0.20310077519379846</v>
      </c>
      <c r="D8" s="11">
        <f>'Debt Ratios'!B8/(Beta!E9+Beta!D9-'ROIC &amp; EVA'!F8)</f>
        <v>0.19173317875774737</v>
      </c>
      <c r="E8" s="13">
        <f>'Cost of capital'!F8</f>
        <v>3.3636748789975739E-2</v>
      </c>
      <c r="F8" s="13">
        <v>0.2</v>
      </c>
      <c r="G8" s="13">
        <v>1.7000000000000001E-2</v>
      </c>
      <c r="H8" s="14" t="str">
        <f>Beta!B9</f>
        <v>Machinery</v>
      </c>
      <c r="I8" s="11">
        <f>VLOOKUP(H8,'Global Betas'!$A$2:$J$96,4)/(1+VLOOKUP(H8,'Global Betas'!$A$2:$J$96,4))</f>
        <v>0.17381331355338553</v>
      </c>
    </row>
    <row r="9" spans="1:9">
      <c r="A9" s="4" t="str">
        <f>'ROIC &amp; EVA'!A9</f>
        <v>Media Nusantra</v>
      </c>
      <c r="B9" s="62">
        <v>2809</v>
      </c>
      <c r="C9" s="22">
        <f>Beta!D10/'Debt Ratios'!B9</f>
        <v>1.2018511925952295</v>
      </c>
      <c r="D9" s="11">
        <f>'Debt Ratios'!B9/(Beta!E10+Beta!D10-'ROIC &amp; EVA'!F9)</f>
        <v>8.8743563011404916E-2</v>
      </c>
      <c r="E9" s="13">
        <f>'Cost of capital'!F9</f>
        <v>0.10297392100045753</v>
      </c>
      <c r="F9" s="13">
        <v>0.2</v>
      </c>
      <c r="G9" s="13">
        <v>9.1000000000000004E-3</v>
      </c>
      <c r="H9" s="14" t="str">
        <f>Beta!B10</f>
        <v>Entertainment</v>
      </c>
      <c r="I9" s="11">
        <f>VLOOKUP(H9,'Global Betas'!$A$2:$J$96,4)/(1+VLOOKUP(H9,'Global Betas'!$A$2:$J$96,4))</f>
        <v>0.21670716614599136</v>
      </c>
    </row>
    <row r="10" spans="1:9">
      <c r="A10" s="4" t="str">
        <f>'ROIC &amp; EVA'!A10</f>
        <v>Indosat</v>
      </c>
      <c r="B10" s="62">
        <v>8654</v>
      </c>
      <c r="C10" s="22">
        <f>Beta!D11/'Debt Ratios'!B10</f>
        <v>3.1521839611740234</v>
      </c>
      <c r="D10" s="11">
        <f>'Debt Ratios'!B10/(Beta!E11+Beta!D11-'ROIC &amp; EVA'!F10)</f>
        <v>0.19613798105253616</v>
      </c>
      <c r="E10" s="13">
        <f>'Cost of capital'!F10</f>
        <v>0.57306415696819457</v>
      </c>
      <c r="F10" s="13"/>
      <c r="G10" s="13"/>
      <c r="H10" s="14" t="str">
        <f>Beta!B11</f>
        <v>Telecom. Services</v>
      </c>
      <c r="I10" s="11">
        <f>VLOOKUP(H10,'Global Betas'!$A$2:$J$96,4)/(1+VLOOKUP(H10,'Global Betas'!$A$2:$J$96,4))</f>
        <v>0.38633180025109159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sqref="A1:I10"/>
    </sheetView>
  </sheetViews>
  <sheetFormatPr baseColWidth="10" defaultRowHeight="15" x14ac:dyDescent="0"/>
  <cols>
    <col min="1" max="1" width="22.33203125" customWidth="1"/>
    <col min="2" max="2" width="9.33203125" bestFit="1" customWidth="1"/>
    <col min="3" max="3" width="10.5" bestFit="1" customWidth="1"/>
    <col min="4" max="4" width="11.83203125" bestFit="1" customWidth="1"/>
    <col min="5" max="5" width="12.6640625" bestFit="1" customWidth="1"/>
    <col min="6" max="6" width="14.5" bestFit="1" customWidth="1"/>
    <col min="7" max="7" width="24.1640625" bestFit="1" customWidth="1"/>
    <col min="8" max="8" width="19.6640625" bestFit="1" customWidth="1"/>
    <col min="9" max="9" width="21.5" bestFit="1" customWidth="1"/>
  </cols>
  <sheetData>
    <row r="1" spans="1:9" s="2" customFormat="1">
      <c r="A1" s="3" t="str">
        <f>'Debt Ratios'!A1</f>
        <v>Company</v>
      </c>
      <c r="B1" s="10" t="s">
        <v>167</v>
      </c>
      <c r="C1" s="10" t="s">
        <v>168</v>
      </c>
      <c r="D1" s="10" t="s">
        <v>21</v>
      </c>
      <c r="E1" s="10" t="s">
        <v>169</v>
      </c>
      <c r="F1" s="10" t="s">
        <v>170</v>
      </c>
      <c r="G1" s="10" t="s">
        <v>24</v>
      </c>
      <c r="H1" s="10" t="s">
        <v>171</v>
      </c>
      <c r="I1" s="10" t="s">
        <v>172</v>
      </c>
    </row>
    <row r="2" spans="1:9">
      <c r="A2" s="4" t="str">
        <f>'Debt Ratios'!A2</f>
        <v>Krakatau Steel</v>
      </c>
      <c r="B2" s="63">
        <v>0</v>
      </c>
      <c r="C2" s="63">
        <v>-146</v>
      </c>
      <c r="D2" s="63">
        <v>408</v>
      </c>
      <c r="E2" s="11">
        <f>B2/D2</f>
        <v>0</v>
      </c>
      <c r="F2" s="11" t="str">
        <f>IF(C2&gt;0,B2/C2,"NA")</f>
        <v>NA</v>
      </c>
      <c r="G2" s="14" t="str">
        <f>Beta!B3</f>
        <v>Steel</v>
      </c>
      <c r="H2" s="11">
        <f>VLOOKUP(G2,'Global Dividends'!$A$2:$H$96,4)</f>
        <v>3.3864063567364704E-2</v>
      </c>
      <c r="I2" s="11">
        <f>VLOOKUP(G2,'Global Dividends'!$A$2:$H$96,3)</f>
        <v>5.1987981362799012</v>
      </c>
    </row>
    <row r="3" spans="1:9">
      <c r="A3" s="4" t="str">
        <f>'Debt Ratios'!A3</f>
        <v>Bumi Resources</v>
      </c>
      <c r="B3" s="63">
        <v>0</v>
      </c>
      <c r="C3" s="63">
        <v>-218</v>
      </c>
      <c r="D3" s="63">
        <f>Beta!E4</f>
        <v>216</v>
      </c>
      <c r="E3" s="11">
        <f t="shared" ref="E3:E10" si="0">B3/D3</f>
        <v>0</v>
      </c>
      <c r="F3" s="11" t="str">
        <f t="shared" ref="F3:F10" si="1">IF(C3&gt;0,B3/C3,"NA")</f>
        <v>NA</v>
      </c>
      <c r="G3" s="14" t="str">
        <f>Beta!B4</f>
        <v>Coal &amp; Related Energy</v>
      </c>
      <c r="H3" s="11">
        <f>VLOOKUP(G3,'Global Dividends'!$A$2:$H$96,4)</f>
        <v>3.4690346119915352E-2</v>
      </c>
      <c r="I3" s="11">
        <f>VLOOKUP(G3,'Global Dividends'!$A$2:$H$96,3)</f>
        <v>1.1714806969838945</v>
      </c>
    </row>
    <row r="4" spans="1:9">
      <c r="A4" s="4" t="str">
        <f>'Debt Ratios'!A4</f>
        <v>Lippo Karawacki</v>
      </c>
      <c r="B4" s="63">
        <v>320</v>
      </c>
      <c r="C4" s="63">
        <v>2653</v>
      </c>
      <c r="D4" s="63">
        <f>Beta!E5</f>
        <v>30001</v>
      </c>
      <c r="E4" s="11">
        <f t="shared" si="0"/>
        <v>1.0666311122962568E-2</v>
      </c>
      <c r="F4" s="11">
        <f t="shared" si="1"/>
        <v>0.12061816811157181</v>
      </c>
      <c r="G4" s="14" t="str">
        <f>Beta!B5</f>
        <v>Real Estate (General/Diversified)</v>
      </c>
      <c r="H4" s="11">
        <f>VLOOKUP(G4,'Global Dividends'!$A$2:$H$96,4)</f>
        <v>2.027079495186165E-2</v>
      </c>
      <c r="I4" s="11">
        <f>VLOOKUP(G4,'Global Dividends'!$A$2:$H$96,3)</f>
        <v>0.26940223435283805</v>
      </c>
    </row>
    <row r="5" spans="1:9">
      <c r="A5" s="4" t="str">
        <f>'Debt Ratios'!A5</f>
        <v>Gudang Garam</v>
      </c>
      <c r="B5" s="63">
        <v>1539</v>
      </c>
      <c r="C5" s="63">
        <v>5233</v>
      </c>
      <c r="D5" s="63">
        <f>Beta!E6</f>
        <v>90624</v>
      </c>
      <c r="E5" s="11">
        <f t="shared" si="0"/>
        <v>1.6982256355932205E-2</v>
      </c>
      <c r="F5" s="11">
        <f t="shared" si="1"/>
        <v>0.29409516529715268</v>
      </c>
      <c r="G5" s="14" t="str">
        <f>Beta!B6</f>
        <v>Tobacco</v>
      </c>
      <c r="H5" s="11">
        <f>VLOOKUP(G5,'Global Dividends'!$A$2:$H$96,4)</f>
        <v>3.8327984266435147E-2</v>
      </c>
      <c r="I5" s="11">
        <f>VLOOKUP(G5,'Global Dividends'!$A$2:$H$96,3)</f>
        <v>0.70946162324568485</v>
      </c>
    </row>
    <row r="6" spans="1:9">
      <c r="A6" s="4" t="str">
        <f>'Debt Ratios'!A6</f>
        <v>Perushann Gas</v>
      </c>
      <c r="B6" s="63">
        <v>454</v>
      </c>
      <c r="C6" s="63">
        <v>655</v>
      </c>
      <c r="D6" s="63">
        <f>Beta!E7</f>
        <v>7881</v>
      </c>
      <c r="E6" s="11">
        <f t="shared" si="0"/>
        <v>5.7606902677325211E-2</v>
      </c>
      <c r="F6" s="11">
        <f t="shared" si="1"/>
        <v>0.69312977099236639</v>
      </c>
      <c r="G6" s="14" t="str">
        <f>Beta!B7</f>
        <v>Oil/Gas Distribution</v>
      </c>
      <c r="H6" s="11">
        <f>VLOOKUP(G6,'Global Dividends'!$A$2:$H$96,4)</f>
        <v>3.4953514037705941E-2</v>
      </c>
      <c r="I6" s="11">
        <f>VLOOKUP(G6,'Global Dividends'!$A$2:$H$96,3)</f>
        <v>1.3899163515020185</v>
      </c>
    </row>
    <row r="7" spans="1:9">
      <c r="A7" s="4" t="str">
        <f>'Debt Ratios'!A7</f>
        <v>Semen Indonesia</v>
      </c>
      <c r="B7" s="63">
        <v>2427</v>
      </c>
      <c r="C7" s="63">
        <v>5453</v>
      </c>
      <c r="D7" s="63">
        <f>Beta!E8</f>
        <v>79779</v>
      </c>
      <c r="E7" s="11">
        <f t="shared" si="0"/>
        <v>3.0421539502876696E-2</v>
      </c>
      <c r="F7" s="11">
        <f t="shared" si="1"/>
        <v>0.44507610489638733</v>
      </c>
      <c r="G7" s="14" t="str">
        <f>Beta!B8</f>
        <v>Construction Supplies</v>
      </c>
      <c r="H7" s="11">
        <f>VLOOKUP(G7,'Global Dividends'!$A$2:$H$96,4)</f>
        <v>2.4294288428887433E-2</v>
      </c>
      <c r="I7" s="11">
        <f>VLOOKUP(G7,'Global Dividends'!$A$2:$H$96,3)</f>
        <v>0.54254064152471371</v>
      </c>
    </row>
    <row r="8" spans="1:9">
      <c r="A8" s="4" t="str">
        <f>'Debt Ratios'!A8</f>
        <v>United Tractors</v>
      </c>
      <c r="B8" s="63">
        <v>1995</v>
      </c>
      <c r="C8" s="63">
        <v>5430</v>
      </c>
      <c r="D8" s="63">
        <f>Beta!E9</f>
        <v>75271</v>
      </c>
      <c r="E8" s="11">
        <f t="shared" si="0"/>
        <v>2.650423137729006E-2</v>
      </c>
      <c r="F8" s="11">
        <f t="shared" si="1"/>
        <v>0.36740331491712708</v>
      </c>
      <c r="G8" s="14" t="str">
        <f>Beta!B9</f>
        <v>Machinery</v>
      </c>
      <c r="H8" s="11">
        <f>VLOOKUP(G8,'Global Dividends'!$A$2:$H$96,4)</f>
        <v>1.741450718444797E-2</v>
      </c>
      <c r="I8" s="11">
        <f>VLOOKUP(G8,'Global Dividends'!$A$2:$H$96,3)</f>
        <v>0.3657196264212248</v>
      </c>
    </row>
    <row r="9" spans="1:9">
      <c r="A9" s="4" t="str">
        <f>'Debt Ratios'!A9</f>
        <v>Media Nusantra</v>
      </c>
      <c r="B9" s="63">
        <v>263</v>
      </c>
      <c r="C9" s="63">
        <v>1658</v>
      </c>
      <c r="D9" s="63">
        <f>Beta!E10</f>
        <v>29409</v>
      </c>
      <c r="E9" s="11">
        <f t="shared" si="0"/>
        <v>8.942840627018939E-3</v>
      </c>
      <c r="F9" s="11">
        <f t="shared" si="1"/>
        <v>0.15862484921592279</v>
      </c>
      <c r="G9" s="14" t="str">
        <f>Beta!B10</f>
        <v>Entertainment</v>
      </c>
      <c r="H9" s="11">
        <f>VLOOKUP(G9,'Global Dividends'!$A$2:$H$96,4)</f>
        <v>1.1292021666046956E-2</v>
      </c>
      <c r="I9" s="11">
        <f>VLOOKUP(G9,'Global Dividends'!$A$2:$H$96,3)</f>
        <v>0.25939201720610322</v>
      </c>
    </row>
    <row r="10" spans="1:9">
      <c r="A10" s="4" t="str">
        <f>'Debt Ratios'!A10</f>
        <v>Indosat</v>
      </c>
      <c r="B10" s="63">
        <v>0</v>
      </c>
      <c r="C10" s="63">
        <v>-3243</v>
      </c>
      <c r="D10" s="63">
        <f>Beta!E11</f>
        <v>20323</v>
      </c>
      <c r="E10" s="11">
        <f t="shared" si="0"/>
        <v>0</v>
      </c>
      <c r="F10" s="11" t="str">
        <f t="shared" si="1"/>
        <v>NA</v>
      </c>
      <c r="G10" s="14" t="str">
        <f>Beta!B11</f>
        <v>Telecom. Services</v>
      </c>
      <c r="H10" s="11">
        <f>VLOOKUP(G10,'Global Dividends'!$A$2:$H$96,4)</f>
        <v>4.0547375698314674E-2</v>
      </c>
      <c r="I10" s="11">
        <f>VLOOKUP(G10,'Global Dividends'!$A$2:$H$96,3)</f>
        <v>0.61306955317245937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7"/>
  <sheetViews>
    <sheetView topLeftCell="A65" workbookViewId="0">
      <selection sqref="A1:J97"/>
    </sheetView>
  </sheetViews>
  <sheetFormatPr baseColWidth="10" defaultRowHeight="15" x14ac:dyDescent="0"/>
  <cols>
    <col min="1" max="1" width="29.5" customWidth="1"/>
  </cols>
  <sheetData>
    <row r="1" spans="1:10" ht="53">
      <c r="A1" s="19" t="s">
        <v>24</v>
      </c>
      <c r="B1" s="20" t="s">
        <v>25</v>
      </c>
      <c r="C1" s="21" t="s">
        <v>26</v>
      </c>
      <c r="D1" s="20" t="s">
        <v>22</v>
      </c>
      <c r="E1" s="20" t="s">
        <v>27</v>
      </c>
      <c r="F1" s="20" t="s">
        <v>28</v>
      </c>
      <c r="G1" s="20" t="s">
        <v>29</v>
      </c>
      <c r="H1" s="20" t="s">
        <v>30</v>
      </c>
      <c r="I1" s="20" t="s">
        <v>31</v>
      </c>
      <c r="J1" s="20" t="s">
        <v>32</v>
      </c>
    </row>
    <row r="2" spans="1:10">
      <c r="A2" s="4" t="s">
        <v>33</v>
      </c>
      <c r="B2" s="14">
        <v>253</v>
      </c>
      <c r="C2" s="22">
        <v>1.27241252</v>
      </c>
      <c r="D2" s="13">
        <v>0.30387356625178147</v>
      </c>
      <c r="E2" s="13">
        <v>0.15741384899999999</v>
      </c>
      <c r="F2" s="22">
        <v>1.0130353060983717</v>
      </c>
      <c r="G2" s="13">
        <v>7.6134537214654296E-2</v>
      </c>
      <c r="H2" s="22">
        <v>1.096518212775472</v>
      </c>
      <c r="I2" s="23">
        <v>0.42539876399999998</v>
      </c>
      <c r="J2" s="13">
        <v>0.56718184800000004</v>
      </c>
    </row>
    <row r="3" spans="1:10">
      <c r="A3" s="4" t="s">
        <v>34</v>
      </c>
      <c r="B3" s="14">
        <v>208</v>
      </c>
      <c r="C3" s="22">
        <v>1.078538972</v>
      </c>
      <c r="D3" s="13">
        <v>0.22093307953484212</v>
      </c>
      <c r="E3" s="13">
        <v>0.13172945599999999</v>
      </c>
      <c r="F3" s="22">
        <v>0.90494387363698758</v>
      </c>
      <c r="G3" s="13">
        <v>7.0391124287479373E-2</v>
      </c>
      <c r="H3" s="22">
        <v>0.97346733371426997</v>
      </c>
      <c r="I3" s="23">
        <v>0.35693005</v>
      </c>
      <c r="J3" s="13">
        <v>0.478987675</v>
      </c>
    </row>
    <row r="4" spans="1:10">
      <c r="A4" s="4" t="s">
        <v>35</v>
      </c>
      <c r="B4" s="14">
        <v>158</v>
      </c>
      <c r="C4" s="22">
        <v>1.08836267</v>
      </c>
      <c r="D4" s="13">
        <v>0.96305840762854655</v>
      </c>
      <c r="E4" s="13">
        <v>0.14728954599999999</v>
      </c>
      <c r="F4" s="22">
        <v>0.59760416796219962</v>
      </c>
      <c r="G4" s="13">
        <v>7.0150435979787928E-2</v>
      </c>
      <c r="H4" s="22">
        <v>0.64268908766107635</v>
      </c>
      <c r="I4" s="23">
        <v>0.30468417599999997</v>
      </c>
      <c r="J4" s="13">
        <v>0.43551762599999999</v>
      </c>
    </row>
    <row r="5" spans="1:10">
      <c r="A5" s="4" t="s">
        <v>36</v>
      </c>
      <c r="B5" s="14">
        <v>1174</v>
      </c>
      <c r="C5" s="22">
        <v>0.82083074899999997</v>
      </c>
      <c r="D5" s="13">
        <v>0.24835423316226737</v>
      </c>
      <c r="E5" s="13">
        <v>0.16128672999999999</v>
      </c>
      <c r="F5" s="22">
        <v>0.67932807561092701</v>
      </c>
      <c r="G5" s="13">
        <v>6.3703842612614817E-2</v>
      </c>
      <c r="H5" s="22">
        <v>0.72554828966350271</v>
      </c>
      <c r="I5" s="23">
        <v>0.31185100199999999</v>
      </c>
      <c r="J5" s="13">
        <v>0.51791685300000001</v>
      </c>
    </row>
    <row r="6" spans="1:10">
      <c r="A6" s="4" t="s">
        <v>37</v>
      </c>
      <c r="B6" s="14">
        <v>125</v>
      </c>
      <c r="C6" s="22">
        <v>1.280923203</v>
      </c>
      <c r="D6" s="13">
        <v>0.82727124988572009</v>
      </c>
      <c r="E6" s="13">
        <v>0.129804683</v>
      </c>
      <c r="F6" s="22">
        <v>0.74477147644753683</v>
      </c>
      <c r="G6" s="13">
        <v>0.11205690254736149</v>
      </c>
      <c r="H6" s="22">
        <v>0.83876036491996242</v>
      </c>
      <c r="I6" s="23">
        <v>0.33168747900000001</v>
      </c>
      <c r="J6" s="13">
        <v>0.45054223399999999</v>
      </c>
    </row>
    <row r="7" spans="1:10">
      <c r="A7" s="4" t="s">
        <v>38</v>
      </c>
      <c r="B7" s="14">
        <v>632</v>
      </c>
      <c r="C7" s="22">
        <v>1.249427904</v>
      </c>
      <c r="D7" s="13">
        <v>0.25380345515322478</v>
      </c>
      <c r="E7" s="13">
        <v>0.19280313900000001</v>
      </c>
      <c r="F7" s="22">
        <v>1.0369820608383062</v>
      </c>
      <c r="G7" s="13">
        <v>9.5331190187585624E-2</v>
      </c>
      <c r="H7" s="22">
        <v>1.1462560105872639</v>
      </c>
      <c r="I7" s="23">
        <v>0.31167142199999998</v>
      </c>
      <c r="J7" s="13">
        <v>0.47793559099999999</v>
      </c>
    </row>
    <row r="8" spans="1:10">
      <c r="A8" s="4" t="s">
        <v>39</v>
      </c>
      <c r="B8" s="14">
        <v>604</v>
      </c>
      <c r="C8" s="22">
        <v>1.0238758100000001</v>
      </c>
      <c r="D8" s="13">
        <v>2.7573220304123036</v>
      </c>
      <c r="E8" s="13">
        <v>0.19578926999999999</v>
      </c>
      <c r="F8" s="22">
        <v>0.31822408856865303</v>
      </c>
      <c r="G8" s="13">
        <v>0.1743104018951025</v>
      </c>
      <c r="H8" s="22">
        <v>0.38540401780406724</v>
      </c>
      <c r="I8" s="23">
        <v>0.19329763599999999</v>
      </c>
      <c r="J8" s="13">
        <v>0.35237760099999998</v>
      </c>
    </row>
    <row r="9" spans="1:10">
      <c r="A9" s="4" t="s">
        <v>40</v>
      </c>
      <c r="B9" s="14">
        <v>911</v>
      </c>
      <c r="C9" s="22">
        <v>0.65587536300000004</v>
      </c>
      <c r="D9" s="13">
        <v>1.1369953674075712</v>
      </c>
      <c r="E9" s="13">
        <v>0.21746828400000001</v>
      </c>
      <c r="F9" s="22">
        <v>0.34707267698008243</v>
      </c>
      <c r="G9" s="13">
        <v>0.29739359697683104</v>
      </c>
      <c r="H9" s="22">
        <v>0.49397881301209473</v>
      </c>
      <c r="I9" s="23">
        <v>0.18995018899999999</v>
      </c>
      <c r="J9" s="13">
        <v>0.36794504900000002</v>
      </c>
    </row>
    <row r="10" spans="1:10">
      <c r="A10" s="4" t="s">
        <v>41</v>
      </c>
      <c r="B10" s="14">
        <v>216</v>
      </c>
      <c r="C10" s="22">
        <v>0.79061912400000001</v>
      </c>
      <c r="D10" s="13">
        <v>0.23176889087935382</v>
      </c>
      <c r="E10" s="13">
        <v>0.16659390299999999</v>
      </c>
      <c r="F10" s="22">
        <v>0.66262756866717221</v>
      </c>
      <c r="G10" s="13">
        <v>3.5694035441587432E-2</v>
      </c>
      <c r="H10" s="22">
        <v>0.6871549000224334</v>
      </c>
      <c r="I10" s="23">
        <v>0.27771300900000001</v>
      </c>
      <c r="J10" s="13">
        <v>0.43051751100000002</v>
      </c>
    </row>
    <row r="11" spans="1:10">
      <c r="A11" s="4" t="s">
        <v>42</v>
      </c>
      <c r="B11" s="14">
        <v>108</v>
      </c>
      <c r="C11" s="22">
        <v>0.93126579700000001</v>
      </c>
      <c r="D11" s="13">
        <v>0.2376607290526897</v>
      </c>
      <c r="E11" s="13">
        <v>0.12515954900000001</v>
      </c>
      <c r="F11" s="22">
        <v>0.77096950353081917</v>
      </c>
      <c r="G11" s="13">
        <v>4.7492198604138072E-2</v>
      </c>
      <c r="H11" s="22">
        <v>0.80941017218021138</v>
      </c>
      <c r="I11" s="23">
        <v>0.43136274099999999</v>
      </c>
      <c r="J11" s="13">
        <v>0.42962568800000001</v>
      </c>
    </row>
    <row r="12" spans="1:10">
      <c r="A12" s="4" t="s">
        <v>43</v>
      </c>
      <c r="B12" s="14">
        <v>138</v>
      </c>
      <c r="C12" s="22">
        <v>1.348108179</v>
      </c>
      <c r="D12" s="13">
        <v>0.4157895286143542</v>
      </c>
      <c r="E12" s="13">
        <v>0.195393698</v>
      </c>
      <c r="F12" s="22">
        <v>1.0101617292168845</v>
      </c>
      <c r="G12" s="13">
        <v>4.0477750335241994E-2</v>
      </c>
      <c r="H12" s="22">
        <v>1.0527757220531564</v>
      </c>
      <c r="I12" s="23">
        <v>0.29548087299999998</v>
      </c>
      <c r="J12" s="13">
        <v>0.50584644700000003</v>
      </c>
    </row>
    <row r="13" spans="1:10">
      <c r="A13" s="4" t="s">
        <v>44</v>
      </c>
      <c r="B13" s="14">
        <v>551</v>
      </c>
      <c r="C13" s="22">
        <v>1.048081611</v>
      </c>
      <c r="D13" s="13">
        <v>2.0434081350384217</v>
      </c>
      <c r="E13" s="13">
        <v>0.133873042</v>
      </c>
      <c r="F13" s="22">
        <v>0.37838918391332005</v>
      </c>
      <c r="G13" s="13">
        <v>0.16425363493658449</v>
      </c>
      <c r="H13" s="22">
        <v>0.45275600317401116</v>
      </c>
      <c r="I13" s="23">
        <v>0.33449588800000002</v>
      </c>
      <c r="J13" s="13">
        <v>0.56726726199999999</v>
      </c>
    </row>
    <row r="14" spans="1:10">
      <c r="A14" s="4" t="s">
        <v>45</v>
      </c>
      <c r="B14" s="14">
        <v>432</v>
      </c>
      <c r="C14" s="22">
        <v>0.96002236399999996</v>
      </c>
      <c r="D14" s="13">
        <v>0.37225532545547235</v>
      </c>
      <c r="E14" s="13">
        <v>0.18195593800000001</v>
      </c>
      <c r="F14" s="22">
        <v>0.73591929431403147</v>
      </c>
      <c r="G14" s="13">
        <v>7.9829758921398292E-2</v>
      </c>
      <c r="H14" s="22">
        <v>0.79976428432569646</v>
      </c>
      <c r="I14" s="23">
        <v>0.28280008400000001</v>
      </c>
      <c r="J14" s="13">
        <v>0.47419001100000002</v>
      </c>
    </row>
    <row r="15" spans="1:10">
      <c r="A15" s="4" t="s">
        <v>46</v>
      </c>
      <c r="B15" s="14">
        <v>759</v>
      </c>
      <c r="C15" s="22">
        <v>1.0469551539999999</v>
      </c>
      <c r="D15" s="13">
        <v>0.27992574713648166</v>
      </c>
      <c r="E15" s="13">
        <v>0.182915879</v>
      </c>
      <c r="F15" s="22">
        <v>0.85206775949843683</v>
      </c>
      <c r="G15" s="13">
        <v>6.0984567207409975E-2</v>
      </c>
      <c r="H15" s="22">
        <v>0.90740549062588383</v>
      </c>
      <c r="I15" s="23">
        <v>0.34858912399999997</v>
      </c>
      <c r="J15" s="13">
        <v>0.50701121199999999</v>
      </c>
    </row>
    <row r="16" spans="1:10">
      <c r="A16" s="4" t="s">
        <v>47</v>
      </c>
      <c r="B16" s="14">
        <v>64</v>
      </c>
      <c r="C16" s="22">
        <v>0.96468207900000003</v>
      </c>
      <c r="D16" s="13">
        <v>0.49030061453847157</v>
      </c>
      <c r="E16" s="13">
        <v>0.17678153199999999</v>
      </c>
      <c r="F16" s="22">
        <v>0.6872793006478628</v>
      </c>
      <c r="G16" s="13">
        <v>2.545361657522164E-2</v>
      </c>
      <c r="H16" s="22">
        <v>0.70522995348113293</v>
      </c>
      <c r="I16" s="23">
        <v>0.25025591699999999</v>
      </c>
      <c r="J16" s="13">
        <v>0.43875270199999999</v>
      </c>
    </row>
    <row r="17" spans="1:10">
      <c r="A17" s="4" t="s">
        <v>48</v>
      </c>
      <c r="B17" s="14">
        <v>731</v>
      </c>
      <c r="C17" s="22">
        <v>0.94957912499999997</v>
      </c>
      <c r="D17" s="13">
        <v>0.43373793437054131</v>
      </c>
      <c r="E17" s="13">
        <v>0.16222903499999999</v>
      </c>
      <c r="F17" s="22">
        <v>0.69649251648923582</v>
      </c>
      <c r="G17" s="13">
        <v>7.4543621380403977E-2</v>
      </c>
      <c r="H17" s="22">
        <v>0.7525935663527642</v>
      </c>
      <c r="I17" s="23">
        <v>0.29110260199999999</v>
      </c>
      <c r="J17" s="13">
        <v>0.46400396599999999</v>
      </c>
    </row>
    <row r="18" spans="1:10">
      <c r="A18" s="4" t="s">
        <v>49</v>
      </c>
      <c r="B18" s="14">
        <v>85</v>
      </c>
      <c r="C18" s="22">
        <v>1.422339765</v>
      </c>
      <c r="D18" s="13">
        <v>0.40725606190225305</v>
      </c>
      <c r="E18" s="13">
        <v>0.2084801</v>
      </c>
      <c r="F18" s="22">
        <v>1.0756141649486604</v>
      </c>
      <c r="G18" s="13">
        <v>5.4212605081270737E-2</v>
      </c>
      <c r="H18" s="22">
        <v>1.1372684503170896</v>
      </c>
      <c r="I18" s="23">
        <v>0.27600954300000002</v>
      </c>
      <c r="J18" s="13">
        <v>0.43729520300000002</v>
      </c>
    </row>
    <row r="19" spans="1:10">
      <c r="A19" s="4" t="s">
        <v>50</v>
      </c>
      <c r="B19" s="14">
        <v>700</v>
      </c>
      <c r="C19" s="22">
        <v>1.0283699079999999</v>
      </c>
      <c r="D19" s="13">
        <v>0.2360008016033763</v>
      </c>
      <c r="E19" s="13">
        <v>0.17139729300000001</v>
      </c>
      <c r="F19" s="22">
        <v>0.86016405103751903</v>
      </c>
      <c r="G19" s="13">
        <v>6.1348600254837987E-2</v>
      </c>
      <c r="H19" s="22">
        <v>0.91638285658663932</v>
      </c>
      <c r="I19" s="23">
        <v>0.322082963</v>
      </c>
      <c r="J19" s="13">
        <v>0.49351133800000002</v>
      </c>
    </row>
    <row r="20" spans="1:10">
      <c r="A20" s="4" t="s">
        <v>51</v>
      </c>
      <c r="B20" s="14">
        <v>321</v>
      </c>
      <c r="C20" s="22">
        <v>1.3805004249999999</v>
      </c>
      <c r="D20" s="13">
        <v>0.53984356005817669</v>
      </c>
      <c r="E20" s="13">
        <v>5.6564559E-2</v>
      </c>
      <c r="F20" s="22">
        <v>0.914658134190519</v>
      </c>
      <c r="G20" s="13">
        <v>0.1297424881912726</v>
      </c>
      <c r="H20" s="22">
        <v>1.0510200966717427</v>
      </c>
      <c r="I20" s="23">
        <v>0.47002013199999998</v>
      </c>
      <c r="J20" s="13">
        <v>0.72213994400000003</v>
      </c>
    </row>
    <row r="21" spans="1:10">
      <c r="A21" s="4" t="s">
        <v>52</v>
      </c>
      <c r="B21" s="14">
        <v>934</v>
      </c>
      <c r="C21" s="22">
        <v>0.98691767799999996</v>
      </c>
      <c r="D21" s="13">
        <v>0.19150298966693302</v>
      </c>
      <c r="E21" s="13">
        <v>0.183377764</v>
      </c>
      <c r="F21" s="22">
        <v>0.85345033553010452</v>
      </c>
      <c r="G21" s="13">
        <v>7.4631945982618089E-2</v>
      </c>
      <c r="H21" s="22">
        <v>0.92228203883303017</v>
      </c>
      <c r="I21" s="23">
        <v>0.33867904900000001</v>
      </c>
      <c r="J21" s="13">
        <v>0.52965471600000003</v>
      </c>
    </row>
    <row r="22" spans="1:10">
      <c r="A22" s="4" t="s">
        <v>53</v>
      </c>
      <c r="B22" s="14">
        <v>329</v>
      </c>
      <c r="C22" s="22">
        <v>1.131324864</v>
      </c>
      <c r="D22" s="13">
        <v>0.12553695777056573</v>
      </c>
      <c r="E22" s="13">
        <v>0.143589368</v>
      </c>
      <c r="F22" s="22">
        <v>1.0215019757556341</v>
      </c>
      <c r="G22" s="13">
        <v>9.2305669212851951E-2</v>
      </c>
      <c r="H22" s="22">
        <v>1.1253810243254385</v>
      </c>
      <c r="I22" s="23">
        <v>0.32383313800000002</v>
      </c>
      <c r="J22" s="13">
        <v>0.55296869299999996</v>
      </c>
    </row>
    <row r="23" spans="1:10">
      <c r="A23" s="4" t="s">
        <v>54</v>
      </c>
      <c r="B23" s="14">
        <v>751</v>
      </c>
      <c r="C23" s="22">
        <v>1.1545118000000001</v>
      </c>
      <c r="D23" s="13">
        <v>0.47789706909224444</v>
      </c>
      <c r="E23" s="13">
        <v>0.15335057399999999</v>
      </c>
      <c r="F23" s="22">
        <v>0.82194399053208778</v>
      </c>
      <c r="G23" s="13">
        <v>7.9983787875709034E-2</v>
      </c>
      <c r="H23" s="22">
        <v>0.89340163760184477</v>
      </c>
      <c r="I23" s="23">
        <v>0.291972601</v>
      </c>
      <c r="J23" s="13">
        <v>0.48139978300000003</v>
      </c>
    </row>
    <row r="24" spans="1:10">
      <c r="A24" s="4" t="s">
        <v>55</v>
      </c>
      <c r="B24" s="14">
        <v>378</v>
      </c>
      <c r="C24" s="22">
        <v>1.080512744</v>
      </c>
      <c r="D24" s="13">
        <v>0.65887567978628447</v>
      </c>
      <c r="E24" s="13">
        <v>0.14586544300000001</v>
      </c>
      <c r="F24" s="22">
        <v>0.69140935018628313</v>
      </c>
      <c r="G24" s="13">
        <v>9.2209466298691423E-2</v>
      </c>
      <c r="H24" s="22">
        <v>0.76163974454241046</v>
      </c>
      <c r="I24" s="23">
        <v>0.25756108599999999</v>
      </c>
      <c r="J24" s="13">
        <v>0.38883570699999997</v>
      </c>
    </row>
    <row r="25" spans="1:10">
      <c r="A25" s="4" t="s">
        <v>56</v>
      </c>
      <c r="B25" s="14">
        <v>782</v>
      </c>
      <c r="C25" s="22">
        <v>1.157796211</v>
      </c>
      <c r="D25" s="13">
        <v>8.2766793871810532E-2</v>
      </c>
      <c r="E25" s="13">
        <v>2.4952255999999999E-2</v>
      </c>
      <c r="F25" s="22">
        <v>1.0713375802300655</v>
      </c>
      <c r="G25" s="13">
        <v>4.3785754420560111E-2</v>
      </c>
      <c r="H25" s="22">
        <v>1.1203949169162022</v>
      </c>
      <c r="I25" s="23">
        <v>0.48992443499999999</v>
      </c>
      <c r="J25" s="13">
        <v>0.85377932999999995</v>
      </c>
    </row>
    <row r="26" spans="1:10">
      <c r="A26" s="4" t="s">
        <v>57</v>
      </c>
      <c r="B26" s="14">
        <v>877</v>
      </c>
      <c r="C26" s="22">
        <v>0.90719067600000003</v>
      </c>
      <c r="D26" s="13">
        <v>0.12905786751406215</v>
      </c>
      <c r="E26" s="13">
        <v>0.13510615500000001</v>
      </c>
      <c r="F26" s="22">
        <v>0.81609684062465371</v>
      </c>
      <c r="G26" s="13">
        <v>4.2884237715403659E-2</v>
      </c>
      <c r="H26" s="22">
        <v>0.85266262743042054</v>
      </c>
      <c r="I26" s="23">
        <v>0.348455666</v>
      </c>
      <c r="J26" s="13">
        <v>0.55385611300000004</v>
      </c>
    </row>
    <row r="27" spans="1:10">
      <c r="A27" s="4" t="s">
        <v>58</v>
      </c>
      <c r="B27" s="14">
        <v>170</v>
      </c>
      <c r="C27" s="22">
        <v>1.13595628</v>
      </c>
      <c r="D27" s="13">
        <v>0.27788669874046179</v>
      </c>
      <c r="E27" s="13">
        <v>0.154441259</v>
      </c>
      <c r="F27" s="22">
        <v>0.91982535200044802</v>
      </c>
      <c r="G27" s="13">
        <v>9.999635439607929E-2</v>
      </c>
      <c r="H27" s="22">
        <v>1.0220240290062677</v>
      </c>
      <c r="I27" s="23">
        <v>0.34805810300000001</v>
      </c>
      <c r="J27" s="13">
        <v>0.56662948800000001</v>
      </c>
    </row>
    <row r="28" spans="1:10">
      <c r="A28" s="4" t="s">
        <v>59</v>
      </c>
      <c r="B28" s="14">
        <v>838</v>
      </c>
      <c r="C28" s="22">
        <v>1.0988086020000001</v>
      </c>
      <c r="D28" s="13">
        <v>0.26633386959227651</v>
      </c>
      <c r="E28" s="13">
        <v>0.13210902099999999</v>
      </c>
      <c r="F28" s="22">
        <v>0.89250676699862941</v>
      </c>
      <c r="G28" s="13">
        <v>9.711915640403132E-2</v>
      </c>
      <c r="H28" s="22">
        <v>0.98851002690895329</v>
      </c>
      <c r="I28" s="23">
        <v>0.347372499</v>
      </c>
      <c r="J28" s="13">
        <v>0.49993056600000002</v>
      </c>
    </row>
    <row r="29" spans="1:10">
      <c r="A29" s="4" t="s">
        <v>60</v>
      </c>
      <c r="B29" s="14">
        <v>151</v>
      </c>
      <c r="C29" s="22">
        <v>1.2166507049999999</v>
      </c>
      <c r="D29" s="13">
        <v>0.40463567338568263</v>
      </c>
      <c r="E29" s="13">
        <v>0.113285514</v>
      </c>
      <c r="F29" s="22">
        <v>0.89538858269742516</v>
      </c>
      <c r="G29" s="13">
        <v>0.16104896501836752</v>
      </c>
      <c r="H29" s="22">
        <v>1.0672715633720249</v>
      </c>
      <c r="I29" s="23">
        <v>0.35717899199999997</v>
      </c>
      <c r="J29" s="13">
        <v>0.52359080099999999</v>
      </c>
    </row>
    <row r="30" spans="1:10">
      <c r="A30" s="4" t="s">
        <v>61</v>
      </c>
      <c r="B30" s="14">
        <v>1227</v>
      </c>
      <c r="C30" s="22">
        <v>1.077186408</v>
      </c>
      <c r="D30" s="13">
        <v>0.21714516495951672</v>
      </c>
      <c r="E30" s="13">
        <v>0.142702104</v>
      </c>
      <c r="F30" s="22">
        <v>0.90813055554298105</v>
      </c>
      <c r="G30" s="13">
        <v>0.12897494590660094</v>
      </c>
      <c r="H30" s="22">
        <v>1.042599809586652</v>
      </c>
      <c r="I30" s="23">
        <v>0.32527351300000001</v>
      </c>
      <c r="J30" s="13">
        <v>0.52453519800000004</v>
      </c>
    </row>
    <row r="31" spans="1:10">
      <c r="A31" s="4" t="s">
        <v>62</v>
      </c>
      <c r="B31" s="14">
        <v>1148</v>
      </c>
      <c r="C31" s="22">
        <v>1.2521666520000001</v>
      </c>
      <c r="D31" s="13">
        <v>0.80556516574799064</v>
      </c>
      <c r="E31" s="13">
        <v>0.16430341600000001</v>
      </c>
      <c r="F31" s="22">
        <v>0.74836279123092553</v>
      </c>
      <c r="G31" s="13">
        <v>0.15509527100665371</v>
      </c>
      <c r="H31" s="22">
        <v>0.88573630321912777</v>
      </c>
      <c r="I31" s="23">
        <v>0.31279708299999998</v>
      </c>
      <c r="J31" s="13">
        <v>0.52450774099999997</v>
      </c>
    </row>
    <row r="32" spans="1:10">
      <c r="A32" s="4" t="s">
        <v>63</v>
      </c>
      <c r="B32" s="14">
        <v>350</v>
      </c>
      <c r="C32" s="22">
        <v>1.121171758</v>
      </c>
      <c r="D32" s="13">
        <v>0.27666174996103893</v>
      </c>
      <c r="E32" s="13">
        <v>9.5339498999999994E-2</v>
      </c>
      <c r="F32" s="22">
        <v>0.89673298189294959</v>
      </c>
      <c r="G32" s="13">
        <v>4.1198542924165991E-2</v>
      </c>
      <c r="H32" s="22">
        <v>0.93526451725242299</v>
      </c>
      <c r="I32" s="23">
        <v>0.43918046900000002</v>
      </c>
      <c r="J32" s="13">
        <v>0.59724595199999997</v>
      </c>
    </row>
    <row r="33" spans="1:10">
      <c r="A33" s="4" t="s">
        <v>64</v>
      </c>
      <c r="B33" s="14">
        <v>307</v>
      </c>
      <c r="C33" s="22">
        <v>1.2667146890000001</v>
      </c>
      <c r="D33" s="13">
        <v>0.36380876502894499</v>
      </c>
      <c r="E33" s="13">
        <v>0.11996227399999999</v>
      </c>
      <c r="F33" s="22">
        <v>0.95951208255778531</v>
      </c>
      <c r="G33" s="13">
        <v>4.1199794666655389E-2</v>
      </c>
      <c r="H33" s="22">
        <v>1.0007424667000286</v>
      </c>
      <c r="I33" s="23">
        <v>0.454663439</v>
      </c>
      <c r="J33" s="13">
        <v>0.62878748200000001</v>
      </c>
    </row>
    <row r="34" spans="1:10">
      <c r="A34" s="4" t="s">
        <v>65</v>
      </c>
      <c r="B34" s="14">
        <v>408</v>
      </c>
      <c r="C34" s="22">
        <v>0.901657504</v>
      </c>
      <c r="D34" s="13">
        <v>0.60306445795313779</v>
      </c>
      <c r="E34" s="13">
        <v>0.123101348</v>
      </c>
      <c r="F34" s="22">
        <v>0.58977101517601904</v>
      </c>
      <c r="G34" s="13">
        <v>8.5339087187369322E-2</v>
      </c>
      <c r="H34" s="22">
        <v>0.6447974401381622</v>
      </c>
      <c r="I34" s="23">
        <v>0.30518641600000002</v>
      </c>
      <c r="J34" s="13">
        <v>0.46177698499999997</v>
      </c>
    </row>
    <row r="35" spans="1:10">
      <c r="A35" s="4" t="s">
        <v>66</v>
      </c>
      <c r="B35" s="14">
        <v>966</v>
      </c>
      <c r="C35" s="22">
        <v>0.78658388099999998</v>
      </c>
      <c r="D35" s="13">
        <v>8.543770217976542</v>
      </c>
      <c r="E35" s="13">
        <v>0.17625005099999999</v>
      </c>
      <c r="F35" s="22">
        <v>9.785900766363069E-2</v>
      </c>
      <c r="G35" s="13">
        <v>5.9195186937476524E-2</v>
      </c>
      <c r="H35" s="22">
        <v>0.10401627022408444</v>
      </c>
      <c r="I35" s="23">
        <v>0.28861894500000002</v>
      </c>
      <c r="J35" s="13">
        <v>0.45269601999999998</v>
      </c>
    </row>
    <row r="36" spans="1:10">
      <c r="A36" s="4" t="s">
        <v>67</v>
      </c>
      <c r="B36" s="14">
        <v>1247</v>
      </c>
      <c r="C36" s="22">
        <v>0.77201440200000004</v>
      </c>
      <c r="D36" s="13">
        <v>0.26273695183390522</v>
      </c>
      <c r="E36" s="13">
        <v>0.17041709099999999</v>
      </c>
      <c r="F36" s="22">
        <v>0.63385749986144457</v>
      </c>
      <c r="G36" s="13">
        <v>4.6683682310949048E-2</v>
      </c>
      <c r="H36" s="22">
        <v>0.66489735683743301</v>
      </c>
      <c r="I36" s="23">
        <v>0.274488279</v>
      </c>
      <c r="J36" s="13">
        <v>0.42504857899999998</v>
      </c>
    </row>
    <row r="37" spans="1:10">
      <c r="A37" s="4" t="s">
        <v>68</v>
      </c>
      <c r="B37" s="14">
        <v>125</v>
      </c>
      <c r="C37" s="22">
        <v>0.80736558800000002</v>
      </c>
      <c r="D37" s="13">
        <v>0.8021442839603341</v>
      </c>
      <c r="E37" s="13">
        <v>0.1728344</v>
      </c>
      <c r="F37" s="22">
        <v>0.48533970502719559</v>
      </c>
      <c r="G37" s="13">
        <v>9.4843555579149003E-2</v>
      </c>
      <c r="H37" s="22">
        <v>0.53619427671172581</v>
      </c>
      <c r="I37" s="23">
        <v>0.301430274</v>
      </c>
      <c r="J37" s="13">
        <v>0.455433739</v>
      </c>
    </row>
    <row r="38" spans="1:10">
      <c r="A38" s="4" t="s">
        <v>69</v>
      </c>
      <c r="B38" s="14">
        <v>303</v>
      </c>
      <c r="C38" s="22">
        <v>1.009627372</v>
      </c>
      <c r="D38" s="13">
        <v>0.20062305834794242</v>
      </c>
      <c r="E38" s="13">
        <v>0.17416626299999999</v>
      </c>
      <c r="F38" s="22">
        <v>0.86612642808795981</v>
      </c>
      <c r="G38" s="13">
        <v>0.12689506473301551</v>
      </c>
      <c r="H38" s="22">
        <v>0.9920072526254925</v>
      </c>
      <c r="I38" s="23">
        <v>0.30420882999999999</v>
      </c>
      <c r="J38" s="13">
        <v>0.49732748799999998</v>
      </c>
    </row>
    <row r="39" spans="1:10">
      <c r="A39" s="4" t="s">
        <v>70</v>
      </c>
      <c r="B39" s="14">
        <v>167</v>
      </c>
      <c r="C39" s="22">
        <v>1.2008965410000001</v>
      </c>
      <c r="D39" s="13">
        <v>0.72840228505589943</v>
      </c>
      <c r="E39" s="13">
        <v>7.3081042999999998E-2</v>
      </c>
      <c r="F39" s="22">
        <v>0.71688044943517548</v>
      </c>
      <c r="G39" s="13">
        <v>3.5256894653505046E-2</v>
      </c>
      <c r="H39" s="22">
        <v>0.74307911138447813</v>
      </c>
      <c r="I39" s="23">
        <v>0.40242494600000001</v>
      </c>
      <c r="J39" s="13">
        <v>0.53450055399999996</v>
      </c>
    </row>
    <row r="40" spans="1:10">
      <c r="A40" s="4" t="s">
        <v>71</v>
      </c>
      <c r="B40" s="14">
        <v>642</v>
      </c>
      <c r="C40" s="22">
        <v>0.97323732699999999</v>
      </c>
      <c r="D40" s="13">
        <v>0.14680823712712007</v>
      </c>
      <c r="E40" s="13">
        <v>9.0253760000000002E-2</v>
      </c>
      <c r="F40" s="22">
        <v>0.8585684362515742</v>
      </c>
      <c r="G40" s="13">
        <v>4.9099729045088296E-2</v>
      </c>
      <c r="H40" s="22">
        <v>0.90290061163762614</v>
      </c>
      <c r="I40" s="23">
        <v>0.41260105400000002</v>
      </c>
      <c r="J40" s="13">
        <v>0.58694812200000002</v>
      </c>
    </row>
    <row r="41" spans="1:10">
      <c r="A41" s="4" t="s">
        <v>72</v>
      </c>
      <c r="B41" s="14">
        <v>335</v>
      </c>
      <c r="C41" s="22">
        <v>1.111546326</v>
      </c>
      <c r="D41" s="13">
        <v>0.29751172544617455</v>
      </c>
      <c r="E41" s="13">
        <v>0.163429186</v>
      </c>
      <c r="F41" s="22">
        <v>0.89002767143279615</v>
      </c>
      <c r="G41" s="13">
        <v>6.2332325706022408E-2</v>
      </c>
      <c r="H41" s="22">
        <v>0.94919308389611246</v>
      </c>
      <c r="I41" s="23">
        <v>0.39152265800000002</v>
      </c>
      <c r="J41" s="13">
        <v>0.47697223900000002</v>
      </c>
    </row>
    <row r="42" spans="1:10">
      <c r="A42" s="4" t="s">
        <v>73</v>
      </c>
      <c r="B42" s="14">
        <v>285</v>
      </c>
      <c r="C42" s="22">
        <v>1.136725746</v>
      </c>
      <c r="D42" s="13">
        <v>0.19742853611951872</v>
      </c>
      <c r="E42" s="13">
        <v>7.4818687999999994E-2</v>
      </c>
      <c r="F42" s="22">
        <v>0.96116250221860644</v>
      </c>
      <c r="G42" s="13">
        <v>4.5632973492351216E-2</v>
      </c>
      <c r="H42" s="22">
        <v>1.0071204007705763</v>
      </c>
      <c r="I42" s="23">
        <v>0.45361881100000001</v>
      </c>
      <c r="J42" s="13">
        <v>0.68429079000000004</v>
      </c>
    </row>
    <row r="43" spans="1:10">
      <c r="A43" s="4" t="s">
        <v>74</v>
      </c>
      <c r="B43" s="14">
        <v>160</v>
      </c>
      <c r="C43" s="22">
        <v>1.336884784</v>
      </c>
      <c r="D43" s="13">
        <v>0.57543154707698285</v>
      </c>
      <c r="E43" s="13">
        <v>0.19658620500000001</v>
      </c>
      <c r="F43" s="22">
        <v>0.91422824871582031</v>
      </c>
      <c r="G43" s="13">
        <v>9.2776884611412452E-2</v>
      </c>
      <c r="H43" s="22">
        <v>1.0077215110686772</v>
      </c>
      <c r="I43" s="23">
        <v>0.28175507300000002</v>
      </c>
      <c r="J43" s="13">
        <v>0.51333685100000004</v>
      </c>
    </row>
    <row r="44" spans="1:10">
      <c r="A44" s="4" t="s">
        <v>75</v>
      </c>
      <c r="B44" s="14">
        <v>199</v>
      </c>
      <c r="C44" s="22">
        <v>0.83251009099999995</v>
      </c>
      <c r="D44" s="13">
        <v>0.62184562043033886</v>
      </c>
      <c r="E44" s="13">
        <v>0.14527442099999999</v>
      </c>
      <c r="F44" s="22">
        <v>0.54358869819794819</v>
      </c>
      <c r="G44" s="13">
        <v>2.5029223713042344E-2</v>
      </c>
      <c r="H44" s="22">
        <v>0.55754358122212766</v>
      </c>
      <c r="I44" s="23">
        <v>0.25632926900000003</v>
      </c>
      <c r="J44" s="13">
        <v>0.419237003</v>
      </c>
    </row>
    <row r="45" spans="1:10">
      <c r="A45" s="4" t="s">
        <v>76</v>
      </c>
      <c r="B45" s="14">
        <v>665</v>
      </c>
      <c r="C45" s="22">
        <v>0.937417575</v>
      </c>
      <c r="D45" s="13">
        <v>0.40047335117002231</v>
      </c>
      <c r="E45" s="13">
        <v>0.13444666499999999</v>
      </c>
      <c r="F45" s="22">
        <v>0.6961205734122119</v>
      </c>
      <c r="G45" s="13">
        <v>6.887473772177008E-2</v>
      </c>
      <c r="H45" s="22">
        <v>0.74761216520855589</v>
      </c>
      <c r="I45" s="23">
        <v>0.291488372</v>
      </c>
      <c r="J45" s="13">
        <v>0.46982714800000003</v>
      </c>
    </row>
    <row r="46" spans="1:10">
      <c r="A46" s="4" t="s">
        <v>77</v>
      </c>
      <c r="B46" s="14">
        <v>465</v>
      </c>
      <c r="C46" s="22">
        <v>0.97825959299999998</v>
      </c>
      <c r="D46" s="13">
        <v>0.14543003245288288</v>
      </c>
      <c r="E46" s="13">
        <v>0.144226253</v>
      </c>
      <c r="F46" s="22">
        <v>0.86998538465145603</v>
      </c>
      <c r="G46" s="13">
        <v>4.3443354174422015E-2</v>
      </c>
      <c r="H46" s="22">
        <v>0.90949698425919701</v>
      </c>
      <c r="I46" s="23">
        <v>0.370204584</v>
      </c>
      <c r="J46" s="13">
        <v>0.503858853</v>
      </c>
    </row>
    <row r="47" spans="1:10">
      <c r="A47" s="4" t="s">
        <v>78</v>
      </c>
      <c r="B47" s="14">
        <v>185</v>
      </c>
      <c r="C47" s="22">
        <v>1.0600567540000001</v>
      </c>
      <c r="D47" s="13">
        <v>0.13256973566018804</v>
      </c>
      <c r="E47" s="13">
        <v>0.16667062899999999</v>
      </c>
      <c r="F47" s="22">
        <v>0.95459822663141447</v>
      </c>
      <c r="G47" s="13">
        <v>4.1743666174722513E-2</v>
      </c>
      <c r="H47" s="22">
        <v>0.99618253794445566</v>
      </c>
      <c r="I47" s="23">
        <v>0.35330021700000003</v>
      </c>
      <c r="J47" s="13">
        <v>0.51446792699999999</v>
      </c>
    </row>
    <row r="48" spans="1:10">
      <c r="A48" s="4" t="s">
        <v>79</v>
      </c>
      <c r="B48" s="14">
        <v>233</v>
      </c>
      <c r="C48" s="22">
        <v>0.71519302100000004</v>
      </c>
      <c r="D48" s="13">
        <v>0.41451961376571983</v>
      </c>
      <c r="E48" s="13">
        <v>0.15321301100000001</v>
      </c>
      <c r="F48" s="22">
        <v>0.5293766283042628</v>
      </c>
      <c r="G48" s="13">
        <v>0.16179154301068552</v>
      </c>
      <c r="H48" s="22">
        <v>0.63155725033565402</v>
      </c>
      <c r="I48" s="23">
        <v>0.22304336399999999</v>
      </c>
      <c r="J48" s="13">
        <v>0.35049106600000002</v>
      </c>
    </row>
    <row r="49" spans="1:10">
      <c r="A49" s="4" t="s">
        <v>80</v>
      </c>
      <c r="B49" s="14">
        <v>124</v>
      </c>
      <c r="C49" s="22">
        <v>1.036321026</v>
      </c>
      <c r="D49" s="13">
        <v>0.48926106053632057</v>
      </c>
      <c r="E49" s="13">
        <v>0.196485507</v>
      </c>
      <c r="F49" s="22">
        <v>0.74388050732529742</v>
      </c>
      <c r="G49" s="13">
        <v>0.20713157385443423</v>
      </c>
      <c r="H49" s="22">
        <v>0.93821431500505426</v>
      </c>
      <c r="I49" s="23">
        <v>0.20763482999999999</v>
      </c>
      <c r="J49" s="13">
        <v>0.36752828999999998</v>
      </c>
    </row>
    <row r="50" spans="1:10">
      <c r="A50" s="4" t="s">
        <v>81</v>
      </c>
      <c r="B50" s="14">
        <v>220</v>
      </c>
      <c r="C50" s="22">
        <v>0.59642769399999995</v>
      </c>
      <c r="D50" s="13">
        <v>0.31522825018292439</v>
      </c>
      <c r="E50" s="13">
        <v>0.16946151500000001</v>
      </c>
      <c r="F50" s="22">
        <v>0.47267661160645907</v>
      </c>
      <c r="G50" s="13">
        <v>9.6269264946260702E-2</v>
      </c>
      <c r="H50" s="22">
        <v>0.52302814684990417</v>
      </c>
      <c r="I50" s="23">
        <v>0.21119516599999999</v>
      </c>
      <c r="J50" s="13">
        <v>0.37327311299999999</v>
      </c>
    </row>
    <row r="51" spans="1:10">
      <c r="A51" s="4" t="s">
        <v>82</v>
      </c>
      <c r="B51" s="14">
        <v>914</v>
      </c>
      <c r="C51" s="22">
        <v>0.89192417000000002</v>
      </c>
      <c r="D51" s="13">
        <v>0.62353928521412061</v>
      </c>
      <c r="E51" s="13">
        <v>7.3421526000000001E-2</v>
      </c>
      <c r="F51" s="22">
        <v>0.56531110926371608</v>
      </c>
      <c r="G51" s="13">
        <v>0.13166519847750499</v>
      </c>
      <c r="H51" s="22">
        <v>0.65102896748181438</v>
      </c>
      <c r="I51" s="23">
        <v>0.32726126500000002</v>
      </c>
      <c r="J51" s="13">
        <v>0.47247026399999997</v>
      </c>
    </row>
    <row r="52" spans="1:10">
      <c r="A52" s="4" t="s">
        <v>83</v>
      </c>
      <c r="B52" s="14">
        <v>1272</v>
      </c>
      <c r="C52" s="22">
        <v>1.1225914239999999</v>
      </c>
      <c r="D52" s="13">
        <v>0.2103801917953283</v>
      </c>
      <c r="E52" s="13">
        <v>0.183645962</v>
      </c>
      <c r="F52" s="22">
        <v>0.95805119128199168</v>
      </c>
      <c r="G52" s="13">
        <v>9.3167597698685045E-2</v>
      </c>
      <c r="H52" s="22">
        <v>1.0564809868402321</v>
      </c>
      <c r="I52" s="23">
        <v>0.30994991599999999</v>
      </c>
      <c r="J52" s="13">
        <v>0.48152978499999999</v>
      </c>
    </row>
    <row r="53" spans="1:10">
      <c r="A53" s="4" t="s">
        <v>84</v>
      </c>
      <c r="B53" s="14">
        <v>1589</v>
      </c>
      <c r="C53" s="22">
        <v>1.431421974</v>
      </c>
      <c r="D53" s="13">
        <v>0.46773003633087545</v>
      </c>
      <c r="E53" s="13">
        <v>3.8421458999999998E-2</v>
      </c>
      <c r="F53" s="22">
        <v>0.98735155993628598</v>
      </c>
      <c r="G53" s="13">
        <v>7.3290632129492106E-2</v>
      </c>
      <c r="H53" s="22">
        <v>1.0654381990387432</v>
      </c>
      <c r="I53" s="23">
        <v>0.53424580099999996</v>
      </c>
      <c r="J53" s="13">
        <v>0.79339688900000005</v>
      </c>
    </row>
    <row r="54" spans="1:10">
      <c r="A54" s="4" t="s">
        <v>85</v>
      </c>
      <c r="B54" s="14">
        <v>155</v>
      </c>
      <c r="C54" s="22">
        <v>0.91428909300000005</v>
      </c>
      <c r="D54" s="13">
        <v>0.43851980656743123</v>
      </c>
      <c r="E54" s="13">
        <v>0.186202127</v>
      </c>
      <c r="F54" s="22">
        <v>0.67382391895785088</v>
      </c>
      <c r="G54" s="13">
        <v>8.8037929777970425E-2</v>
      </c>
      <c r="H54" s="22">
        <v>0.73887274587395868</v>
      </c>
      <c r="I54" s="23">
        <v>0.295304022</v>
      </c>
      <c r="J54" s="13">
        <v>0.48072203099999999</v>
      </c>
    </row>
    <row r="55" spans="1:10">
      <c r="A55" s="4" t="s">
        <v>86</v>
      </c>
      <c r="B55" s="14">
        <v>55</v>
      </c>
      <c r="C55" s="22">
        <v>1.3957261030000001</v>
      </c>
      <c r="D55" s="13">
        <v>0.37650124833657611</v>
      </c>
      <c r="E55" s="13">
        <v>0.25443546900000003</v>
      </c>
      <c r="F55" s="22">
        <v>1.0898099395655663</v>
      </c>
      <c r="G55" s="13">
        <v>7.170007435035447E-2</v>
      </c>
      <c r="H55" s="22">
        <v>1.173984732146663</v>
      </c>
      <c r="I55" s="23">
        <v>0.28342007000000002</v>
      </c>
      <c r="J55" s="13">
        <v>0.40331166800000001</v>
      </c>
    </row>
    <row r="56" spans="1:10">
      <c r="A56" s="4" t="s">
        <v>87</v>
      </c>
      <c r="B56" s="14">
        <v>1140</v>
      </c>
      <c r="C56" s="22">
        <v>1.4835307659999999</v>
      </c>
      <c r="D56" s="13">
        <v>0.47018480611163671</v>
      </c>
      <c r="E56" s="13">
        <v>7.1881127000000003E-2</v>
      </c>
      <c r="F56" s="22">
        <v>1.03282079326303</v>
      </c>
      <c r="G56" s="13">
        <v>6.2367246647242511E-2</v>
      </c>
      <c r="H56" s="22">
        <v>1.101519533708589</v>
      </c>
      <c r="I56" s="23">
        <v>0.58099162800000004</v>
      </c>
      <c r="J56" s="13">
        <v>0.73944126300000002</v>
      </c>
    </row>
    <row r="57" spans="1:10">
      <c r="A57" s="4" t="s">
        <v>88</v>
      </c>
      <c r="B57" s="14">
        <v>215</v>
      </c>
      <c r="C57" s="22">
        <v>1.231905292</v>
      </c>
      <c r="D57" s="13">
        <v>0.52848285433867703</v>
      </c>
      <c r="E57" s="13">
        <v>9.4516672999999995E-2</v>
      </c>
      <c r="F57" s="22">
        <v>0.83319464693117118</v>
      </c>
      <c r="G57" s="13">
        <v>1.6645275394402147E-2</v>
      </c>
      <c r="H57" s="22">
        <v>0.84729815811415099</v>
      </c>
      <c r="I57" s="23">
        <v>0.28806230900000002</v>
      </c>
      <c r="J57" s="13">
        <v>0.45549506699999998</v>
      </c>
    </row>
    <row r="58" spans="1:10">
      <c r="A58" s="4" t="s">
        <v>89</v>
      </c>
      <c r="B58" s="14">
        <v>586</v>
      </c>
      <c r="C58" s="22">
        <v>1.3845748090000001</v>
      </c>
      <c r="D58" s="13">
        <v>0.5020294107304869</v>
      </c>
      <c r="E58" s="13">
        <v>0.144383702</v>
      </c>
      <c r="F58" s="22">
        <v>0.96854261238278228</v>
      </c>
      <c r="G58" s="13">
        <v>7.5681719569272374E-2</v>
      </c>
      <c r="H58" s="22">
        <v>1.047845350339113</v>
      </c>
      <c r="I58" s="23">
        <v>0.41673952800000003</v>
      </c>
      <c r="J58" s="13">
        <v>0.56139043399999999</v>
      </c>
    </row>
    <row r="59" spans="1:10">
      <c r="A59" s="4" t="s">
        <v>90</v>
      </c>
      <c r="B59" s="14">
        <v>398</v>
      </c>
      <c r="C59" s="22">
        <v>0.78963305399999995</v>
      </c>
      <c r="D59" s="13">
        <v>0.46139564421663093</v>
      </c>
      <c r="E59" s="13">
        <v>0.19099017400000001</v>
      </c>
      <c r="F59" s="22">
        <v>0.57500053036714849</v>
      </c>
      <c r="G59" s="13">
        <v>5.0672385992508152E-2</v>
      </c>
      <c r="H59" s="22">
        <v>0.60569240995723395</v>
      </c>
      <c r="I59" s="23">
        <v>0.28800441100000002</v>
      </c>
      <c r="J59" s="13">
        <v>0.447211056</v>
      </c>
    </row>
    <row r="60" spans="1:10">
      <c r="A60" s="4" t="s">
        <v>91</v>
      </c>
      <c r="B60" s="14">
        <v>303</v>
      </c>
      <c r="C60" s="22">
        <v>0.959462975</v>
      </c>
      <c r="D60" s="13">
        <v>0.75319606258388339</v>
      </c>
      <c r="E60" s="13">
        <v>0.114477816</v>
      </c>
      <c r="F60" s="22">
        <v>0.57557240149684752</v>
      </c>
      <c r="G60" s="13">
        <v>6.6571517644189532E-2</v>
      </c>
      <c r="H60" s="22">
        <v>0.61662185413948722</v>
      </c>
      <c r="I60" s="23">
        <v>0.30640784900000001</v>
      </c>
      <c r="J60" s="13">
        <v>0.470268994</v>
      </c>
    </row>
    <row r="61" spans="1:10">
      <c r="A61" s="4" t="s">
        <v>92</v>
      </c>
      <c r="B61" s="14">
        <v>574</v>
      </c>
      <c r="C61" s="22">
        <v>0.87017549999999999</v>
      </c>
      <c r="D61" s="13">
        <v>0.96821577258199876</v>
      </c>
      <c r="E61" s="13">
        <v>0.178229638</v>
      </c>
      <c r="F61" s="22">
        <v>0.48460167785101388</v>
      </c>
      <c r="G61" s="13">
        <v>5.0903031086097388E-2</v>
      </c>
      <c r="H61" s="22">
        <v>0.51059237751603714</v>
      </c>
      <c r="I61" s="23">
        <v>0.25593703899999998</v>
      </c>
      <c r="J61" s="13">
        <v>0.38212623099999998</v>
      </c>
    </row>
    <row r="62" spans="1:10">
      <c r="A62" s="4" t="s">
        <v>93</v>
      </c>
      <c r="B62" s="14">
        <v>1079</v>
      </c>
      <c r="C62" s="22">
        <v>1.480657227</v>
      </c>
      <c r="D62" s="13">
        <v>0.35535551440868435</v>
      </c>
      <c r="E62" s="13">
        <v>2.7638207000000001E-2</v>
      </c>
      <c r="F62" s="22">
        <v>1.1004233927123828</v>
      </c>
      <c r="G62" s="13">
        <v>8.7741680358429858E-2</v>
      </c>
      <c r="H62" s="22">
        <v>1.2062629290623992</v>
      </c>
      <c r="I62" s="23">
        <v>0.58808059700000004</v>
      </c>
      <c r="J62" s="13">
        <v>0.95828779200000003</v>
      </c>
    </row>
    <row r="63" spans="1:10">
      <c r="A63" s="4" t="s">
        <v>94</v>
      </c>
      <c r="B63" s="14">
        <v>373</v>
      </c>
      <c r="C63" s="22">
        <v>1.0209293349999999</v>
      </c>
      <c r="D63" s="13">
        <v>0.32836063155348566</v>
      </c>
      <c r="E63" s="13">
        <v>0.153601389</v>
      </c>
      <c r="F63" s="22">
        <v>0.79889676461000825</v>
      </c>
      <c r="G63" s="13">
        <v>7.621761393435357E-2</v>
      </c>
      <c r="H63" s="22">
        <v>0.86481056216332375</v>
      </c>
      <c r="I63" s="23">
        <v>0.30190613100000002</v>
      </c>
      <c r="J63" s="13">
        <v>0.52042169999999999</v>
      </c>
    </row>
    <row r="64" spans="1:10">
      <c r="A64" s="4" t="s">
        <v>95</v>
      </c>
      <c r="B64" s="14">
        <v>482</v>
      </c>
      <c r="C64" s="22">
        <v>0.78589694300000001</v>
      </c>
      <c r="D64" s="13">
        <v>0.80155106028803569</v>
      </c>
      <c r="E64" s="13">
        <v>2.2792705E-2</v>
      </c>
      <c r="F64" s="22">
        <v>0.44070267305580441</v>
      </c>
      <c r="G64" s="13">
        <v>2.0598655531760556E-2</v>
      </c>
      <c r="H64" s="22">
        <v>0.44997148058345937</v>
      </c>
      <c r="I64" s="23">
        <v>0.16696952100000001</v>
      </c>
      <c r="J64" s="13">
        <v>0.29849953699999998</v>
      </c>
    </row>
    <row r="65" spans="1:10">
      <c r="A65" s="4" t="s">
        <v>96</v>
      </c>
      <c r="B65" s="14">
        <v>703</v>
      </c>
      <c r="C65" s="22">
        <v>1.1624720630000001</v>
      </c>
      <c r="D65" s="13">
        <v>0.9020308483909848</v>
      </c>
      <c r="E65" s="13">
        <v>0.18311079599999999</v>
      </c>
      <c r="F65" s="22">
        <v>0.66929548560261187</v>
      </c>
      <c r="G65" s="13">
        <v>0.14736762741597315</v>
      </c>
      <c r="H65" s="22">
        <v>0.78497545615610897</v>
      </c>
      <c r="I65" s="23">
        <v>0.27799277300000003</v>
      </c>
      <c r="J65" s="13">
        <v>0.48529904200000001</v>
      </c>
    </row>
    <row r="66" spans="1:10">
      <c r="A66" s="4" t="s">
        <v>97</v>
      </c>
      <c r="B66" s="14">
        <v>449</v>
      </c>
      <c r="C66" s="22">
        <v>1.076642053</v>
      </c>
      <c r="D66" s="13">
        <v>0.78936176976053929</v>
      </c>
      <c r="E66" s="13">
        <v>0.156732442</v>
      </c>
      <c r="F66" s="22">
        <v>0.64638217303779655</v>
      </c>
      <c r="G66" s="13">
        <v>8.1128095796448529E-2</v>
      </c>
      <c r="H66" s="22">
        <v>0.70345188494805466</v>
      </c>
      <c r="I66" s="23">
        <v>0.283769404</v>
      </c>
      <c r="J66" s="13">
        <v>0.49499291499999998</v>
      </c>
    </row>
    <row r="67" spans="1:10">
      <c r="A67" s="4" t="s">
        <v>98</v>
      </c>
      <c r="B67" s="14">
        <v>577</v>
      </c>
      <c r="C67" s="22">
        <v>0.91908265600000005</v>
      </c>
      <c r="D67" s="13">
        <v>0.89560066290077289</v>
      </c>
      <c r="E67" s="13">
        <v>0.132483197</v>
      </c>
      <c r="F67" s="22">
        <v>0.51722522737410404</v>
      </c>
      <c r="G67" s="13">
        <v>5.6488321682308468E-2</v>
      </c>
      <c r="H67" s="22">
        <v>0.54819165386095858</v>
      </c>
      <c r="I67" s="23">
        <v>0.28783234299999999</v>
      </c>
      <c r="J67" s="13">
        <v>0.43856550799999999</v>
      </c>
    </row>
    <row r="68" spans="1:10">
      <c r="A68" s="4" t="s">
        <v>99</v>
      </c>
      <c r="B68" s="14">
        <v>293</v>
      </c>
      <c r="C68" s="22">
        <v>1.065534137</v>
      </c>
      <c r="D68" s="13">
        <v>0.2759857374125686</v>
      </c>
      <c r="E68" s="13">
        <v>0.16969846699999999</v>
      </c>
      <c r="F68" s="22">
        <v>0.86688601061869131</v>
      </c>
      <c r="G68" s="13">
        <v>8.2777775391695993E-2</v>
      </c>
      <c r="H68" s="22">
        <v>0.9451210266834642</v>
      </c>
      <c r="I68" s="23">
        <v>0.33669616099999999</v>
      </c>
      <c r="J68" s="13">
        <v>0.491014167</v>
      </c>
    </row>
    <row r="69" spans="1:10">
      <c r="A69" s="4" t="s">
        <v>100</v>
      </c>
      <c r="B69" s="14">
        <v>40</v>
      </c>
      <c r="C69" s="22">
        <v>1.206022352</v>
      </c>
      <c r="D69" s="13">
        <v>0.3310335788416216</v>
      </c>
      <c r="E69" s="13">
        <v>0.103724703</v>
      </c>
      <c r="F69" s="22">
        <v>0.9300724441672964</v>
      </c>
      <c r="G69" s="13">
        <v>0.13055111342883191</v>
      </c>
      <c r="H69" s="22">
        <v>1.0697264192668168</v>
      </c>
      <c r="I69" s="23">
        <v>0.189616226</v>
      </c>
      <c r="J69" s="13">
        <v>0.28344466400000001</v>
      </c>
    </row>
    <row r="70" spans="1:10">
      <c r="A70" s="4" t="s">
        <v>101</v>
      </c>
      <c r="B70" s="14">
        <v>306</v>
      </c>
      <c r="C70" s="22">
        <v>0.84148652199999996</v>
      </c>
      <c r="D70" s="13">
        <v>0.32644615528529281</v>
      </c>
      <c r="E70" s="13">
        <v>0.21400222499999999</v>
      </c>
      <c r="F70" s="22">
        <v>0.66966093394076665</v>
      </c>
      <c r="G70" s="13">
        <v>3.9579933633415366E-2</v>
      </c>
      <c r="H70" s="22">
        <v>0.69725837411352298</v>
      </c>
      <c r="I70" s="23">
        <v>0.26931060800000001</v>
      </c>
      <c r="J70" s="13">
        <v>0.41147605500000001</v>
      </c>
    </row>
    <row r="71" spans="1:10">
      <c r="A71" s="4" t="s">
        <v>102</v>
      </c>
      <c r="B71" s="14">
        <v>149</v>
      </c>
      <c r="C71" s="22">
        <v>0.95857060000000005</v>
      </c>
      <c r="D71" s="13">
        <v>0.50928057993005704</v>
      </c>
      <c r="E71" s="13">
        <v>0.22038740400000001</v>
      </c>
      <c r="F71" s="22">
        <v>0.68614322642106484</v>
      </c>
      <c r="G71" s="13">
        <v>4.7505780760520151E-2</v>
      </c>
      <c r="H71" s="22">
        <v>0.72036471462148788</v>
      </c>
      <c r="I71" s="23">
        <v>0.28817630399999999</v>
      </c>
      <c r="J71" s="13">
        <v>0.43922870400000003</v>
      </c>
    </row>
    <row r="72" spans="1:10">
      <c r="A72" s="4" t="s">
        <v>103</v>
      </c>
      <c r="B72" s="14">
        <v>50</v>
      </c>
      <c r="C72" s="22">
        <v>1.0266618789999999</v>
      </c>
      <c r="D72" s="13">
        <v>0.25678882154459864</v>
      </c>
      <c r="E72" s="13">
        <v>0.303064161</v>
      </c>
      <c r="F72" s="22">
        <v>0.87081600319094099</v>
      </c>
      <c r="G72" s="13">
        <v>2.913819636834333E-2</v>
      </c>
      <c r="H72" s="22">
        <v>0.89695155369540847</v>
      </c>
      <c r="I72" s="23">
        <v>0.26003408300000003</v>
      </c>
      <c r="J72" s="13">
        <v>0.35638666899999999</v>
      </c>
    </row>
    <row r="73" spans="1:10">
      <c r="A73" s="4" t="s">
        <v>104</v>
      </c>
      <c r="B73" s="14">
        <v>889</v>
      </c>
      <c r="C73" s="22">
        <v>0.92930392299999998</v>
      </c>
      <c r="D73" s="13">
        <v>0.94011820397489476</v>
      </c>
      <c r="E73" s="13">
        <v>0.192699228</v>
      </c>
      <c r="F73" s="22">
        <v>0.52832634024168301</v>
      </c>
      <c r="G73" s="13">
        <v>9.6670202612463202E-2</v>
      </c>
      <c r="H73" s="22">
        <v>0.58486539663545067</v>
      </c>
      <c r="I73" s="23">
        <v>0.31474986500000002</v>
      </c>
      <c r="J73" s="13">
        <v>0.49349296599999998</v>
      </c>
    </row>
    <row r="74" spans="1:10">
      <c r="A74" s="4" t="s">
        <v>105</v>
      </c>
      <c r="B74" s="14">
        <v>231</v>
      </c>
      <c r="C74" s="22">
        <v>0.92839380999999999</v>
      </c>
      <c r="D74" s="13">
        <v>0.44550578494941884</v>
      </c>
      <c r="E74" s="13">
        <v>0.23104154099999999</v>
      </c>
      <c r="F74" s="22">
        <v>0.6915021540291918</v>
      </c>
      <c r="G74" s="13">
        <v>5.365058414273572E-2</v>
      </c>
      <c r="H74" s="22">
        <v>0.73070489867929445</v>
      </c>
      <c r="I74" s="23">
        <v>0.23222632500000001</v>
      </c>
      <c r="J74" s="13">
        <v>0.40138898000000001</v>
      </c>
    </row>
    <row r="75" spans="1:10">
      <c r="A75" s="4" t="s">
        <v>106</v>
      </c>
      <c r="B75" s="14">
        <v>180</v>
      </c>
      <c r="C75" s="22">
        <v>0.84590257599999996</v>
      </c>
      <c r="D75" s="13">
        <v>0.68981569510058205</v>
      </c>
      <c r="E75" s="13">
        <v>0.24268008699999999</v>
      </c>
      <c r="F75" s="22">
        <v>0.55563345632452177</v>
      </c>
      <c r="G75" s="13">
        <v>7.2133390828000327E-2</v>
      </c>
      <c r="H75" s="22">
        <v>0.59882902437921803</v>
      </c>
      <c r="I75" s="23">
        <v>0.24360716299999999</v>
      </c>
      <c r="J75" s="13">
        <v>0.36412696900000002</v>
      </c>
    </row>
    <row r="76" spans="1:10">
      <c r="A76" s="4" t="s">
        <v>107</v>
      </c>
      <c r="B76" s="14">
        <v>115</v>
      </c>
      <c r="C76" s="22">
        <v>1.4165438859999999</v>
      </c>
      <c r="D76" s="13">
        <v>9.2231951763598136E-2</v>
      </c>
      <c r="E76" s="13">
        <v>0.118941484</v>
      </c>
      <c r="F76" s="22">
        <v>1.3100841591054146</v>
      </c>
      <c r="G76" s="13">
        <v>6.7466891095205123E-2</v>
      </c>
      <c r="H76" s="22">
        <v>1.4048661078039697</v>
      </c>
      <c r="I76" s="23">
        <v>0.44298978700000002</v>
      </c>
      <c r="J76" s="13">
        <v>0.72032526399999997</v>
      </c>
    </row>
    <row r="77" spans="1:10">
      <c r="A77" s="4" t="s">
        <v>108</v>
      </c>
      <c r="B77" s="14">
        <v>540</v>
      </c>
      <c r="C77" s="22">
        <v>1.031028565</v>
      </c>
      <c r="D77" s="13">
        <v>0.32614520611457298</v>
      </c>
      <c r="E77" s="13">
        <v>0.219964466</v>
      </c>
      <c r="F77" s="22">
        <v>0.82192648170103566</v>
      </c>
      <c r="G77" s="13">
        <v>5.6859492888187556E-2</v>
      </c>
      <c r="H77" s="22">
        <v>0.87147829565504342</v>
      </c>
      <c r="I77" s="23">
        <v>0.305256046</v>
      </c>
      <c r="J77" s="13">
        <v>0.47169228099999999</v>
      </c>
    </row>
    <row r="78" spans="1:10">
      <c r="A78" s="4" t="s">
        <v>109</v>
      </c>
      <c r="B78" s="14">
        <v>89</v>
      </c>
      <c r="C78" s="22">
        <v>1.1308987660000001</v>
      </c>
      <c r="D78" s="13">
        <v>0.39642760811171607</v>
      </c>
      <c r="E78" s="13">
        <v>0.21996064700000001</v>
      </c>
      <c r="F78" s="22">
        <v>0.86378979493868979</v>
      </c>
      <c r="G78" s="13">
        <v>7.490060790876335E-2</v>
      </c>
      <c r="H78" s="22">
        <v>0.93372647558015009</v>
      </c>
      <c r="I78" s="23">
        <v>0.266347642</v>
      </c>
      <c r="J78" s="13">
        <v>0.437897439</v>
      </c>
    </row>
    <row r="79" spans="1:10">
      <c r="A79" s="4" t="s">
        <v>110</v>
      </c>
      <c r="B79" s="14">
        <v>564</v>
      </c>
      <c r="C79" s="22">
        <v>1.27173267</v>
      </c>
      <c r="D79" s="13">
        <v>0.12953408743474631</v>
      </c>
      <c r="E79" s="13">
        <v>0.10383017999999999</v>
      </c>
      <c r="F79" s="22">
        <v>1.139459086320473</v>
      </c>
      <c r="G79" s="13">
        <v>7.7336967456275746E-2</v>
      </c>
      <c r="H79" s="22">
        <v>1.2349677467613021</v>
      </c>
      <c r="I79" s="23">
        <v>0.31304616200000002</v>
      </c>
      <c r="J79" s="13">
        <v>0.53274112399999995</v>
      </c>
    </row>
    <row r="80" spans="1:10">
      <c r="A80" s="4" t="s">
        <v>111</v>
      </c>
      <c r="B80" s="14">
        <v>259</v>
      </c>
      <c r="C80" s="22">
        <v>1.4042119980000001</v>
      </c>
      <c r="D80" s="13">
        <v>0.15561515050249775</v>
      </c>
      <c r="E80" s="13">
        <v>0.10341383899999999</v>
      </c>
      <c r="F80" s="22">
        <v>1.2322811818806716</v>
      </c>
      <c r="G80" s="13">
        <v>8.9473830228959786E-2</v>
      </c>
      <c r="H80" s="22">
        <v>1.3533726133215254</v>
      </c>
      <c r="I80" s="23">
        <v>0.32305599600000001</v>
      </c>
      <c r="J80" s="13">
        <v>0.57708472</v>
      </c>
    </row>
    <row r="81" spans="1:10">
      <c r="A81" s="4" t="s">
        <v>112</v>
      </c>
      <c r="B81" s="14">
        <v>354</v>
      </c>
      <c r="C81" s="22">
        <v>1.256916068</v>
      </c>
      <c r="D81" s="13">
        <v>0.788880874063978</v>
      </c>
      <c r="E81" s="13">
        <v>0.128829055</v>
      </c>
      <c r="F81" s="22">
        <v>0.74494947166962566</v>
      </c>
      <c r="G81" s="13">
        <v>9.7976309412568408E-2</v>
      </c>
      <c r="H81" s="22">
        <v>0.82586464129837511</v>
      </c>
      <c r="I81" s="23">
        <v>0.31389287100000002</v>
      </c>
      <c r="J81" s="13">
        <v>0.49490293400000002</v>
      </c>
    </row>
    <row r="82" spans="1:10">
      <c r="A82" s="4" t="s">
        <v>113</v>
      </c>
      <c r="B82" s="14">
        <v>95</v>
      </c>
      <c r="C82" s="22">
        <v>0.86120851300000001</v>
      </c>
      <c r="D82" s="13">
        <v>0.11761801398650033</v>
      </c>
      <c r="E82" s="13">
        <v>0.1978174</v>
      </c>
      <c r="F82" s="22">
        <v>0.78695812879729299</v>
      </c>
      <c r="G82" s="13">
        <v>6.1241412748316626E-2</v>
      </c>
      <c r="H82" s="22">
        <v>0.83829659668008738</v>
      </c>
      <c r="I82" s="23">
        <v>0.323923128</v>
      </c>
      <c r="J82" s="13">
        <v>0.49818964999999998</v>
      </c>
    </row>
    <row r="83" spans="1:10">
      <c r="A83" s="4" t="s">
        <v>114</v>
      </c>
      <c r="B83" s="14">
        <v>119</v>
      </c>
      <c r="C83" s="22">
        <v>1.1905959319999999</v>
      </c>
      <c r="D83" s="13">
        <v>0.10474235118622358</v>
      </c>
      <c r="E83" s="13">
        <v>0.110869035</v>
      </c>
      <c r="F83" s="22">
        <v>1.0891625825239732</v>
      </c>
      <c r="G83" s="13">
        <v>0.19069340689326814</v>
      </c>
      <c r="H83" s="22">
        <v>1.3457972439628128</v>
      </c>
      <c r="I83" s="23">
        <v>0.44373331500000002</v>
      </c>
      <c r="J83" s="13">
        <v>0.68738131400000002</v>
      </c>
    </row>
    <row r="84" spans="1:10">
      <c r="A84" s="4" t="s">
        <v>115</v>
      </c>
      <c r="B84" s="14">
        <v>759</v>
      </c>
      <c r="C84" s="22">
        <v>1.3367187169999999</v>
      </c>
      <c r="D84" s="13">
        <v>5.5156007497552353E-2</v>
      </c>
      <c r="E84" s="13">
        <v>8.5367173000000005E-2</v>
      </c>
      <c r="F84" s="22">
        <v>1.2725231135128463</v>
      </c>
      <c r="G84" s="13">
        <v>5.9540791596209078E-2</v>
      </c>
      <c r="H84" s="22">
        <v>1.3530869836158614</v>
      </c>
      <c r="I84" s="23">
        <v>0.50332967699999998</v>
      </c>
      <c r="J84" s="13">
        <v>0.68759691599999995</v>
      </c>
    </row>
    <row r="85" spans="1:10">
      <c r="A85" s="4" t="s">
        <v>116</v>
      </c>
      <c r="B85" s="14">
        <v>991</v>
      </c>
      <c r="C85" s="22">
        <v>1.123475778</v>
      </c>
      <c r="D85" s="13">
        <v>8.8554586155496051E-2</v>
      </c>
      <c r="E85" s="13">
        <v>0.112198668</v>
      </c>
      <c r="F85" s="22">
        <v>1.0415873477714614</v>
      </c>
      <c r="G85" s="13">
        <v>5.2588984802750163E-2</v>
      </c>
      <c r="H85" s="22">
        <v>1.0994038818037219</v>
      </c>
      <c r="I85" s="23">
        <v>0.42167672299999998</v>
      </c>
      <c r="J85" s="13">
        <v>0.62336396800000005</v>
      </c>
    </row>
    <row r="86" spans="1:10">
      <c r="A86" s="4" t="s">
        <v>117</v>
      </c>
      <c r="B86" s="14">
        <v>757</v>
      </c>
      <c r="C86" s="22">
        <v>1.27784798</v>
      </c>
      <c r="D86" s="13">
        <v>0.89897618903001741</v>
      </c>
      <c r="E86" s="13">
        <v>0.135016525</v>
      </c>
      <c r="F86" s="22">
        <v>0.71886155770485261</v>
      </c>
      <c r="G86" s="13">
        <v>9.4180746777173599E-2</v>
      </c>
      <c r="H86" s="22">
        <v>0.79360375168357866</v>
      </c>
      <c r="I86" s="23">
        <v>0.33450612600000001</v>
      </c>
      <c r="J86" s="13">
        <v>0.54226873399999997</v>
      </c>
    </row>
    <row r="87" spans="1:10">
      <c r="A87" s="4" t="s">
        <v>118</v>
      </c>
      <c r="B87" s="14">
        <v>117</v>
      </c>
      <c r="C87" s="22">
        <v>1.16689942</v>
      </c>
      <c r="D87" s="13">
        <v>0.48782726473374027</v>
      </c>
      <c r="E87" s="13">
        <v>0.13176954199999999</v>
      </c>
      <c r="F87" s="22">
        <v>0.81971289917087908</v>
      </c>
      <c r="G87" s="13">
        <v>6.4100029177913159E-2</v>
      </c>
      <c r="H87" s="22">
        <v>0.87585524599477227</v>
      </c>
      <c r="I87" s="23">
        <v>0.31843036299999999</v>
      </c>
      <c r="J87" s="13">
        <v>0.47570358699999998</v>
      </c>
    </row>
    <row r="88" spans="1:10">
      <c r="A88" s="4" t="s">
        <v>119</v>
      </c>
      <c r="B88" s="14">
        <v>484</v>
      </c>
      <c r="C88" s="22">
        <v>1.175778612</v>
      </c>
      <c r="D88" s="13">
        <v>0.13276024553651419</v>
      </c>
      <c r="E88" s="13">
        <v>0.110820367</v>
      </c>
      <c r="F88" s="22">
        <v>1.0516354581886114</v>
      </c>
      <c r="G88" s="13">
        <v>8.5230490840088782E-2</v>
      </c>
      <c r="H88" s="22">
        <v>1.1496179613096118</v>
      </c>
      <c r="I88" s="23">
        <v>0.363399533</v>
      </c>
      <c r="J88" s="13">
        <v>0.573845308</v>
      </c>
    </row>
    <row r="89" spans="1:10">
      <c r="A89" s="4" t="s">
        <v>120</v>
      </c>
      <c r="B89" s="14">
        <v>308</v>
      </c>
      <c r="C89" s="22">
        <v>1.012556384</v>
      </c>
      <c r="D89" s="13">
        <v>0.62954508708315848</v>
      </c>
      <c r="E89" s="13">
        <v>0.14450365500000001</v>
      </c>
      <c r="F89" s="22">
        <v>0.65811374638357178</v>
      </c>
      <c r="G89" s="13">
        <v>4.9392680223255707E-2</v>
      </c>
      <c r="H89" s="22">
        <v>0.69230873010543792</v>
      </c>
      <c r="I89" s="23">
        <v>0.35935509100000002</v>
      </c>
      <c r="J89" s="13">
        <v>0.50501837699999996</v>
      </c>
    </row>
    <row r="90" spans="1:10">
      <c r="A90" s="4" t="s">
        <v>121</v>
      </c>
      <c r="B90" s="14">
        <v>61</v>
      </c>
      <c r="C90" s="22">
        <v>0.76503773399999997</v>
      </c>
      <c r="D90" s="13">
        <v>0.16868665629513821</v>
      </c>
      <c r="E90" s="13">
        <v>0.18388715</v>
      </c>
      <c r="F90" s="22">
        <v>0.67246171340149175</v>
      </c>
      <c r="G90" s="13">
        <v>2.241588798966735E-2</v>
      </c>
      <c r="H90" s="22">
        <v>0.68788118090280914</v>
      </c>
      <c r="I90" s="23">
        <v>0.35153132300000001</v>
      </c>
      <c r="J90" s="13">
        <v>0.39027808899999999</v>
      </c>
    </row>
    <row r="91" spans="1:10">
      <c r="A91" s="4" t="s">
        <v>122</v>
      </c>
      <c r="B91" s="14">
        <v>225</v>
      </c>
      <c r="C91" s="22">
        <v>0.87965573600000002</v>
      </c>
      <c r="D91" s="13">
        <v>0.46817656458531337</v>
      </c>
      <c r="E91" s="13">
        <v>0.21107156099999999</v>
      </c>
      <c r="F91" s="22">
        <v>0.64238560000113909</v>
      </c>
      <c r="G91" s="13">
        <v>7.5957779211134016E-2</v>
      </c>
      <c r="H91" s="22">
        <v>0.69519074512929369</v>
      </c>
      <c r="I91" s="23">
        <v>0.295047795</v>
      </c>
      <c r="J91" s="13">
        <v>0.428116779</v>
      </c>
    </row>
    <row r="92" spans="1:10">
      <c r="A92" s="4" t="s">
        <v>123</v>
      </c>
      <c r="B92" s="14">
        <v>53</v>
      </c>
      <c r="C92" s="22">
        <v>1.0010446099999999</v>
      </c>
      <c r="D92" s="13">
        <v>0.3556804727329051</v>
      </c>
      <c r="E92" s="13">
        <v>0.25449039499999998</v>
      </c>
      <c r="F92" s="22">
        <v>0.79123752816227055</v>
      </c>
      <c r="G92" s="13">
        <v>2.1520521830701619E-2</v>
      </c>
      <c r="H92" s="22">
        <v>0.80863988036075007</v>
      </c>
      <c r="I92" s="23">
        <v>0.209492074</v>
      </c>
      <c r="J92" s="13">
        <v>0.32268854600000002</v>
      </c>
    </row>
    <row r="93" spans="1:10">
      <c r="A93" s="4" t="s">
        <v>124</v>
      </c>
      <c r="B93" s="14">
        <v>190</v>
      </c>
      <c r="C93" s="22">
        <v>0.95621060000000002</v>
      </c>
      <c r="D93" s="13">
        <v>0.62795134430383948</v>
      </c>
      <c r="E93" s="13">
        <v>0.22488423499999999</v>
      </c>
      <c r="F93" s="22">
        <v>0.64316142998158221</v>
      </c>
      <c r="G93" s="13">
        <v>5.5876174129797396E-2</v>
      </c>
      <c r="H93" s="22">
        <v>0.6812257167525434</v>
      </c>
      <c r="I93" s="23">
        <v>0.257468845</v>
      </c>
      <c r="J93" s="13">
        <v>0.41997893200000003</v>
      </c>
    </row>
    <row r="94" spans="1:10">
      <c r="A94" s="4" t="s">
        <v>125</v>
      </c>
      <c r="B94" s="14">
        <v>33</v>
      </c>
      <c r="C94" s="22">
        <v>0.85924644699999997</v>
      </c>
      <c r="D94" s="13">
        <v>0.56840338402768997</v>
      </c>
      <c r="E94" s="13">
        <v>8.1857651000000003E-2</v>
      </c>
      <c r="F94" s="22">
        <v>0.56459717375614238</v>
      </c>
      <c r="G94" s="13">
        <v>7.4760406912027622E-2</v>
      </c>
      <c r="H94" s="22">
        <v>0.61021726477550353</v>
      </c>
      <c r="I94" s="23">
        <v>0.47640524000000001</v>
      </c>
      <c r="J94" s="13">
        <v>0.58054099800000003</v>
      </c>
    </row>
    <row r="95" spans="1:10">
      <c r="A95" s="4" t="s">
        <v>126</v>
      </c>
      <c r="B95" s="14">
        <v>56</v>
      </c>
      <c r="C95" s="22">
        <v>0.79753910699999997</v>
      </c>
      <c r="D95" s="13">
        <v>0.84230007888799308</v>
      </c>
      <c r="E95" s="13">
        <v>0.24397790599999999</v>
      </c>
      <c r="F95" s="22">
        <v>0.48725582847091076</v>
      </c>
      <c r="G95" s="13">
        <v>4.7827666708373434E-2</v>
      </c>
      <c r="H95" s="22">
        <v>0.51173071452988383</v>
      </c>
      <c r="I95" s="23">
        <v>0.17664127499999999</v>
      </c>
      <c r="J95" s="13">
        <v>0.32084516200000002</v>
      </c>
    </row>
    <row r="96" spans="1:10">
      <c r="A96" s="4" t="s">
        <v>127</v>
      </c>
      <c r="B96" s="14">
        <v>98</v>
      </c>
      <c r="C96" s="22">
        <v>0.97549956500000001</v>
      </c>
      <c r="D96" s="13">
        <v>0.4901201545783383</v>
      </c>
      <c r="E96" s="13">
        <v>0.15373234999999999</v>
      </c>
      <c r="F96" s="22">
        <v>0.6895096819269394</v>
      </c>
      <c r="G96" s="13">
        <v>5.4744155037815705E-2</v>
      </c>
      <c r="H96" s="22">
        <v>0.7294423891708639</v>
      </c>
      <c r="I96" s="23">
        <v>0.30165750699999999</v>
      </c>
      <c r="J96" s="13">
        <v>0.42616958399999999</v>
      </c>
    </row>
    <row r="97" spans="1:10">
      <c r="A97" s="24" t="s">
        <v>128</v>
      </c>
      <c r="B97" s="25">
        <v>42410</v>
      </c>
      <c r="C97" s="26">
        <v>1.0722115750000001</v>
      </c>
      <c r="D97" s="27">
        <v>0.79330492006318809</v>
      </c>
      <c r="E97" s="27">
        <v>0.14072266</v>
      </c>
      <c r="F97" s="26">
        <v>0.63758778468629551</v>
      </c>
      <c r="G97" s="27">
        <v>9.6108704099641798E-2</v>
      </c>
      <c r="H97" s="26">
        <v>0.70538104258565726</v>
      </c>
      <c r="I97" s="28">
        <v>0.34448412499999997</v>
      </c>
      <c r="J97" s="27">
        <v>0.51472308499999997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sqref="A1:D17"/>
    </sheetView>
  </sheetViews>
  <sheetFormatPr baseColWidth="10" defaultRowHeight="15" x14ac:dyDescent="0"/>
  <sheetData>
    <row r="1" spans="1:4">
      <c r="A1" s="32" t="s">
        <v>136</v>
      </c>
      <c r="B1" s="33"/>
      <c r="C1" s="34"/>
      <c r="D1" s="34"/>
    </row>
    <row r="2" spans="1:4">
      <c r="A2" s="35" t="s">
        <v>137</v>
      </c>
      <c r="B2" s="36" t="s">
        <v>138</v>
      </c>
      <c r="C2" s="36" t="s">
        <v>139</v>
      </c>
      <c r="D2" s="36" t="s">
        <v>140</v>
      </c>
    </row>
    <row r="3" spans="1:4">
      <c r="A3" s="35">
        <v>-100000</v>
      </c>
      <c r="B3" s="36">
        <v>0.49999900000000003</v>
      </c>
      <c r="C3" s="36" t="s">
        <v>141</v>
      </c>
      <c r="D3" s="37">
        <v>0.12</v>
      </c>
    </row>
    <row r="4" spans="1:4">
      <c r="A4" s="35">
        <v>0.5</v>
      </c>
      <c r="B4" s="36">
        <v>0.79999900000000002</v>
      </c>
      <c r="C4" s="36" t="s">
        <v>142</v>
      </c>
      <c r="D4" s="37">
        <v>0.1</v>
      </c>
    </row>
    <row r="5" spans="1:4">
      <c r="A5" s="35">
        <v>0.8</v>
      </c>
      <c r="B5" s="36">
        <v>1.2499990000000001</v>
      </c>
      <c r="C5" s="36" t="s">
        <v>143</v>
      </c>
      <c r="D5" s="37">
        <v>0.08</v>
      </c>
    </row>
    <row r="6" spans="1:4">
      <c r="A6" s="35">
        <v>1.25</v>
      </c>
      <c r="B6" s="36">
        <v>1.4999990000000001</v>
      </c>
      <c r="C6" s="36" t="s">
        <v>144</v>
      </c>
      <c r="D6" s="37">
        <v>7.0000000000000007E-2</v>
      </c>
    </row>
    <row r="7" spans="1:4">
      <c r="A7" s="35">
        <v>1.5</v>
      </c>
      <c r="B7" s="36">
        <v>1.9999990000000001</v>
      </c>
      <c r="C7" s="36" t="s">
        <v>145</v>
      </c>
      <c r="D7" s="37">
        <v>0.06</v>
      </c>
    </row>
    <row r="8" spans="1:4">
      <c r="A8" s="35">
        <v>2</v>
      </c>
      <c r="B8" s="36">
        <v>2.4999989999999999</v>
      </c>
      <c r="C8" s="36" t="s">
        <v>146</v>
      </c>
      <c r="D8" s="37">
        <v>0.05</v>
      </c>
    </row>
    <row r="9" spans="1:4">
      <c r="A9" s="35">
        <v>2.5</v>
      </c>
      <c r="B9" s="36">
        <v>2.9999989999999999</v>
      </c>
      <c r="C9" s="36" t="s">
        <v>147</v>
      </c>
      <c r="D9" s="37">
        <v>0.04</v>
      </c>
    </row>
    <row r="10" spans="1:4">
      <c r="A10" s="35">
        <v>3</v>
      </c>
      <c r="B10" s="36">
        <v>3.4999989999999999</v>
      </c>
      <c r="C10" s="36" t="s">
        <v>148</v>
      </c>
      <c r="D10" s="37">
        <v>3.2500000000000001E-2</v>
      </c>
    </row>
    <row r="11" spans="1:4">
      <c r="A11" s="35">
        <v>3.5</v>
      </c>
      <c r="B11" s="36">
        <v>3.9999999000000002</v>
      </c>
      <c r="C11" s="36" t="s">
        <v>149</v>
      </c>
      <c r="D11" s="37">
        <v>2.75E-2</v>
      </c>
    </row>
    <row r="12" spans="1:4">
      <c r="A12" s="35">
        <v>4</v>
      </c>
      <c r="B12" s="36">
        <v>4.4999989999999999</v>
      </c>
      <c r="C12" s="36" t="s">
        <v>150</v>
      </c>
      <c r="D12" s="37">
        <v>1.7500000000000002E-2</v>
      </c>
    </row>
    <row r="13" spans="1:4">
      <c r="A13" s="35">
        <v>4.5</v>
      </c>
      <c r="B13" s="36">
        <v>5.9999989999999999</v>
      </c>
      <c r="C13" s="36" t="s">
        <v>151</v>
      </c>
      <c r="D13" s="37">
        <v>1.2E-2</v>
      </c>
    </row>
    <row r="14" spans="1:4">
      <c r="A14" s="35">
        <v>6</v>
      </c>
      <c r="B14" s="36">
        <v>7.4999989999999999</v>
      </c>
      <c r="C14" s="36" t="s">
        <v>152</v>
      </c>
      <c r="D14" s="37">
        <v>0.01</v>
      </c>
    </row>
    <row r="15" spans="1:4">
      <c r="A15" s="35">
        <v>7.5</v>
      </c>
      <c r="B15" s="36">
        <v>9.4999990000000007</v>
      </c>
      <c r="C15" s="36" t="s">
        <v>153</v>
      </c>
      <c r="D15" s="37">
        <v>8.9999999999999993E-3</v>
      </c>
    </row>
    <row r="16" spans="1:4">
      <c r="A16" s="35">
        <v>9.5</v>
      </c>
      <c r="B16" s="36">
        <v>12.499999000000001</v>
      </c>
      <c r="C16" s="36" t="s">
        <v>154</v>
      </c>
      <c r="D16" s="37">
        <v>7.0000000000000001E-3</v>
      </c>
    </row>
    <row r="17" spans="1:4">
      <c r="A17" s="35">
        <v>12.5</v>
      </c>
      <c r="B17" s="36">
        <v>100000</v>
      </c>
      <c r="C17" s="36" t="s">
        <v>155</v>
      </c>
      <c r="D17" s="37">
        <v>4.0000000000000001E-3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opLeftCell="A79" workbookViewId="0">
      <selection sqref="A1:H97"/>
    </sheetView>
  </sheetViews>
  <sheetFormatPr baseColWidth="10" defaultRowHeight="15" x14ac:dyDescent="0"/>
  <cols>
    <col min="1" max="1" width="33.1640625" bestFit="1" customWidth="1"/>
    <col min="2" max="2" width="10.1640625" bestFit="1" customWidth="1"/>
    <col min="3" max="4" width="8.5" bestFit="1" customWidth="1"/>
    <col min="5" max="5" width="14" bestFit="1" customWidth="1"/>
    <col min="6" max="6" width="7.33203125" bestFit="1" customWidth="1"/>
    <col min="7" max="7" width="9.6640625" bestFit="1" customWidth="1"/>
    <col min="8" max="8" width="10.1640625" bestFit="1" customWidth="1"/>
  </cols>
  <sheetData>
    <row r="1" spans="1:8" ht="40">
      <c r="A1" s="19" t="s">
        <v>24</v>
      </c>
      <c r="B1" s="20" t="s">
        <v>25</v>
      </c>
      <c r="C1" s="38" t="s">
        <v>170</v>
      </c>
      <c r="D1" s="38" t="s">
        <v>169</v>
      </c>
      <c r="E1" s="39" t="s">
        <v>21</v>
      </c>
      <c r="F1" s="40" t="s">
        <v>173</v>
      </c>
      <c r="G1" s="40" t="s">
        <v>174</v>
      </c>
      <c r="H1" s="40" t="s">
        <v>175</v>
      </c>
    </row>
    <row r="2" spans="1:8">
      <c r="A2" s="4" t="s">
        <v>33</v>
      </c>
      <c r="B2" s="14">
        <v>253</v>
      </c>
      <c r="C2" s="13">
        <v>0.51387643861207299</v>
      </c>
      <c r="D2" s="13">
        <v>1.8100986952815111E-2</v>
      </c>
      <c r="E2" s="41">
        <v>168196.89600000001</v>
      </c>
      <c r="F2" s="42">
        <v>0.10210402607861731</v>
      </c>
      <c r="G2" s="42">
        <v>0.2121204787</v>
      </c>
      <c r="H2" s="42">
        <v>0.56718184800000004</v>
      </c>
    </row>
    <row r="3" spans="1:8">
      <c r="A3" s="4" t="s">
        <v>34</v>
      </c>
      <c r="B3" s="14">
        <v>208</v>
      </c>
      <c r="C3" s="13">
        <v>0.32529169583860484</v>
      </c>
      <c r="D3" s="13">
        <v>1.7582655464677313E-2</v>
      </c>
      <c r="E3" s="41">
        <v>864408.60600000003</v>
      </c>
      <c r="F3" s="42">
        <v>0.21045224497170395</v>
      </c>
      <c r="G3" s="42">
        <v>0.38433287499999996</v>
      </c>
      <c r="H3" s="42">
        <v>0.478987675</v>
      </c>
    </row>
    <row r="4" spans="1:8">
      <c r="A4" s="4" t="s">
        <v>35</v>
      </c>
      <c r="B4" s="14">
        <v>158</v>
      </c>
      <c r="C4" s="13">
        <v>0.32685181484837894</v>
      </c>
      <c r="D4" s="13">
        <v>1.3495514279342353E-2</v>
      </c>
      <c r="E4" s="41">
        <v>455372.092</v>
      </c>
      <c r="F4" s="42">
        <v>0.11088339625431098</v>
      </c>
      <c r="G4" s="42">
        <v>0.2763615827</v>
      </c>
      <c r="H4" s="42">
        <v>0.43551762599999999</v>
      </c>
    </row>
    <row r="5" spans="1:8">
      <c r="A5" s="4" t="s">
        <v>36</v>
      </c>
      <c r="B5" s="14">
        <v>1174</v>
      </c>
      <c r="C5" s="13">
        <v>0.43210513485632601</v>
      </c>
      <c r="D5" s="13">
        <v>1.8759438083072445E-2</v>
      </c>
      <c r="E5" s="41">
        <v>711790.196</v>
      </c>
      <c r="F5" s="42">
        <v>0.12071592712050361</v>
      </c>
      <c r="G5" s="42">
        <v>0.15141624400000001</v>
      </c>
      <c r="H5" s="42">
        <v>0.51791685300000001</v>
      </c>
    </row>
    <row r="6" spans="1:8">
      <c r="A6" s="4" t="s">
        <v>37</v>
      </c>
      <c r="B6" s="14">
        <v>125</v>
      </c>
      <c r="C6" s="13">
        <v>0.2962083342315282</v>
      </c>
      <c r="D6" s="13">
        <v>2.6334892541002037E-2</v>
      </c>
      <c r="E6" s="41">
        <v>1112947.75</v>
      </c>
      <c r="F6" s="42">
        <v>0.14677757590903814</v>
      </c>
      <c r="G6" s="42">
        <v>0.20354861110000003</v>
      </c>
      <c r="H6" s="42">
        <v>0.45054223399999999</v>
      </c>
    </row>
    <row r="7" spans="1:8">
      <c r="A7" s="4" t="s">
        <v>38</v>
      </c>
      <c r="B7" s="14">
        <v>632</v>
      </c>
      <c r="C7" s="13">
        <v>0.22843250548692245</v>
      </c>
      <c r="D7" s="13">
        <v>1.4741819489387268E-2</v>
      </c>
      <c r="E7" s="41">
        <v>570952.62399999995</v>
      </c>
      <c r="F7" s="42">
        <v>0.13315554636907542</v>
      </c>
      <c r="G7" s="42">
        <v>0.21226189470000001</v>
      </c>
      <c r="H7" s="42">
        <v>0.47793559099999999</v>
      </c>
    </row>
    <row r="8" spans="1:8">
      <c r="A8" s="4" t="s">
        <v>39</v>
      </c>
      <c r="B8" s="14">
        <v>604</v>
      </c>
      <c r="C8" s="13">
        <v>0.36716775117416967</v>
      </c>
      <c r="D8" s="13">
        <v>3.0348245483269292E-2</v>
      </c>
      <c r="E8" s="41">
        <v>6240163.9199999999</v>
      </c>
      <c r="F8" s="42">
        <v>0.10255974215601719</v>
      </c>
      <c r="G8" s="42">
        <v>0.1970490909</v>
      </c>
      <c r="H8" s="42">
        <v>0.35237760099999998</v>
      </c>
    </row>
    <row r="9" spans="1:8">
      <c r="A9" s="4" t="s">
        <v>40</v>
      </c>
      <c r="B9" s="14">
        <v>911</v>
      </c>
      <c r="C9" s="13">
        <v>0.23447593147854887</v>
      </c>
      <c r="D9" s="13">
        <v>1.871417889879309E-2</v>
      </c>
      <c r="E9" s="41">
        <v>701385.68200000003</v>
      </c>
      <c r="F9" s="42">
        <v>8.5485807187233809E-2</v>
      </c>
      <c r="G9" s="42">
        <v>0.25914335249999998</v>
      </c>
      <c r="H9" s="42">
        <v>0.36794504900000002</v>
      </c>
    </row>
    <row r="10" spans="1:8">
      <c r="A10" s="4" t="s">
        <v>41</v>
      </c>
      <c r="B10" s="14">
        <v>216</v>
      </c>
      <c r="C10" s="13">
        <v>0.54725512556522504</v>
      </c>
      <c r="D10" s="13">
        <v>2.4145228202536693E-2</v>
      </c>
      <c r="E10" s="41">
        <v>873408.45499999996</v>
      </c>
      <c r="F10" s="42">
        <v>0.14099855081296672</v>
      </c>
      <c r="G10" s="42">
        <v>0.2140238596</v>
      </c>
      <c r="H10" s="42">
        <v>0.43051751100000002</v>
      </c>
    </row>
    <row r="11" spans="1:8">
      <c r="A11" s="4" t="s">
        <v>42</v>
      </c>
      <c r="B11" s="14">
        <v>108</v>
      </c>
      <c r="C11" s="13">
        <v>0.58132596127356995</v>
      </c>
      <c r="D11" s="13">
        <v>2.5172804275949531E-2</v>
      </c>
      <c r="E11" s="41">
        <v>435567.723</v>
      </c>
      <c r="F11" s="42">
        <v>0.2078681838934836</v>
      </c>
      <c r="G11" s="42">
        <v>0.23351352940000003</v>
      </c>
      <c r="H11" s="42">
        <v>0.42962568800000001</v>
      </c>
    </row>
    <row r="12" spans="1:8">
      <c r="A12" s="4" t="s">
        <v>43</v>
      </c>
      <c r="B12" s="14">
        <v>138</v>
      </c>
      <c r="C12" s="13">
        <v>0.55669973737147971</v>
      </c>
      <c r="D12" s="13">
        <v>1.856500780888767E-2</v>
      </c>
      <c r="E12" s="41">
        <v>214655.41200000001</v>
      </c>
      <c r="F12" s="42">
        <v>8.6361209571356484E-2</v>
      </c>
      <c r="G12" s="42">
        <v>0.25327851239999999</v>
      </c>
      <c r="H12" s="42">
        <v>0.50584644700000003</v>
      </c>
    </row>
    <row r="13" spans="1:8">
      <c r="A13" s="4" t="s">
        <v>44</v>
      </c>
      <c r="B13" s="14">
        <v>551</v>
      </c>
      <c r="C13" s="13">
        <v>0.27721631836411148</v>
      </c>
      <c r="D13" s="13">
        <v>1.2356251979385568E-2</v>
      </c>
      <c r="E13" s="41">
        <v>733725.16399999999</v>
      </c>
      <c r="F13" s="42">
        <v>9.0134436607247501E-2</v>
      </c>
      <c r="G13" s="42">
        <v>0.18518157500000001</v>
      </c>
      <c r="H13" s="42">
        <v>0.56726726199999999</v>
      </c>
    </row>
    <row r="14" spans="1:8">
      <c r="A14" s="4" t="s">
        <v>45</v>
      </c>
      <c r="B14" s="14">
        <v>432</v>
      </c>
      <c r="C14" s="13">
        <v>0.39470409148014796</v>
      </c>
      <c r="D14" s="13">
        <v>1.7898225496903959E-2</v>
      </c>
      <c r="E14" s="41">
        <v>251363.66399999999</v>
      </c>
      <c r="F14" s="42">
        <v>8.5041334389553164E-2</v>
      </c>
      <c r="G14" s="42">
        <v>0.2222980645</v>
      </c>
      <c r="H14" s="42">
        <v>0.47419001100000002</v>
      </c>
    </row>
    <row r="15" spans="1:8">
      <c r="A15" s="4" t="s">
        <v>46</v>
      </c>
      <c r="B15" s="14">
        <v>759</v>
      </c>
      <c r="C15" s="13">
        <v>0.65481736398586077</v>
      </c>
      <c r="D15" s="13">
        <v>2.7321013375078144E-2</v>
      </c>
      <c r="E15" s="41">
        <v>512365.15600000002</v>
      </c>
      <c r="F15" s="42">
        <v>0.15207872266326683</v>
      </c>
      <c r="G15" s="42">
        <v>0.31416310159999999</v>
      </c>
      <c r="H15" s="42">
        <v>0.50701121199999999</v>
      </c>
    </row>
    <row r="16" spans="1:8">
      <c r="A16" s="4" t="s">
        <v>47</v>
      </c>
      <c r="B16" s="14">
        <v>64</v>
      </c>
      <c r="C16" s="13">
        <v>0.29908790140825087</v>
      </c>
      <c r="D16" s="13">
        <v>1.039169098395734E-2</v>
      </c>
      <c r="E16" s="41">
        <v>586172.41500000004</v>
      </c>
      <c r="F16" s="42">
        <v>0.23747445946078777</v>
      </c>
      <c r="G16" s="42">
        <v>0.30611741380000002</v>
      </c>
      <c r="H16" s="42">
        <v>0.43875270199999999</v>
      </c>
    </row>
    <row r="17" spans="1:8">
      <c r="A17" s="4" t="s">
        <v>48</v>
      </c>
      <c r="B17" s="14">
        <v>731</v>
      </c>
      <c r="C17" s="13">
        <v>0.62942643086122063</v>
      </c>
      <c r="D17" s="13">
        <v>3.3345941042878538E-2</v>
      </c>
      <c r="E17" s="41">
        <v>529131.53200000001</v>
      </c>
      <c r="F17" s="42">
        <v>8.9148896039481992E-2</v>
      </c>
      <c r="G17" s="42">
        <v>0.15159190649999998</v>
      </c>
      <c r="H17" s="42">
        <v>0.46400396599999999</v>
      </c>
    </row>
    <row r="18" spans="1:8">
      <c r="A18" s="4" t="s">
        <v>49</v>
      </c>
      <c r="B18" s="14">
        <v>85</v>
      </c>
      <c r="C18" s="13">
        <v>0.46555688686804347</v>
      </c>
      <c r="D18" s="13">
        <v>2.6927839941066897E-2</v>
      </c>
      <c r="E18" s="41">
        <v>305167.69699999999</v>
      </c>
      <c r="F18" s="42">
        <v>0.12428971422444884</v>
      </c>
      <c r="G18" s="42">
        <v>0.29975959460000001</v>
      </c>
      <c r="H18" s="42">
        <v>0.43729520300000002</v>
      </c>
    </row>
    <row r="19" spans="1:8">
      <c r="A19" s="4" t="s">
        <v>50</v>
      </c>
      <c r="B19" s="14">
        <v>700</v>
      </c>
      <c r="C19" s="13">
        <v>0.47605243755961307</v>
      </c>
      <c r="D19" s="13">
        <v>2.2053630238302216E-2</v>
      </c>
      <c r="E19" s="41">
        <v>844562.31099999999</v>
      </c>
      <c r="F19" s="42">
        <v>0.12315120980762022</v>
      </c>
      <c r="G19" s="42">
        <v>0.21879543830000001</v>
      </c>
      <c r="H19" s="42">
        <v>0.49351133800000002</v>
      </c>
    </row>
    <row r="20" spans="1:8">
      <c r="A20" s="4" t="s">
        <v>51</v>
      </c>
      <c r="B20" s="14">
        <v>321</v>
      </c>
      <c r="C20" s="13">
        <v>1.1714806969838945</v>
      </c>
      <c r="D20" s="13">
        <v>3.4690346119915352E-2</v>
      </c>
      <c r="E20" s="41">
        <v>259409.19899999999</v>
      </c>
      <c r="F20" s="42">
        <v>4.4991408514356783E-2</v>
      </c>
      <c r="G20" s="42">
        <v>0.1510544355</v>
      </c>
      <c r="H20" s="42">
        <v>0.72213994400000003</v>
      </c>
    </row>
    <row r="21" spans="1:8">
      <c r="A21" s="4" t="s">
        <v>52</v>
      </c>
      <c r="B21" s="14">
        <v>934</v>
      </c>
      <c r="C21" s="13">
        <v>0.31389448660615865</v>
      </c>
      <c r="D21" s="13">
        <v>1.6587626920789692E-2</v>
      </c>
      <c r="E21" s="41">
        <v>743351.03200000001</v>
      </c>
      <c r="F21" s="42">
        <v>0.19684578776571721</v>
      </c>
      <c r="G21" s="42">
        <v>0.21183854289999998</v>
      </c>
      <c r="H21" s="42">
        <v>0.52965471600000003</v>
      </c>
    </row>
    <row r="22" spans="1:8">
      <c r="A22" s="4" t="s">
        <v>53</v>
      </c>
      <c r="B22" s="14">
        <v>329</v>
      </c>
      <c r="C22" s="13">
        <v>0.26448981383107739</v>
      </c>
      <c r="D22" s="13">
        <v>1.7831623936649103E-2</v>
      </c>
      <c r="E22" s="41">
        <v>1313558.2790000001</v>
      </c>
      <c r="F22" s="42">
        <v>0.18256237043121928</v>
      </c>
      <c r="G22" s="42">
        <v>0.2353273391</v>
      </c>
      <c r="H22" s="42">
        <v>0.55296869299999996</v>
      </c>
    </row>
    <row r="23" spans="1:8">
      <c r="A23" s="4" t="s">
        <v>54</v>
      </c>
      <c r="B23" s="14">
        <v>751</v>
      </c>
      <c r="C23" s="13">
        <v>0.54254064152471371</v>
      </c>
      <c r="D23" s="13">
        <v>2.4294288428887433E-2</v>
      </c>
      <c r="E23" s="41">
        <v>907980.60600000003</v>
      </c>
      <c r="F23" s="42">
        <v>8.8955303132770377E-2</v>
      </c>
      <c r="G23" s="42">
        <v>0.2074297557</v>
      </c>
      <c r="H23" s="42">
        <v>0.48139978300000003</v>
      </c>
    </row>
    <row r="24" spans="1:8">
      <c r="A24" s="4" t="s">
        <v>55</v>
      </c>
      <c r="B24" s="14">
        <v>378</v>
      </c>
      <c r="C24" s="13">
        <v>0.29929172456630104</v>
      </c>
      <c r="D24" s="13">
        <v>1.8087890214007401E-2</v>
      </c>
      <c r="E24" s="41">
        <v>1731835.287</v>
      </c>
      <c r="F24" s="42">
        <v>0.10749266967287581</v>
      </c>
      <c r="G24" s="42">
        <v>0.2254877377</v>
      </c>
      <c r="H24" s="42">
        <v>0.38883570699999997</v>
      </c>
    </row>
    <row r="25" spans="1:8">
      <c r="A25" s="4" t="s">
        <v>56</v>
      </c>
      <c r="B25" s="14">
        <v>782</v>
      </c>
      <c r="C25" s="13">
        <v>0.29307038309769406</v>
      </c>
      <c r="D25" s="13">
        <v>3.0663013153693179E-3</v>
      </c>
      <c r="E25" s="41">
        <v>943741.18599999999</v>
      </c>
      <c r="F25" s="42">
        <v>0.10578352928270125</v>
      </c>
      <c r="G25" s="42">
        <v>0.24969986020000001</v>
      </c>
      <c r="H25" s="42">
        <v>0.85377932999999995</v>
      </c>
    </row>
    <row r="26" spans="1:8">
      <c r="A26" s="4" t="s">
        <v>57</v>
      </c>
      <c r="B26" s="14">
        <v>877</v>
      </c>
      <c r="C26" s="13">
        <v>0.61725950239491512</v>
      </c>
      <c r="D26" s="13">
        <v>2.287696853991833E-2</v>
      </c>
      <c r="E26" s="41">
        <v>3053203.0079999999</v>
      </c>
      <c r="F26" s="42">
        <v>0.15000653391997679</v>
      </c>
      <c r="G26" s="42">
        <v>0.2198377926</v>
      </c>
      <c r="H26" s="42">
        <v>0.55385611300000004</v>
      </c>
    </row>
    <row r="27" spans="1:8">
      <c r="A27" s="4" t="s">
        <v>58</v>
      </c>
      <c r="B27" s="14">
        <v>170</v>
      </c>
      <c r="C27" s="13">
        <v>0.62789012502194763</v>
      </c>
      <c r="D27" s="13">
        <v>1.4629968756767786E-2</v>
      </c>
      <c r="E27" s="41">
        <v>62086.406000000003</v>
      </c>
      <c r="F27" s="42">
        <v>6.0996173661494096E-2</v>
      </c>
      <c r="G27" s="42">
        <v>0.2588364286</v>
      </c>
      <c r="H27" s="42">
        <v>0.56662948800000001</v>
      </c>
    </row>
    <row r="28" spans="1:8">
      <c r="A28" s="4" t="s">
        <v>59</v>
      </c>
      <c r="B28" s="14">
        <v>838</v>
      </c>
      <c r="C28" s="13">
        <v>0.57158558748213728</v>
      </c>
      <c r="D28" s="13">
        <v>1.7982274012150048E-2</v>
      </c>
      <c r="E28" s="41">
        <v>643520.58100000001</v>
      </c>
      <c r="F28" s="42">
        <v>7.7586701100347696E-2</v>
      </c>
      <c r="G28" s="42">
        <v>0.1851997917</v>
      </c>
      <c r="H28" s="42">
        <v>0.49993056600000002</v>
      </c>
    </row>
    <row r="29" spans="1:8">
      <c r="A29" s="4" t="s">
        <v>60</v>
      </c>
      <c r="B29" s="14">
        <v>151</v>
      </c>
      <c r="C29" s="13">
        <v>1.0157522407893074</v>
      </c>
      <c r="D29" s="13">
        <v>1.4446797418277556E-2</v>
      </c>
      <c r="E29" s="41">
        <v>146351.44099999999</v>
      </c>
      <c r="F29" s="42">
        <v>2.3470907244192273E-2</v>
      </c>
      <c r="G29" s="42">
        <v>0.20227582519999998</v>
      </c>
      <c r="H29" s="42">
        <v>0.52359080099999999</v>
      </c>
    </row>
    <row r="30" spans="1:8">
      <c r="A30" s="4" t="s">
        <v>61</v>
      </c>
      <c r="B30" s="14">
        <v>1227</v>
      </c>
      <c r="C30" s="13">
        <v>0.31528967352360032</v>
      </c>
      <c r="D30" s="13">
        <v>1.4031292100581842E-2</v>
      </c>
      <c r="E30" s="41">
        <v>757549.65500000003</v>
      </c>
      <c r="F30" s="42">
        <v>9.1111187845328123E-2</v>
      </c>
      <c r="G30" s="42">
        <v>0.21174062360000001</v>
      </c>
      <c r="H30" s="42">
        <v>0.52453519800000004</v>
      </c>
    </row>
    <row r="31" spans="1:8">
      <c r="A31" s="4" t="s">
        <v>62</v>
      </c>
      <c r="B31" s="14">
        <v>1148</v>
      </c>
      <c r="C31" s="13">
        <v>0.67194323401636213</v>
      </c>
      <c r="D31" s="13">
        <v>2.9815976604640283E-2</v>
      </c>
      <c r="E31" s="41">
        <v>711728.14599999995</v>
      </c>
      <c r="F31" s="42">
        <v>7.6226035311061244E-2</v>
      </c>
      <c r="G31" s="42">
        <v>0.1878952364</v>
      </c>
      <c r="H31" s="42">
        <v>0.52450774099999997</v>
      </c>
    </row>
    <row r="32" spans="1:8">
      <c r="A32" s="4" t="s">
        <v>63</v>
      </c>
      <c r="B32" s="14">
        <v>350</v>
      </c>
      <c r="C32" s="13">
        <v>0.25939201720610322</v>
      </c>
      <c r="D32" s="13">
        <v>1.1292021666046956E-2</v>
      </c>
      <c r="E32" s="41">
        <v>450205.24599999998</v>
      </c>
      <c r="F32" s="42">
        <v>0.15248694690315751</v>
      </c>
      <c r="G32" s="42">
        <v>0.1875197321</v>
      </c>
      <c r="H32" s="42">
        <v>0.59724595199999997</v>
      </c>
    </row>
    <row r="33" spans="1:8">
      <c r="A33" s="4" t="s">
        <v>64</v>
      </c>
      <c r="B33" s="14">
        <v>307</v>
      </c>
      <c r="C33" s="13">
        <v>0.86612603881252681</v>
      </c>
      <c r="D33" s="13">
        <v>1.8944341433447455E-2</v>
      </c>
      <c r="E33" s="41">
        <v>131236.258</v>
      </c>
      <c r="F33" s="42">
        <v>5.9310806839713494E-2</v>
      </c>
      <c r="G33" s="42">
        <v>0.22578974869999999</v>
      </c>
      <c r="H33" s="42">
        <v>0.62878748200000001</v>
      </c>
    </row>
    <row r="34" spans="1:8">
      <c r="A34" s="4" t="s">
        <v>65</v>
      </c>
      <c r="B34" s="14">
        <v>408</v>
      </c>
      <c r="C34" s="13">
        <v>0.37773176510914186</v>
      </c>
      <c r="D34" s="13">
        <v>2.1096731676763302E-2</v>
      </c>
      <c r="E34" s="41">
        <v>281862.11499999999</v>
      </c>
      <c r="F34" s="42">
        <v>9.680282111691145E-2</v>
      </c>
      <c r="G34" s="42">
        <v>0.18397605179999998</v>
      </c>
      <c r="H34" s="42">
        <v>0.46177698499999997</v>
      </c>
    </row>
    <row r="35" spans="1:8">
      <c r="A35" s="4" t="s">
        <v>66</v>
      </c>
      <c r="B35" s="14">
        <v>966</v>
      </c>
      <c r="C35" s="13">
        <v>3.3390770300309405</v>
      </c>
      <c r="D35" s="13">
        <v>5.7652735249999996E-2</v>
      </c>
      <c r="E35" s="41">
        <v>1072215.051</v>
      </c>
      <c r="F35" s="42">
        <v>0.24836214052826824</v>
      </c>
      <c r="G35" s="42">
        <v>0.25347940609999997</v>
      </c>
      <c r="H35" s="42">
        <v>0.45269601999999998</v>
      </c>
    </row>
    <row r="36" spans="1:8">
      <c r="A36" s="4" t="s">
        <v>67</v>
      </c>
      <c r="B36" s="14">
        <v>1247</v>
      </c>
      <c r="C36" s="13">
        <v>0.51454627850978696</v>
      </c>
      <c r="D36" s="13">
        <v>2.1771622080465354E-2</v>
      </c>
      <c r="E36" s="41">
        <v>1507502.5759999999</v>
      </c>
      <c r="F36" s="42">
        <v>0.12643809327429287</v>
      </c>
      <c r="G36" s="42">
        <v>0.18504416309999999</v>
      </c>
      <c r="H36" s="42">
        <v>0.42504857899999998</v>
      </c>
    </row>
    <row r="37" spans="1:8">
      <c r="A37" s="4" t="s">
        <v>68</v>
      </c>
      <c r="B37" s="14">
        <v>125</v>
      </c>
      <c r="C37" s="13">
        <v>0.50991986253271548</v>
      </c>
      <c r="D37" s="13">
        <v>2.5011965766909804E-2</v>
      </c>
      <c r="E37" s="41">
        <v>57743.896000000001</v>
      </c>
      <c r="F37" s="42">
        <v>0.10677352074679183</v>
      </c>
      <c r="G37" s="42">
        <v>0.19153102270000003</v>
      </c>
      <c r="H37" s="42">
        <v>0.455433739</v>
      </c>
    </row>
    <row r="38" spans="1:8">
      <c r="A38" s="4" t="s">
        <v>69</v>
      </c>
      <c r="B38" s="14">
        <v>303</v>
      </c>
      <c r="C38" s="13">
        <v>0.37283165262627016</v>
      </c>
      <c r="D38" s="13">
        <v>2.1399618655333907E-2</v>
      </c>
      <c r="E38" s="41">
        <v>216981.139</v>
      </c>
      <c r="F38" s="42">
        <v>0.15349189862707868</v>
      </c>
      <c r="G38" s="42">
        <v>0.2024741441</v>
      </c>
      <c r="H38" s="42">
        <v>0.49732748799999998</v>
      </c>
    </row>
    <row r="39" spans="1:8">
      <c r="A39" s="4" t="s">
        <v>70</v>
      </c>
      <c r="B39" s="14">
        <v>167</v>
      </c>
      <c r="C39" s="13">
        <v>0.8740313126580268</v>
      </c>
      <c r="D39" s="13">
        <v>3.3833007092856249E-2</v>
      </c>
      <c r="E39" s="41">
        <v>129126.11900000001</v>
      </c>
      <c r="F39" s="42">
        <v>7.8000265475072897E-2</v>
      </c>
      <c r="G39" s="42">
        <v>0.16288991670000003</v>
      </c>
      <c r="H39" s="42">
        <v>0.53450055399999996</v>
      </c>
    </row>
    <row r="40" spans="1:8">
      <c r="A40" s="4" t="s">
        <v>71</v>
      </c>
      <c r="B40" s="14">
        <v>642</v>
      </c>
      <c r="C40" s="13">
        <v>0.38960839893145355</v>
      </c>
      <c r="D40" s="13">
        <v>1.1172800839683311E-2</v>
      </c>
      <c r="E40" s="41">
        <v>772281.63500000001</v>
      </c>
      <c r="F40" s="42">
        <v>0.11451242616319603</v>
      </c>
      <c r="G40" s="42">
        <v>0.30179343749999998</v>
      </c>
      <c r="H40" s="42">
        <v>0.58694812200000002</v>
      </c>
    </row>
    <row r="41" spans="1:8">
      <c r="A41" s="4" t="s">
        <v>72</v>
      </c>
      <c r="B41" s="14">
        <v>335</v>
      </c>
      <c r="C41" s="13">
        <v>0.25052263084813337</v>
      </c>
      <c r="D41" s="13">
        <v>1.0523598745200109E-2</v>
      </c>
      <c r="E41" s="41">
        <v>653835.88699999999</v>
      </c>
      <c r="F41" s="42">
        <v>0.11380648987331038</v>
      </c>
      <c r="G41" s="42">
        <v>0.31373326769999998</v>
      </c>
      <c r="H41" s="42">
        <v>0.47697223900000002</v>
      </c>
    </row>
    <row r="42" spans="1:8">
      <c r="A42" s="4" t="s">
        <v>73</v>
      </c>
      <c r="B42" s="14">
        <v>285</v>
      </c>
      <c r="C42" s="13">
        <v>0.17603277848372309</v>
      </c>
      <c r="D42" s="13">
        <v>3.6298227595214895E-3</v>
      </c>
      <c r="E42" s="41">
        <v>262498.44500000001</v>
      </c>
      <c r="F42" s="42">
        <v>9.647599652592459E-2</v>
      </c>
      <c r="G42" s="42">
        <v>0.29171394230000003</v>
      </c>
      <c r="H42" s="42">
        <v>0.68429079000000004</v>
      </c>
    </row>
    <row r="43" spans="1:8">
      <c r="A43" s="4" t="s">
        <v>74</v>
      </c>
      <c r="B43" s="14">
        <v>160</v>
      </c>
      <c r="C43" s="13">
        <v>0.19618280763778181</v>
      </c>
      <c r="D43" s="13">
        <v>1.4806778910774665E-2</v>
      </c>
      <c r="E43" s="41">
        <v>144152.30300000001</v>
      </c>
      <c r="F43" s="42">
        <v>0.12166304282202051</v>
      </c>
      <c r="G43" s="42">
        <v>0.3497731973</v>
      </c>
      <c r="H43" s="42">
        <v>0.51333685100000004</v>
      </c>
    </row>
    <row r="44" spans="1:8">
      <c r="A44" s="4" t="s">
        <v>75</v>
      </c>
      <c r="B44" s="14">
        <v>199</v>
      </c>
      <c r="C44" s="13">
        <v>0.59840110448180694</v>
      </c>
      <c r="D44" s="13">
        <v>1.9896757315753133E-2</v>
      </c>
      <c r="E44" s="41">
        <v>301318.97700000001</v>
      </c>
      <c r="F44" s="42">
        <v>0.12244304103356878</v>
      </c>
      <c r="G44" s="42">
        <v>0.35633586420000002</v>
      </c>
      <c r="H44" s="42">
        <v>0.419237003</v>
      </c>
    </row>
    <row r="45" spans="1:8">
      <c r="A45" s="4" t="s">
        <v>76</v>
      </c>
      <c r="B45" s="14">
        <v>665</v>
      </c>
      <c r="C45" s="13">
        <v>0.53657480714066985</v>
      </c>
      <c r="D45" s="13">
        <v>1.9550762918120808E-2</v>
      </c>
      <c r="E45" s="41">
        <v>679003.07499999995</v>
      </c>
      <c r="F45" s="42">
        <v>9.6848518488454369E-2</v>
      </c>
      <c r="G45" s="42">
        <v>0.21547551500000001</v>
      </c>
      <c r="H45" s="42">
        <v>0.46982714800000003</v>
      </c>
    </row>
    <row r="46" spans="1:8">
      <c r="A46" s="4" t="s">
        <v>77</v>
      </c>
      <c r="B46" s="14">
        <v>465</v>
      </c>
      <c r="C46" s="13">
        <v>0.54330905230788629</v>
      </c>
      <c r="D46" s="13">
        <v>2.1259678437513477E-2</v>
      </c>
      <c r="E46" s="41">
        <v>898844.33700000006</v>
      </c>
      <c r="F46" s="42">
        <v>0.17587725703740384</v>
      </c>
      <c r="G46" s="42">
        <v>0.2049967647</v>
      </c>
      <c r="H46" s="42">
        <v>0.503858853</v>
      </c>
    </row>
    <row r="47" spans="1:8">
      <c r="A47" s="4" t="s">
        <v>78</v>
      </c>
      <c r="B47" s="14">
        <v>185</v>
      </c>
      <c r="C47" s="13">
        <v>0.25899570775488889</v>
      </c>
      <c r="D47" s="13">
        <v>1.025634768247773E-2</v>
      </c>
      <c r="E47" s="41">
        <v>577126.53599999996</v>
      </c>
      <c r="F47" s="42">
        <v>0.22358546137207219</v>
      </c>
      <c r="G47" s="42">
        <v>0.38946114860000003</v>
      </c>
      <c r="H47" s="42">
        <v>0.51446792699999999</v>
      </c>
    </row>
    <row r="48" spans="1:8">
      <c r="A48" s="4" t="s">
        <v>79</v>
      </c>
      <c r="B48" s="14">
        <v>233</v>
      </c>
      <c r="C48" s="13">
        <v>0.42406062531069399</v>
      </c>
      <c r="D48" s="13">
        <v>3.5124990260727434E-2</v>
      </c>
      <c r="E48" s="41">
        <v>702914.40700000001</v>
      </c>
      <c r="F48" s="42">
        <v>0.10765378729660413</v>
      </c>
      <c r="G48" s="42">
        <v>0.3100271141</v>
      </c>
      <c r="H48" s="42">
        <v>0.35049106600000002</v>
      </c>
    </row>
    <row r="49" spans="1:8">
      <c r="A49" s="4" t="s">
        <v>80</v>
      </c>
      <c r="B49" s="14">
        <v>124</v>
      </c>
      <c r="C49" s="13">
        <v>0.31697368064704001</v>
      </c>
      <c r="D49" s="13">
        <v>2.0550435464675276E-2</v>
      </c>
      <c r="E49" s="41">
        <v>1014895.18</v>
      </c>
      <c r="F49" s="42">
        <v>0.10951163324303434</v>
      </c>
      <c r="G49" s="42">
        <v>0.35398933329999999</v>
      </c>
      <c r="H49" s="42">
        <v>0.36752828999999998</v>
      </c>
    </row>
    <row r="50" spans="1:8">
      <c r="A50" s="4" t="s">
        <v>81</v>
      </c>
      <c r="B50" s="14">
        <v>220</v>
      </c>
      <c r="C50" s="13">
        <v>0.30349799141078054</v>
      </c>
      <c r="D50" s="13">
        <v>2.3397071622330651E-2</v>
      </c>
      <c r="E50" s="41">
        <v>507210.875</v>
      </c>
      <c r="F50" s="42">
        <v>0.1068535852514802</v>
      </c>
      <c r="G50" s="42">
        <v>0.3948952201</v>
      </c>
      <c r="H50" s="42">
        <v>0.37327311299999999</v>
      </c>
    </row>
    <row r="51" spans="1:8">
      <c r="A51" s="4" t="s">
        <v>82</v>
      </c>
      <c r="B51" s="14">
        <v>914</v>
      </c>
      <c r="C51" s="13">
        <v>0.45311752464335525</v>
      </c>
      <c r="D51" s="13">
        <v>2.8196039336433828E-2</v>
      </c>
      <c r="E51" s="41">
        <v>674984.31900000002</v>
      </c>
      <c r="F51" s="42">
        <v>0.12253945344029658</v>
      </c>
      <c r="G51" s="42">
        <v>0.26494112359999999</v>
      </c>
      <c r="H51" s="42">
        <v>0.47247026399999997</v>
      </c>
    </row>
    <row r="52" spans="1:8">
      <c r="A52" s="4" t="s">
        <v>83</v>
      </c>
      <c r="B52" s="14">
        <v>1272</v>
      </c>
      <c r="C52" s="13">
        <v>0.3657196264212248</v>
      </c>
      <c r="D52" s="13">
        <v>1.741450718444797E-2</v>
      </c>
      <c r="E52" s="41">
        <v>929370.08200000005</v>
      </c>
      <c r="F52" s="42">
        <v>0.1177394898984164</v>
      </c>
      <c r="G52" s="42">
        <v>0.2260349294</v>
      </c>
      <c r="H52" s="42">
        <v>0.48152978499999999</v>
      </c>
    </row>
    <row r="53" spans="1:8">
      <c r="A53" s="4" t="s">
        <v>84</v>
      </c>
      <c r="B53" s="14">
        <v>1589</v>
      </c>
      <c r="C53" s="13">
        <v>0.69851330412113499</v>
      </c>
      <c r="D53" s="13">
        <v>3.6648879139640475E-2</v>
      </c>
      <c r="E53" s="41">
        <v>994000.27</v>
      </c>
      <c r="F53" s="42">
        <v>7.9974129767812527E-2</v>
      </c>
      <c r="G53" s="42">
        <v>0.11986094799999999</v>
      </c>
      <c r="H53" s="42">
        <v>0.79339688900000005</v>
      </c>
    </row>
    <row r="54" spans="1:8">
      <c r="A54" s="4" t="s">
        <v>85</v>
      </c>
      <c r="B54" s="14">
        <v>155</v>
      </c>
      <c r="C54" s="13">
        <v>0.37551830068350317</v>
      </c>
      <c r="D54" s="13">
        <v>1.6557119372796424E-2</v>
      </c>
      <c r="E54" s="41">
        <v>48572.171999999999</v>
      </c>
      <c r="F54" s="42">
        <v>0.10966220309188451</v>
      </c>
      <c r="G54" s="42">
        <v>0.20653759260000001</v>
      </c>
      <c r="H54" s="42">
        <v>0.48072203099999999</v>
      </c>
    </row>
    <row r="55" spans="1:8">
      <c r="A55" s="4" t="s">
        <v>86</v>
      </c>
      <c r="B55" s="14">
        <v>55</v>
      </c>
      <c r="C55" s="13">
        <v>0.44940654632875066</v>
      </c>
      <c r="D55" s="13">
        <v>4.6435341679333469E-2</v>
      </c>
      <c r="E55" s="41">
        <v>2144442.0929999999</v>
      </c>
      <c r="F55" s="42">
        <v>0.1140809958954328</v>
      </c>
      <c r="G55" s="42">
        <v>0.31668239129999998</v>
      </c>
      <c r="H55" s="42">
        <v>0.40331166800000001</v>
      </c>
    </row>
    <row r="56" spans="1:8">
      <c r="A56" s="4" t="s">
        <v>87</v>
      </c>
      <c r="B56" s="14">
        <v>1140</v>
      </c>
      <c r="C56" s="13">
        <v>0.52887058248329866</v>
      </c>
      <c r="D56" s="13">
        <v>3.2550048282722593E-2</v>
      </c>
      <c r="E56" s="41">
        <v>1058249.1470000001</v>
      </c>
      <c r="F56" s="42">
        <v>8.2287554137127281E-2</v>
      </c>
      <c r="G56" s="42">
        <v>0.251158624</v>
      </c>
      <c r="H56" s="42">
        <v>0.73944126300000002</v>
      </c>
    </row>
    <row r="57" spans="1:8">
      <c r="A57" s="4" t="s">
        <v>88</v>
      </c>
      <c r="B57" s="14">
        <v>215</v>
      </c>
      <c r="C57" s="13">
        <v>1.3899163515020185</v>
      </c>
      <c r="D57" s="13">
        <v>3.4953514037705941E-2</v>
      </c>
      <c r="E57" s="41">
        <v>808999.38699999999</v>
      </c>
      <c r="F57" s="42">
        <v>9.1548760382561559E-2</v>
      </c>
      <c r="G57" s="42">
        <v>0.29971563539999996</v>
      </c>
      <c r="H57" s="42">
        <v>0.45549506699999998</v>
      </c>
    </row>
    <row r="58" spans="1:8">
      <c r="A58" s="4" t="s">
        <v>89</v>
      </c>
      <c r="B58" s="14">
        <v>586</v>
      </c>
      <c r="C58" s="13">
        <v>0.40251837812580304</v>
      </c>
      <c r="D58" s="13">
        <v>2.3822856038373065E-2</v>
      </c>
      <c r="E58" s="41">
        <v>822786.228</v>
      </c>
      <c r="F58" s="42">
        <v>9.9731273320260716E-2</v>
      </c>
      <c r="G58" s="42">
        <v>0.27770804120000003</v>
      </c>
      <c r="H58" s="42">
        <v>0.56139043399999999</v>
      </c>
    </row>
    <row r="59" spans="1:8">
      <c r="A59" s="4" t="s">
        <v>90</v>
      </c>
      <c r="B59" s="14">
        <v>398</v>
      </c>
      <c r="C59" s="13">
        <v>0.44729719781621263</v>
      </c>
      <c r="D59" s="13">
        <v>2.1293015011084215E-2</v>
      </c>
      <c r="E59" s="41">
        <v>190903.06599999999</v>
      </c>
      <c r="F59" s="42">
        <v>0.11200403997010794</v>
      </c>
      <c r="G59" s="42">
        <v>0.2049591241</v>
      </c>
      <c r="H59" s="42">
        <v>0.447211056</v>
      </c>
    </row>
    <row r="60" spans="1:8">
      <c r="A60" s="4" t="s">
        <v>91</v>
      </c>
      <c r="B60" s="14">
        <v>303</v>
      </c>
      <c r="C60" s="13">
        <v>0.73538271636643915</v>
      </c>
      <c r="D60" s="13">
        <v>2.5535278888360931E-2</v>
      </c>
      <c r="E60" s="41">
        <v>174934.622</v>
      </c>
      <c r="F60" s="42">
        <v>4.5241486391645519E-2</v>
      </c>
      <c r="G60" s="42">
        <v>0.2015307627</v>
      </c>
      <c r="H60" s="42">
        <v>0.470268994</v>
      </c>
    </row>
    <row r="61" spans="1:8">
      <c r="A61" s="4" t="s">
        <v>92</v>
      </c>
      <c r="B61" s="14">
        <v>574</v>
      </c>
      <c r="C61" s="13">
        <v>0.68516654369415853</v>
      </c>
      <c r="D61" s="13">
        <v>3.8335673236816269E-2</v>
      </c>
      <c r="E61" s="41">
        <v>1825639.4040000001</v>
      </c>
      <c r="F61" s="42">
        <v>8.1539592297955391E-2</v>
      </c>
      <c r="G61" s="42">
        <v>0.22626253089999998</v>
      </c>
      <c r="H61" s="42">
        <v>0.38212623099999998</v>
      </c>
    </row>
    <row r="62" spans="1:8">
      <c r="A62" s="4" t="s">
        <v>93</v>
      </c>
      <c r="B62" s="14">
        <v>1079</v>
      </c>
      <c r="C62" s="13">
        <v>7.5687359799999996E-3</v>
      </c>
      <c r="D62" s="13">
        <v>1.4697214999589304E-2</v>
      </c>
      <c r="E62" s="41">
        <v>254896.65900000001</v>
      </c>
      <c r="F62" s="42">
        <v>-6.3249701570192121E-2</v>
      </c>
      <c r="G62" s="42">
        <v>0.16425003939999999</v>
      </c>
      <c r="H62" s="42">
        <v>0.95828779200000003</v>
      </c>
    </row>
    <row r="63" spans="1:8">
      <c r="A63" s="4" t="s">
        <v>94</v>
      </c>
      <c r="B63" s="14">
        <v>373</v>
      </c>
      <c r="C63" s="13">
        <v>0.3778894841620325</v>
      </c>
      <c r="D63" s="13">
        <v>2.5176700668884007E-2</v>
      </c>
      <c r="E63" s="41">
        <v>273095.033</v>
      </c>
      <c r="F63" s="42">
        <v>0.13396678879643817</v>
      </c>
      <c r="G63" s="42">
        <v>0.26942289959999999</v>
      </c>
      <c r="H63" s="42">
        <v>0.52042169999999999</v>
      </c>
    </row>
    <row r="64" spans="1:8">
      <c r="A64" s="4" t="s">
        <v>95</v>
      </c>
      <c r="B64" s="14">
        <v>482</v>
      </c>
      <c r="C64" s="13">
        <v>0.69949348504228193</v>
      </c>
      <c r="D64" s="13">
        <v>3.490043053233146E-2</v>
      </c>
      <c r="E64" s="41">
        <v>1218416.2760000001</v>
      </c>
      <c r="F64" s="42">
        <v>0.10482184264055285</v>
      </c>
      <c r="G64" s="42">
        <v>0.51121415219999999</v>
      </c>
      <c r="H64" s="42">
        <v>0.29849953699999998</v>
      </c>
    </row>
    <row r="65" spans="1:8">
      <c r="A65" s="4" t="s">
        <v>96</v>
      </c>
      <c r="B65" s="14">
        <v>703</v>
      </c>
      <c r="C65" s="13">
        <v>0.37856931077307843</v>
      </c>
      <c r="D65" s="13">
        <v>4.0704399467747572E-2</v>
      </c>
      <c r="E65" s="41">
        <v>570288.804</v>
      </c>
      <c r="F65" s="42">
        <v>0.14274793138301892</v>
      </c>
      <c r="G65" s="42">
        <v>0.15183062389999999</v>
      </c>
      <c r="H65" s="42">
        <v>0.48529904200000001</v>
      </c>
    </row>
    <row r="66" spans="1:8">
      <c r="A66" s="4" t="s">
        <v>97</v>
      </c>
      <c r="B66" s="14">
        <v>449</v>
      </c>
      <c r="C66" s="13">
        <v>0.26940223435283805</v>
      </c>
      <c r="D66" s="13">
        <v>2.027079495186165E-2</v>
      </c>
      <c r="E66" s="41">
        <v>543453.41</v>
      </c>
      <c r="F66" s="42">
        <v>8.9366734492447183E-2</v>
      </c>
      <c r="G66" s="42">
        <v>0.16112248520000003</v>
      </c>
      <c r="H66" s="42">
        <v>0.49499291499999998</v>
      </c>
    </row>
    <row r="67" spans="1:8">
      <c r="A67" s="4" t="s">
        <v>98</v>
      </c>
      <c r="B67" s="14">
        <v>577</v>
      </c>
      <c r="C67" s="13">
        <v>0.40097450990873917</v>
      </c>
      <c r="D67" s="13">
        <v>2.4004433878976904E-2</v>
      </c>
      <c r="E67" s="41">
        <v>357163.56</v>
      </c>
      <c r="F67" s="42">
        <v>8.0020193293378436E-2</v>
      </c>
      <c r="G67" s="42">
        <v>0.23456833719999998</v>
      </c>
      <c r="H67" s="42">
        <v>0.43856550799999999</v>
      </c>
    </row>
    <row r="68" spans="1:8">
      <c r="A68" s="4" t="s">
        <v>99</v>
      </c>
      <c r="B68" s="14">
        <v>293</v>
      </c>
      <c r="C68" s="13">
        <v>0.42072525657178372</v>
      </c>
      <c r="D68" s="13">
        <v>1.7882076109030958E-2</v>
      </c>
      <c r="E68" s="41">
        <v>185975.51199999999</v>
      </c>
      <c r="F68" s="42">
        <v>0.11808381174664366</v>
      </c>
      <c r="G68" s="42">
        <v>0.23256669680000003</v>
      </c>
      <c r="H68" s="42">
        <v>0.491014167</v>
      </c>
    </row>
    <row r="69" spans="1:8">
      <c r="A69" s="4" t="s">
        <v>100</v>
      </c>
      <c r="B69" s="14">
        <v>40</v>
      </c>
      <c r="C69" s="13">
        <v>0.27391969389591486</v>
      </c>
      <c r="D69" s="13">
        <v>3.6590652087087221E-2</v>
      </c>
      <c r="E69" s="41">
        <v>131197.20000000001</v>
      </c>
      <c r="F69" s="42">
        <v>0.13660180756210455</v>
      </c>
      <c r="G69" s="42">
        <v>0.49314666670000001</v>
      </c>
      <c r="H69" s="42">
        <v>0.28344466400000001</v>
      </c>
    </row>
    <row r="70" spans="1:8">
      <c r="A70" s="4" t="s">
        <v>101</v>
      </c>
      <c r="B70" s="14">
        <v>306</v>
      </c>
      <c r="C70" s="13">
        <v>0.50145453141955676</v>
      </c>
      <c r="D70" s="13">
        <v>1.8379593512917531E-2</v>
      </c>
      <c r="E70" s="41">
        <v>451701.734</v>
      </c>
      <c r="F70" s="42">
        <v>0.19550871278911813</v>
      </c>
      <c r="G70" s="42">
        <v>0.29347782439999998</v>
      </c>
      <c r="H70" s="42">
        <v>0.41147605500000001</v>
      </c>
    </row>
    <row r="71" spans="1:8">
      <c r="A71" s="4" t="s">
        <v>102</v>
      </c>
      <c r="B71" s="14">
        <v>149</v>
      </c>
      <c r="C71" s="13">
        <v>0.23189289146574574</v>
      </c>
      <c r="D71" s="13">
        <v>1.127852966592411E-2</v>
      </c>
      <c r="E71" s="41">
        <v>155748.71299999999</v>
      </c>
      <c r="F71" s="42">
        <v>0.19355462327725381</v>
      </c>
      <c r="G71" s="42">
        <v>0.28950516949999999</v>
      </c>
      <c r="H71" s="42">
        <v>0.43922870400000003</v>
      </c>
    </row>
    <row r="72" spans="1:8">
      <c r="A72" s="4" t="s">
        <v>103</v>
      </c>
      <c r="B72" s="14">
        <v>50</v>
      </c>
      <c r="C72" s="13">
        <v>0.37856595118504932</v>
      </c>
      <c r="D72" s="13">
        <v>1.6894016280605655E-2</v>
      </c>
      <c r="E72" s="41">
        <v>242704.73</v>
      </c>
      <c r="F72" s="42">
        <v>0.19411526235875554</v>
      </c>
      <c r="G72" s="42">
        <v>0.2984183333</v>
      </c>
      <c r="H72" s="42">
        <v>0.35638666899999999</v>
      </c>
    </row>
    <row r="73" spans="1:8">
      <c r="A73" s="4" t="s">
        <v>104</v>
      </c>
      <c r="B73" s="14">
        <v>889</v>
      </c>
      <c r="C73" s="13">
        <v>0.36446783809657057</v>
      </c>
      <c r="D73" s="13">
        <v>2.3613436864275493E-2</v>
      </c>
      <c r="E73" s="41">
        <v>517839.777</v>
      </c>
      <c r="F73" s="42">
        <v>9.6104337213319041E-2</v>
      </c>
      <c r="G73" s="42">
        <v>0.21263404720000001</v>
      </c>
      <c r="H73" s="42">
        <v>0.49349296599999998</v>
      </c>
    </row>
    <row r="74" spans="1:8">
      <c r="A74" s="4" t="s">
        <v>105</v>
      </c>
      <c r="B74" s="14">
        <v>231</v>
      </c>
      <c r="C74" s="13">
        <v>0.40621669862513943</v>
      </c>
      <c r="D74" s="13">
        <v>1.9219220857918908E-2</v>
      </c>
      <c r="E74" s="41">
        <v>932182.74</v>
      </c>
      <c r="F74" s="42">
        <v>0.12515762431761399</v>
      </c>
      <c r="G74" s="42">
        <v>0.2588569302</v>
      </c>
      <c r="H74" s="42">
        <v>0.40138898000000001</v>
      </c>
    </row>
    <row r="75" spans="1:8">
      <c r="A75" s="4" t="s">
        <v>106</v>
      </c>
      <c r="B75" s="14">
        <v>180</v>
      </c>
      <c r="C75" s="13">
        <v>0.59227212370889626</v>
      </c>
      <c r="D75" s="13">
        <v>2.6287684934143858E-2</v>
      </c>
      <c r="E75" s="41">
        <v>444791.37699999998</v>
      </c>
      <c r="F75" s="42">
        <v>0.10176997039964354</v>
      </c>
      <c r="G75" s="42">
        <v>0.24228674850000001</v>
      </c>
      <c r="H75" s="42">
        <v>0.36412696900000002</v>
      </c>
    </row>
    <row r="76" spans="1:8">
      <c r="A76" s="4" t="s">
        <v>107</v>
      </c>
      <c r="B76" s="14">
        <v>115</v>
      </c>
      <c r="C76" s="13">
        <v>0.21123026452351329</v>
      </c>
      <c r="D76" s="13">
        <v>2.2211914141868835E-3</v>
      </c>
      <c r="E76" s="41">
        <v>328027.45199999999</v>
      </c>
      <c r="F76" s="42">
        <v>0.1151699685675653</v>
      </c>
      <c r="G76" s="42">
        <v>0.34699559520000001</v>
      </c>
      <c r="H76" s="42">
        <v>0.72032526399999997</v>
      </c>
    </row>
    <row r="77" spans="1:8">
      <c r="A77" s="4" t="s">
        <v>108</v>
      </c>
      <c r="B77" s="14">
        <v>540</v>
      </c>
      <c r="C77" s="13">
        <v>0.36008958732146323</v>
      </c>
      <c r="D77" s="13">
        <v>1.4041332768900804E-2</v>
      </c>
      <c r="E77" s="41">
        <v>995910.00300000003</v>
      </c>
      <c r="F77" s="42">
        <v>0.14046187728591597</v>
      </c>
      <c r="G77" s="42">
        <v>0.3032415551</v>
      </c>
      <c r="H77" s="42">
        <v>0.47169228099999999</v>
      </c>
    </row>
    <row r="78" spans="1:8">
      <c r="A78" s="4" t="s">
        <v>109</v>
      </c>
      <c r="B78" s="14">
        <v>89</v>
      </c>
      <c r="C78" s="13">
        <v>0.2965526528190226</v>
      </c>
      <c r="D78" s="13">
        <v>2.3020635416669353E-2</v>
      </c>
      <c r="E78" s="41">
        <v>116447.37</v>
      </c>
      <c r="F78" s="42">
        <v>0.14553338006106545</v>
      </c>
      <c r="G78" s="42">
        <v>0.1820150633</v>
      </c>
      <c r="H78" s="42">
        <v>0.437897439</v>
      </c>
    </row>
    <row r="79" spans="1:8">
      <c r="A79" s="4" t="s">
        <v>110</v>
      </c>
      <c r="B79" s="14">
        <v>564</v>
      </c>
      <c r="C79" s="13">
        <v>0.36855796807612767</v>
      </c>
      <c r="D79" s="13">
        <v>1.7006363027613245E-2</v>
      </c>
      <c r="E79" s="41">
        <v>933475.59699999995</v>
      </c>
      <c r="F79" s="42">
        <v>0.14957405645721916</v>
      </c>
      <c r="G79" s="42">
        <v>0.26701428570000002</v>
      </c>
      <c r="H79" s="42">
        <v>0.53274112399999995</v>
      </c>
    </row>
    <row r="80" spans="1:8">
      <c r="A80" s="4" t="s">
        <v>111</v>
      </c>
      <c r="B80" s="14">
        <v>259</v>
      </c>
      <c r="C80" s="13">
        <v>0.50426259475892743</v>
      </c>
      <c r="D80" s="13">
        <v>9.4320966377255486E-3</v>
      </c>
      <c r="E80" s="41">
        <v>217355.69500000001</v>
      </c>
      <c r="F80" s="42">
        <v>5.4409445834605601E-2</v>
      </c>
      <c r="G80" s="42">
        <v>0.25553329949999998</v>
      </c>
      <c r="H80" s="42">
        <v>0.57708472</v>
      </c>
    </row>
    <row r="81" spans="1:8">
      <c r="A81" s="4" t="s">
        <v>112</v>
      </c>
      <c r="B81" s="14">
        <v>354</v>
      </c>
      <c r="C81" s="13">
        <v>0.54648992862039913</v>
      </c>
      <c r="D81" s="13">
        <v>2.5207395018801853E-2</v>
      </c>
      <c r="E81" s="41">
        <v>329343.85499999998</v>
      </c>
      <c r="F81" s="42">
        <v>6.5420659554562208E-2</v>
      </c>
      <c r="G81" s="42">
        <v>0.17560124999999999</v>
      </c>
      <c r="H81" s="42">
        <v>0.49490293400000002</v>
      </c>
    </row>
    <row r="82" spans="1:8">
      <c r="A82" s="4" t="s">
        <v>113</v>
      </c>
      <c r="B82" s="14">
        <v>95</v>
      </c>
      <c r="C82" s="13">
        <v>0.43865977101248033</v>
      </c>
      <c r="D82" s="13">
        <v>1.7847816119081872E-2</v>
      </c>
      <c r="E82" s="41">
        <v>140568.97399999999</v>
      </c>
      <c r="F82" s="42">
        <v>0.15775090853596005</v>
      </c>
      <c r="G82" s="42">
        <v>0.22041347219999999</v>
      </c>
      <c r="H82" s="42">
        <v>0.49818964999999998</v>
      </c>
    </row>
    <row r="83" spans="1:8">
      <c r="A83" s="4" t="s">
        <v>114</v>
      </c>
      <c r="B83" s="14">
        <v>119</v>
      </c>
      <c r="C83" s="13">
        <v>0.18465623564230405</v>
      </c>
      <c r="D83" s="13">
        <v>7.8321265603677592E-3</v>
      </c>
      <c r="E83" s="41">
        <v>89237.857000000004</v>
      </c>
      <c r="F83" s="42">
        <v>8.3037062896852559E-2</v>
      </c>
      <c r="G83" s="42">
        <v>0.16393000000000002</v>
      </c>
      <c r="H83" s="42">
        <v>0.68738131400000002</v>
      </c>
    </row>
    <row r="84" spans="1:8">
      <c r="A84" s="4" t="s">
        <v>115</v>
      </c>
      <c r="B84" s="14">
        <v>759</v>
      </c>
      <c r="C84" s="13">
        <v>7.2180420766936898E-2</v>
      </c>
      <c r="D84" s="13">
        <v>1.7753389783166929E-3</v>
      </c>
      <c r="E84" s="41">
        <v>1196963.4339999999</v>
      </c>
      <c r="F84" s="42">
        <v>0.14780695984706091</v>
      </c>
      <c r="G84" s="42">
        <v>0.25907395160000002</v>
      </c>
      <c r="H84" s="42">
        <v>0.68759691599999995</v>
      </c>
    </row>
    <row r="85" spans="1:8">
      <c r="A85" s="4" t="s">
        <v>116</v>
      </c>
      <c r="B85" s="14">
        <v>991</v>
      </c>
      <c r="C85" s="13">
        <v>0.37913680987358728</v>
      </c>
      <c r="D85" s="13">
        <v>1.3576065970573497E-2</v>
      </c>
      <c r="E85" s="41">
        <v>1307651.388</v>
      </c>
      <c r="F85" s="42">
        <v>0.17726921945929611</v>
      </c>
      <c r="G85" s="42">
        <v>0.24860533610000002</v>
      </c>
      <c r="H85" s="42">
        <v>0.62336396800000005</v>
      </c>
    </row>
    <row r="86" spans="1:8">
      <c r="A86" s="4" t="s">
        <v>117</v>
      </c>
      <c r="B86" s="14">
        <v>757</v>
      </c>
      <c r="C86" s="13">
        <v>5.1987981362799012</v>
      </c>
      <c r="D86" s="13">
        <v>3.3864063567364704E-2</v>
      </c>
      <c r="E86" s="41">
        <v>480595.163</v>
      </c>
      <c r="F86" s="42">
        <v>6.4526865878354808E-3</v>
      </c>
      <c r="G86" s="42">
        <v>0.15362037349999999</v>
      </c>
      <c r="H86" s="42">
        <v>0.54226873399999997</v>
      </c>
    </row>
    <row r="87" spans="1:8">
      <c r="A87" s="4" t="s">
        <v>118</v>
      </c>
      <c r="B87" s="14">
        <v>117</v>
      </c>
      <c r="C87" s="13">
        <v>0.28097088677194942</v>
      </c>
      <c r="D87" s="13">
        <v>3.5202531228685698E-2</v>
      </c>
      <c r="E87" s="41">
        <v>1042636.098</v>
      </c>
      <c r="F87" s="42">
        <v>0.23023966687072336</v>
      </c>
      <c r="G87" s="42">
        <v>0.23584646459999997</v>
      </c>
      <c r="H87" s="42">
        <v>0.47570358699999998</v>
      </c>
    </row>
    <row r="88" spans="1:8">
      <c r="A88" s="4" t="s">
        <v>119</v>
      </c>
      <c r="B88" s="14">
        <v>484</v>
      </c>
      <c r="C88" s="13">
        <v>0.40948424718981352</v>
      </c>
      <c r="D88" s="13">
        <v>1.8715986357150046E-2</v>
      </c>
      <c r="E88" s="41">
        <v>587840.22600000002</v>
      </c>
      <c r="F88" s="42">
        <v>0.13721503352127734</v>
      </c>
      <c r="G88" s="42">
        <v>0.23955847460000002</v>
      </c>
      <c r="H88" s="42">
        <v>0.573845308</v>
      </c>
    </row>
    <row r="89" spans="1:8">
      <c r="A89" s="4" t="s">
        <v>120</v>
      </c>
      <c r="B89" s="14">
        <v>308</v>
      </c>
      <c r="C89" s="13">
        <v>0.61306955317245937</v>
      </c>
      <c r="D89" s="13">
        <v>4.0547375698314674E-2</v>
      </c>
      <c r="E89" s="41">
        <v>1507860.328</v>
      </c>
      <c r="F89" s="42">
        <v>0.14912462421634509</v>
      </c>
      <c r="G89" s="42">
        <v>0.23580961039999998</v>
      </c>
      <c r="H89" s="42">
        <v>0.50501837699999996</v>
      </c>
    </row>
    <row r="90" spans="1:8">
      <c r="A90" s="4" t="s">
        <v>121</v>
      </c>
      <c r="B90" s="14">
        <v>61</v>
      </c>
      <c r="C90" s="13">
        <v>0.70946162324568485</v>
      </c>
      <c r="D90" s="13">
        <v>3.8327984266435147E-2</v>
      </c>
      <c r="E90" s="41">
        <v>608195.79599999997</v>
      </c>
      <c r="F90" s="42">
        <v>0.59642417358521505</v>
      </c>
      <c r="G90" s="42">
        <v>0.26822622219999998</v>
      </c>
      <c r="H90" s="42">
        <v>0.39027808899999999</v>
      </c>
    </row>
    <row r="91" spans="1:8">
      <c r="A91" s="4" t="s">
        <v>122</v>
      </c>
      <c r="B91" s="14">
        <v>225</v>
      </c>
      <c r="C91" s="13">
        <v>0.52245975685408408</v>
      </c>
      <c r="D91" s="13">
        <v>2.5598630772262859E-2</v>
      </c>
      <c r="E91" s="41">
        <v>452280.64199999999</v>
      </c>
      <c r="F91" s="42">
        <v>0.13885518113096201</v>
      </c>
      <c r="G91" s="42">
        <v>0.22052499999999997</v>
      </c>
      <c r="H91" s="42">
        <v>0.428116779</v>
      </c>
    </row>
    <row r="92" spans="1:8">
      <c r="A92" s="4" t="s">
        <v>123</v>
      </c>
      <c r="B92" s="14">
        <v>53</v>
      </c>
      <c r="C92" s="13">
        <v>0.28436957829039944</v>
      </c>
      <c r="D92" s="13">
        <v>1.4898202480914507E-2</v>
      </c>
      <c r="E92" s="41">
        <v>548922.90599999996</v>
      </c>
      <c r="F92" s="42">
        <v>0.13832482079770206</v>
      </c>
      <c r="G92" s="42">
        <v>0.29220580000000002</v>
      </c>
      <c r="H92" s="42">
        <v>0.32268854600000002</v>
      </c>
    </row>
    <row r="93" spans="1:8">
      <c r="A93" s="4" t="s">
        <v>124</v>
      </c>
      <c r="B93" s="14">
        <v>190</v>
      </c>
      <c r="C93" s="13">
        <v>0.26026971023012624</v>
      </c>
      <c r="D93" s="13">
        <v>1.0982161462664782E-2</v>
      </c>
      <c r="E93" s="41">
        <v>146097.18</v>
      </c>
      <c r="F93" s="42">
        <v>0.10506657826775921</v>
      </c>
      <c r="G93" s="42">
        <v>0.2919376259</v>
      </c>
      <c r="H93" s="42">
        <v>0.41997893200000003</v>
      </c>
    </row>
    <row r="94" spans="1:8">
      <c r="A94" s="4" t="s">
        <v>125</v>
      </c>
      <c r="B94" s="14">
        <v>33</v>
      </c>
      <c r="C94" s="13">
        <v>4.5428241000000001E-4</v>
      </c>
      <c r="D94" s="13">
        <v>6.7055274046790058E-3</v>
      </c>
      <c r="E94" s="41">
        <v>1170.6759999999999</v>
      </c>
      <c r="F94" s="42">
        <v>-7.1469407596051249E-2</v>
      </c>
      <c r="G94" s="42">
        <v>0.1587170588</v>
      </c>
      <c r="H94" s="42">
        <v>0.58054099800000003</v>
      </c>
    </row>
    <row r="95" spans="1:8">
      <c r="A95" s="4" t="s">
        <v>126</v>
      </c>
      <c r="B95" s="14">
        <v>56</v>
      </c>
      <c r="C95" s="13">
        <v>3.5798881287999182</v>
      </c>
      <c r="D95" s="13">
        <v>4.7498181803413794E-2</v>
      </c>
      <c r="E95" s="41">
        <v>526936.97</v>
      </c>
      <c r="F95" s="42">
        <v>2.0213261887612306E-2</v>
      </c>
      <c r="G95" s="42">
        <v>0.41299365379999997</v>
      </c>
      <c r="H95" s="42">
        <v>0.32084516200000002</v>
      </c>
    </row>
    <row r="96" spans="1:8">
      <c r="A96" s="4" t="s">
        <v>127</v>
      </c>
      <c r="B96" s="14">
        <v>98</v>
      </c>
      <c r="C96" s="13">
        <v>0.55950981001967259</v>
      </c>
      <c r="D96" s="13">
        <v>2.673017248105072E-2</v>
      </c>
      <c r="E96" s="41">
        <v>120137.66099999999</v>
      </c>
      <c r="F96" s="42">
        <v>0.13686094822320669</v>
      </c>
      <c r="G96" s="42">
        <v>0.24789487499999999</v>
      </c>
      <c r="H96" s="42">
        <v>0.42616958399999999</v>
      </c>
    </row>
    <row r="97" spans="1:8">
      <c r="A97" s="43" t="s">
        <v>128</v>
      </c>
      <c r="B97" s="44">
        <v>42410</v>
      </c>
      <c r="C97" s="45">
        <v>0.54406258885053926</v>
      </c>
      <c r="D97" s="45">
        <v>3.0239106312282958E-2</v>
      </c>
      <c r="E97" s="46">
        <v>65376597.759999998</v>
      </c>
      <c r="F97" s="47">
        <v>0.11423582981209274</v>
      </c>
      <c r="G97" s="47">
        <v>0.2289871862</v>
      </c>
      <c r="H97" s="47">
        <v>0.51472308499999997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Biggest holders</vt:lpstr>
      <vt:lpstr>Beta Regression</vt:lpstr>
      <vt:lpstr>ERP</vt:lpstr>
      <vt:lpstr>Beta</vt:lpstr>
      <vt:lpstr>Cost of Debt</vt:lpstr>
      <vt:lpstr>Cost of capital</vt:lpstr>
      <vt:lpstr>ROIC &amp; EVA</vt:lpstr>
      <vt:lpstr>Debt Ratios</vt:lpstr>
      <vt:lpstr>Dividend statistics</vt:lpstr>
      <vt:lpstr>Global Betas</vt:lpstr>
      <vt:lpstr>Ratings Lookup</vt:lpstr>
      <vt:lpstr>Global Dividends</vt:lpstr>
      <vt:lpstr>Sheet1</vt:lpstr>
    </vt:vector>
  </TitlesOfParts>
  <Company>Stern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2015-07-01T22:09:49Z</dcterms:created>
  <dcterms:modified xsi:type="dcterms:W3CDTF">2015-07-30T19:21:21Z</dcterms:modified>
</cp:coreProperties>
</file>