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3E2BDE2A-1695-494D-9BD5-2E270A8479AC}" xr6:coauthVersionLast="47" xr6:coauthVersionMax="47" xr10:uidLastSave="{00000000-0000-0000-0000-000000000000}"/>
  <bookViews>
    <workbookView xWindow="1040" yWindow="1860" windowWidth="25800" windowHeight="17620" xr2:uid="{F2B0D292-82C9-6941-AB77-4A29618B5981}"/>
  </bookViews>
  <sheets>
    <sheet name="Input and Valuation Summary" sheetId="4" r:id="rId1"/>
    <sheet name="Dividends" sheetId="1" r:id="rId2"/>
    <sheet name="Potential Dividends" sheetId="2" r:id="rId3"/>
    <sheet name="Free Cash flow to firm" sheetId="3" r:id="rId4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1" i="3" l="1"/>
  <c r="B10" i="3"/>
  <c r="B8" i="3"/>
  <c r="B4" i="3"/>
  <c r="B20" i="3"/>
  <c r="B18" i="3"/>
  <c r="B7" i="2"/>
  <c r="B8" i="2"/>
  <c r="B9" i="3" s="1"/>
  <c r="B6" i="3"/>
  <c r="B19" i="2"/>
  <c r="B5" i="2"/>
  <c r="B14" i="1"/>
  <c r="B4" i="1"/>
  <c r="B3" i="2"/>
  <c r="B3" i="1"/>
  <c r="B8" i="1"/>
  <c r="B4" i="2"/>
  <c r="G5" i="3" l="1"/>
  <c r="B5" i="3" s="1"/>
  <c r="B16" i="3" s="1"/>
  <c r="B24" i="3"/>
  <c r="B20" i="2"/>
  <c r="B25" i="3" s="1"/>
  <c r="A22" i="2"/>
  <c r="A27" i="3"/>
  <c r="A20" i="2"/>
  <c r="A25" i="3" s="1"/>
  <c r="A19" i="2"/>
  <c r="A24" i="3" s="1"/>
  <c r="B13" i="2"/>
  <c r="B11" i="2"/>
  <c r="B10" i="1"/>
  <c r="B12" i="1" s="1"/>
  <c r="B17" i="1" s="1"/>
  <c r="B8" i="4" s="1"/>
  <c r="B14" i="2" l="1"/>
  <c r="B17" i="2" s="1"/>
  <c r="B22" i="2" s="1"/>
  <c r="B9" i="4" s="1"/>
  <c r="B12" i="3" l="1"/>
  <c r="B14" i="3"/>
  <c r="B17" i="3"/>
  <c r="B22" i="3"/>
  <c r="B27" i="3"/>
  <c r="B10" i="4"/>
</calcChain>
</file>

<file path=xl/sharedStrings.xml><?xml version="1.0" encoding="utf-8"?>
<sst xmlns="http://schemas.openxmlformats.org/spreadsheetml/2006/main" count="112" uniqueCount="77">
  <si>
    <t>Expected Dividends next year =</t>
  </si>
  <si>
    <t>(in billions of dollars)</t>
  </si>
  <si>
    <t>Input</t>
  </si>
  <si>
    <t>Expected Growth rate</t>
  </si>
  <si>
    <t>Risk free Rate in US $</t>
  </si>
  <si>
    <t>ERP for Saudi Arabia</t>
  </si>
  <si>
    <t>Beta for integrated oil</t>
  </si>
  <si>
    <t>Cost of Equity</t>
  </si>
  <si>
    <t xml:space="preserve">Value of Equity </t>
  </si>
  <si>
    <t>Net Income</t>
  </si>
  <si>
    <t>Expected growth in earnings =</t>
  </si>
  <si>
    <t>Imputed Payout Ratio =</t>
  </si>
  <si>
    <t>Expected return on equity =</t>
  </si>
  <si>
    <t>Operating Income</t>
  </si>
  <si>
    <t>Tax rate</t>
  </si>
  <si>
    <t xml:space="preserve">Expected growth rate </t>
  </si>
  <si>
    <t>Number of years =</t>
  </si>
  <si>
    <t>Return on invested capital (after-tax)</t>
  </si>
  <si>
    <t xml:space="preserve">Number of years </t>
  </si>
  <si>
    <t>Cost of debt Iin US$)</t>
  </si>
  <si>
    <t>Debt Ratio =</t>
  </si>
  <si>
    <t>Imputed Reinvestment Rate =</t>
  </si>
  <si>
    <t>Cost of Capital</t>
  </si>
  <si>
    <t>Value of Operating Assets</t>
  </si>
  <si>
    <t xml:space="preserve"> + Cash</t>
  </si>
  <si>
    <t xml:space="preserve"> + Cross Holdings</t>
  </si>
  <si>
    <t xml:space="preserve"> - Debt</t>
  </si>
  <si>
    <t xml:space="preserve"> - Minority Interests</t>
  </si>
  <si>
    <t>Value of Equity</t>
  </si>
  <si>
    <t>(in billions)</t>
  </si>
  <si>
    <t>Source of data</t>
  </si>
  <si>
    <t>Years of production left, given reserves and expected production</t>
  </si>
  <si>
    <t>Based on A1 rating assigned by Moody's to company</t>
  </si>
  <si>
    <t>Beta</t>
  </si>
  <si>
    <t>Inflation rate in US $, US T Bond rate minus US TIPs rate</t>
  </si>
  <si>
    <t>Value of Equity with regime change (as % of status quo value)</t>
  </si>
  <si>
    <t>Your best judgment of cumulative probability over time</t>
  </si>
  <si>
    <t>If you expect expropriate, this can be 0%</t>
  </si>
  <si>
    <t>Regime Change Adjusted Value</t>
  </si>
  <si>
    <t>Probability of regime change</t>
  </si>
  <si>
    <t>If you expect expropriation, this can be 0%</t>
  </si>
  <si>
    <t>Book Equity</t>
  </si>
  <si>
    <t>Total Debt</t>
  </si>
  <si>
    <t>Cash</t>
  </si>
  <si>
    <t>Invested Capital</t>
  </si>
  <si>
    <t>Global beta for integrated oil companies, start of 2023n(Damodaran)</t>
  </si>
  <si>
    <t>US T. Bond rate on February 14, 2023</t>
  </si>
  <si>
    <t>Based on Invested Capital on Sept 30, 2022</t>
  </si>
  <si>
    <t>A complete guess but it is definitely not zero</t>
  </si>
  <si>
    <t>Expected inflaiton rate</t>
  </si>
  <si>
    <t>Guaranteed by Saudi Government</t>
  </si>
  <si>
    <t>Dividends paid in LTM, with guarantee from prospectus</t>
  </si>
  <si>
    <t>Expected annual increase in oil prices</t>
  </si>
  <si>
    <t>Number of years of production left</t>
  </si>
  <si>
    <t>Date of valuation</t>
  </si>
  <si>
    <t>Key valuaton inputs</t>
  </si>
  <si>
    <t>Valuation Output</t>
  </si>
  <si>
    <t>Dividend Discount Value</t>
  </si>
  <si>
    <t>FCFE Value</t>
  </si>
  <si>
    <t>FCFF-based Value of Equity</t>
  </si>
  <si>
    <t>Debt Ratio in 2022</t>
  </si>
  <si>
    <t>See Dividends worksheet</t>
  </si>
  <si>
    <t>See Potential Dividends worksheet</t>
  </si>
  <si>
    <t>See Free Cash Flow to Firm worksheet</t>
  </si>
  <si>
    <t>Income Statement for LTM, Sept 30 of 2023</t>
  </si>
  <si>
    <t>Based on book equity on Sept 30, 2023</t>
  </si>
  <si>
    <t>Income Statement for LTM, ending Sept 30, 2023</t>
  </si>
  <si>
    <t>Expected inflation rate in US dollars, Feb 2024</t>
  </si>
  <si>
    <t>US T. Bond rate on February 14, 2024</t>
  </si>
  <si>
    <t>ERP for Saudi Arabia at start of 2024 (Damodaran.com)</t>
  </si>
  <si>
    <t>Global beta for integrated oil companies, start of 2024 (Damodaran)</t>
  </si>
  <si>
    <t>Prospectus, Balance Sheet for 2023</t>
  </si>
  <si>
    <t>Effective tax rate for LTM, ending Sept 30, 2023</t>
  </si>
  <si>
    <t>Balance Sheet for Sept 30, 2023</t>
  </si>
  <si>
    <t>Market Capitalization on Feb 14, 2024</t>
  </si>
  <si>
    <t>US T. Bond rate on February 1m 2023</t>
  </si>
  <si>
    <t>ERP at the start of 2024 for Saudi Arabia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</si>
</sst>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.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0"/>
      <name val="Helvetic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center"/>
    </xf>
    <xf numFmtId="44" fontId="0" fillId="0" borderId="0" xfId="0" applyNumberFormat="1"/>
    <xf numFmtId="44" fontId="0" fillId="2" borderId="1" xfId="1" applyFont="1" applyFill="1" applyBorder="1"/>
    <xf numFmtId="9" fontId="0" fillId="2" borderId="1" xfId="0" applyNumberFormat="1" applyFill="1" applyBorder="1"/>
    <xf numFmtId="0" fontId="0" fillId="0" borderId="1" xfId="0" applyBorder="1"/>
    <xf numFmtId="10" fontId="0" fillId="2" borderId="1" xfId="0" applyNumberFormat="1" applyFill="1" applyBorder="1"/>
    <xf numFmtId="0" fontId="0" fillId="2" borderId="1" xfId="0" applyFill="1" applyBorder="1"/>
    <xf numFmtId="10" fontId="0" fillId="3" borderId="1" xfId="0" applyNumberFormat="1" applyFill="1" applyBorder="1"/>
    <xf numFmtId="44" fontId="0" fillId="3" borderId="2" xfId="0" applyNumberFormat="1" applyFill="1" applyBorder="1"/>
    <xf numFmtId="10" fontId="0" fillId="2" borderId="1" xfId="2" applyNumberFormat="1" applyFont="1" applyFill="1" applyBorder="1"/>
    <xf numFmtId="44" fontId="0" fillId="3" borderId="3" xfId="0" applyNumberFormat="1" applyFill="1" applyBorder="1"/>
    <xf numFmtId="10" fontId="0" fillId="3" borderId="1" xfId="2" applyNumberFormat="1" applyFont="1" applyFill="1" applyBorder="1"/>
    <xf numFmtId="164" fontId="0" fillId="2" borderId="1" xfId="1" applyNumberFormat="1" applyFont="1" applyFill="1" applyBorder="1"/>
    <xf numFmtId="44" fontId="0" fillId="3" borderId="1" xfId="1" applyFont="1" applyFill="1" applyBorder="1"/>
    <xf numFmtId="44" fontId="0" fillId="3" borderId="1" xfId="0" applyNumberFormat="1" applyFill="1" applyBorder="1"/>
    <xf numFmtId="0" fontId="3" fillId="0" borderId="0" xfId="0" applyFont="1"/>
    <xf numFmtId="0" fontId="3" fillId="4" borderId="1" xfId="0" applyFont="1" applyFill="1" applyBorder="1"/>
    <xf numFmtId="0" fontId="0" fillId="4" borderId="1" xfId="0" applyFill="1" applyBorder="1"/>
    <xf numFmtId="0" fontId="0" fillId="0" borderId="1" xfId="0" applyBorder="1" applyAlignment="1">
      <alignment wrapText="1"/>
    </xf>
    <xf numFmtId="0" fontId="0" fillId="0" borderId="2" xfId="0" applyBorder="1"/>
    <xf numFmtId="44" fontId="0" fillId="3" borderId="4" xfId="0" applyNumberFormat="1" applyFill="1" applyBorder="1"/>
    <xf numFmtId="0" fontId="4" fillId="5" borderId="1" xfId="0" applyFont="1" applyFill="1" applyBorder="1"/>
    <xf numFmtId="0" fontId="5" fillId="0" borderId="1" xfId="0" applyFont="1" applyBorder="1"/>
    <xf numFmtId="14" fontId="5" fillId="2" borderId="1" xfId="0" applyNumberFormat="1" applyFont="1" applyFill="1" applyBorder="1"/>
    <xf numFmtId="0" fontId="5" fillId="0" borderId="0" xfId="0" applyFont="1"/>
    <xf numFmtId="10" fontId="5" fillId="2" borderId="1" xfId="0" applyNumberFormat="1" applyFont="1" applyFill="1" applyBorder="1"/>
    <xf numFmtId="0" fontId="5" fillId="2" borderId="1" xfId="0" applyFont="1" applyFill="1" applyBorder="1"/>
    <xf numFmtId="44" fontId="5" fillId="3" borderId="1" xfId="0" applyNumberFormat="1" applyFont="1" applyFill="1" applyBorder="1"/>
    <xf numFmtId="9" fontId="5" fillId="2" borderId="1" xfId="0" applyNumberFormat="1" applyFont="1" applyFill="1" applyBorder="1"/>
    <xf numFmtId="2" fontId="0" fillId="3" borderId="1" xfId="0" applyNumberFormat="1" applyFill="1" applyBorder="1"/>
    <xf numFmtId="9" fontId="0" fillId="3" borderId="1" xfId="0" applyNumberFormat="1" applyFill="1" applyBorder="1"/>
    <xf numFmtId="2" fontId="0" fillId="3" borderId="1" xfId="2" applyNumberFormat="1" applyFont="1" applyFill="1" applyBorder="1"/>
    <xf numFmtId="165" fontId="7" fillId="6" borderId="0" xfId="0" applyNumberFormat="1" applyFont="1" applyFill="1"/>
    <xf numFmtId="0" fontId="6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31239-398E-7545-9725-6B8E6341F4BF}">
  <dimension ref="A1:C12"/>
  <sheetViews>
    <sheetView tabSelected="1" workbookViewId="0">
      <selection activeCell="C16" sqref="C16"/>
    </sheetView>
  </sheetViews>
  <sheetFormatPr baseColWidth="10" defaultRowHeight="16" x14ac:dyDescent="0.2"/>
  <cols>
    <col min="1" max="1" width="38.5" customWidth="1"/>
    <col min="2" max="2" width="14.33203125" customWidth="1"/>
  </cols>
  <sheetData>
    <row r="1" spans="1:3" ht="19" x14ac:dyDescent="0.25">
      <c r="A1" s="34" t="s">
        <v>55</v>
      </c>
      <c r="B1" s="34"/>
    </row>
    <row r="2" spans="1:3" s="25" customFormat="1" ht="19" x14ac:dyDescent="0.25">
      <c r="A2" s="23" t="s">
        <v>54</v>
      </c>
      <c r="B2" s="24">
        <v>45699</v>
      </c>
    </row>
    <row r="3" spans="1:3" s="25" customFormat="1" ht="19" x14ac:dyDescent="0.25">
      <c r="A3" s="23" t="s">
        <v>52</v>
      </c>
      <c r="B3" s="26">
        <v>2.5000000000000001E-2</v>
      </c>
    </row>
    <row r="4" spans="1:3" s="25" customFormat="1" ht="19" x14ac:dyDescent="0.25">
      <c r="A4" s="23" t="s">
        <v>53</v>
      </c>
      <c r="B4" s="27">
        <v>50</v>
      </c>
    </row>
    <row r="5" spans="1:3" s="25" customFormat="1" ht="19" x14ac:dyDescent="0.25">
      <c r="A5" s="23" t="s">
        <v>39</v>
      </c>
      <c r="B5" s="29">
        <v>0.2</v>
      </c>
    </row>
    <row r="7" spans="1:3" ht="19" x14ac:dyDescent="0.25">
      <c r="A7" s="35" t="s">
        <v>56</v>
      </c>
      <c r="B7" s="35"/>
    </row>
    <row r="8" spans="1:3" ht="19" x14ac:dyDescent="0.25">
      <c r="A8" s="23" t="s">
        <v>57</v>
      </c>
      <c r="B8" s="28">
        <f>Dividends!B17</f>
        <v>2147.263203378262</v>
      </c>
      <c r="C8" t="s">
        <v>61</v>
      </c>
    </row>
    <row r="9" spans="1:3" ht="19" x14ac:dyDescent="0.25">
      <c r="A9" s="23" t="s">
        <v>58</v>
      </c>
      <c r="B9" s="28">
        <f>'Potential Dividends'!B22</f>
        <v>1390.9514488998957</v>
      </c>
      <c r="C9" t="s">
        <v>62</v>
      </c>
    </row>
    <row r="10" spans="1:3" ht="19" x14ac:dyDescent="0.25">
      <c r="A10" s="23" t="s">
        <v>59</v>
      </c>
      <c r="B10" s="28">
        <f ca="1">'Free Cash flow to firm'!B27</f>
        <v>1377.7081342928191</v>
      </c>
      <c r="C10" t="s">
        <v>63</v>
      </c>
    </row>
    <row r="12" spans="1:3" ht="19" x14ac:dyDescent="0.25">
      <c r="A12" s="25" t="s">
        <v>74</v>
      </c>
      <c r="B12" s="33">
        <v>1784</v>
      </c>
    </row>
  </sheetData>
  <mergeCells count="2">
    <mergeCell ref="A1:B1"/>
    <mergeCell ref="A7:B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FAA83-3C01-184D-8A1D-CB845DF07C79}">
  <dimension ref="A1:D17"/>
  <sheetViews>
    <sheetView workbookViewId="0">
      <selection activeCell="B2" sqref="B2"/>
    </sheetView>
  </sheetViews>
  <sheetFormatPr baseColWidth="10" defaultRowHeight="16" x14ac:dyDescent="0.2"/>
  <cols>
    <col min="1" max="1" width="29.5" customWidth="1"/>
    <col min="2" max="2" width="12.1640625" bestFit="1" customWidth="1"/>
    <col min="3" max="3" width="19.5" customWidth="1"/>
    <col min="4" max="4" width="60" customWidth="1"/>
  </cols>
  <sheetData>
    <row r="1" spans="1:4" x14ac:dyDescent="0.2">
      <c r="B1" s="1" t="s">
        <v>2</v>
      </c>
      <c r="D1" s="16" t="s">
        <v>30</v>
      </c>
    </row>
    <row r="2" spans="1:4" x14ac:dyDescent="0.2">
      <c r="A2" t="s">
        <v>0</v>
      </c>
      <c r="B2" s="3">
        <v>122.62</v>
      </c>
      <c r="C2" t="s">
        <v>1</v>
      </c>
      <c r="D2" s="18" t="s">
        <v>51</v>
      </c>
    </row>
    <row r="3" spans="1:4" x14ac:dyDescent="0.2">
      <c r="A3" t="s">
        <v>3</v>
      </c>
      <c r="B3" s="8">
        <f>'Input and Valuation Summary'!B3</f>
        <v>2.5000000000000001E-2</v>
      </c>
      <c r="D3" s="18" t="s">
        <v>34</v>
      </c>
    </row>
    <row r="4" spans="1:4" x14ac:dyDescent="0.2">
      <c r="A4" t="s">
        <v>16</v>
      </c>
      <c r="B4" s="30">
        <f>'Input and Valuation Summary'!B4</f>
        <v>50</v>
      </c>
      <c r="D4" s="18" t="s">
        <v>31</v>
      </c>
    </row>
    <row r="6" spans="1:4" x14ac:dyDescent="0.2">
      <c r="A6" t="s">
        <v>4</v>
      </c>
      <c r="B6" s="6">
        <v>4.4900000000000002E-2</v>
      </c>
      <c r="D6" s="18" t="s">
        <v>75</v>
      </c>
    </row>
    <row r="7" spans="1:4" x14ac:dyDescent="0.2">
      <c r="A7" t="s">
        <v>5</v>
      </c>
      <c r="B7" s="6">
        <v>5.1299999999999998E-2</v>
      </c>
      <c r="D7" s="18" t="s">
        <v>76</v>
      </c>
    </row>
    <row r="8" spans="1:4" x14ac:dyDescent="0.2">
      <c r="A8" t="s">
        <v>33</v>
      </c>
      <c r="B8" s="7">
        <f>0.5</f>
        <v>0.5</v>
      </c>
      <c r="D8" s="18" t="s">
        <v>50</v>
      </c>
    </row>
    <row r="10" spans="1:4" x14ac:dyDescent="0.2">
      <c r="A10" t="s">
        <v>7</v>
      </c>
      <c r="B10" s="8">
        <f>B6+B8*B7</f>
        <v>7.0550000000000002E-2</v>
      </c>
    </row>
    <row r="11" spans="1:4" ht="17" thickBot="1" x14ac:dyDescent="0.25">
      <c r="D11" s="2"/>
    </row>
    <row r="12" spans="1:4" ht="17" thickBot="1" x14ac:dyDescent="0.25">
      <c r="A12" t="s">
        <v>8</v>
      </c>
      <c r="B12" s="9">
        <f>B2*(1-((1+B3)^B4)/((1+B10)^B4))/(B10-B3)</f>
        <v>2385.8480037536242</v>
      </c>
      <c r="C12" t="s">
        <v>29</v>
      </c>
      <c r="D12" s="2"/>
    </row>
    <row r="14" spans="1:4" x14ac:dyDescent="0.2">
      <c r="A14" s="5" t="s">
        <v>39</v>
      </c>
      <c r="B14" s="31">
        <f>'Input and Valuation Summary'!B5</f>
        <v>0.2</v>
      </c>
      <c r="D14" s="18" t="s">
        <v>36</v>
      </c>
    </row>
    <row r="15" spans="1:4" ht="34" x14ac:dyDescent="0.2">
      <c r="A15" s="19" t="s">
        <v>35</v>
      </c>
      <c r="B15" s="4">
        <v>0.5</v>
      </c>
      <c r="D15" s="18" t="s">
        <v>37</v>
      </c>
    </row>
    <row r="16" spans="1:4" ht="17" thickBot="1" x14ac:dyDescent="0.25"/>
    <row r="17" spans="1:2" ht="17" thickBot="1" x14ac:dyDescent="0.25">
      <c r="A17" s="20" t="s">
        <v>38</v>
      </c>
      <c r="B17" s="9">
        <f>B12*(1-B14)+B14*B15*B12</f>
        <v>2147.263203378262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C68BC-9444-8A48-8BF6-3E3868B2815C}">
  <dimension ref="A1:D22"/>
  <sheetViews>
    <sheetView workbookViewId="0">
      <selection activeCell="B10" sqref="B10"/>
    </sheetView>
  </sheetViews>
  <sheetFormatPr baseColWidth="10" defaultRowHeight="16" x14ac:dyDescent="0.2"/>
  <cols>
    <col min="1" max="1" width="53.33203125" bestFit="1" customWidth="1"/>
    <col min="2" max="2" width="10.33203125" customWidth="1"/>
    <col min="4" max="4" width="55.1640625" customWidth="1"/>
  </cols>
  <sheetData>
    <row r="1" spans="1:4" x14ac:dyDescent="0.2">
      <c r="B1" t="s">
        <v>2</v>
      </c>
      <c r="D1" s="16" t="s">
        <v>30</v>
      </c>
    </row>
    <row r="2" spans="1:4" x14ac:dyDescent="0.2">
      <c r="A2" t="s">
        <v>9</v>
      </c>
      <c r="B2" s="3">
        <v>109.37</v>
      </c>
      <c r="C2" t="s">
        <v>29</v>
      </c>
      <c r="D2" s="18" t="s">
        <v>64</v>
      </c>
    </row>
    <row r="3" spans="1:4" x14ac:dyDescent="0.2">
      <c r="A3" t="s">
        <v>10</v>
      </c>
      <c r="B3" s="6">
        <f>'Input and Valuation Summary'!B3</f>
        <v>2.5000000000000001E-2</v>
      </c>
      <c r="D3" s="18" t="s">
        <v>49</v>
      </c>
    </row>
    <row r="4" spans="1:4" x14ac:dyDescent="0.2">
      <c r="A4" t="s">
        <v>12</v>
      </c>
      <c r="B4" s="12">
        <f>B2/'Free Cash flow to firm'!G2</f>
        <v>0.24246790963708517</v>
      </c>
      <c r="D4" s="18" t="s">
        <v>65</v>
      </c>
    </row>
    <row r="5" spans="1:4" x14ac:dyDescent="0.2">
      <c r="A5" t="s">
        <v>16</v>
      </c>
      <c r="B5" s="7">
        <f>'Input and Valuation Summary'!B4</f>
        <v>50</v>
      </c>
      <c r="D5" s="18" t="s">
        <v>31</v>
      </c>
    </row>
    <row r="7" spans="1:4" x14ac:dyDescent="0.2">
      <c r="A7" t="s">
        <v>4</v>
      </c>
      <c r="B7" s="6">
        <f>Dividends!B6</f>
        <v>4.4900000000000002E-2</v>
      </c>
      <c r="D7" s="18" t="s">
        <v>46</v>
      </c>
    </row>
    <row r="8" spans="1:4" x14ac:dyDescent="0.2">
      <c r="A8" t="s">
        <v>5</v>
      </c>
      <c r="B8" s="10">
        <f>Dividends!B7</f>
        <v>5.1299999999999998E-2</v>
      </c>
      <c r="D8" s="18" t="s">
        <v>69</v>
      </c>
    </row>
    <row r="9" spans="1:4" x14ac:dyDescent="0.2">
      <c r="A9" t="s">
        <v>6</v>
      </c>
      <c r="B9" s="7">
        <v>0.87</v>
      </c>
      <c r="D9" s="18" t="s">
        <v>70</v>
      </c>
    </row>
    <row r="11" spans="1:4" x14ac:dyDescent="0.2">
      <c r="A11" t="s">
        <v>7</v>
      </c>
      <c r="B11" s="8">
        <f>B7+B9*B8</f>
        <v>8.9530999999999999E-2</v>
      </c>
    </row>
    <row r="13" spans="1:4" x14ac:dyDescent="0.2">
      <c r="A13" t="s">
        <v>11</v>
      </c>
      <c r="B13" s="12">
        <f>1-B3/B4</f>
        <v>0.89689357227758981</v>
      </c>
    </row>
    <row r="14" spans="1:4" ht="17" thickBot="1" x14ac:dyDescent="0.25">
      <c r="A14" t="s">
        <v>8</v>
      </c>
      <c r="B14" s="11">
        <f>B2*B13*(1-((1+B3)^B5/(1+B11)^B5))/(B11-B3)</f>
        <v>1448.3016098887729</v>
      </c>
      <c r="C14" t="s">
        <v>29</v>
      </c>
    </row>
    <row r="15" spans="1:4" x14ac:dyDescent="0.2">
      <c r="A15" s="5" t="s">
        <v>24</v>
      </c>
      <c r="B15" s="3">
        <v>69.48</v>
      </c>
      <c r="D15" s="22" t="s">
        <v>64</v>
      </c>
    </row>
    <row r="16" spans="1:4" x14ac:dyDescent="0.2">
      <c r="A16" s="5" t="s">
        <v>25</v>
      </c>
      <c r="B16" s="3">
        <v>27.72</v>
      </c>
      <c r="D16" s="18" t="s">
        <v>73</v>
      </c>
    </row>
    <row r="17" spans="1:4" x14ac:dyDescent="0.2">
      <c r="A17" s="5" t="s">
        <v>28</v>
      </c>
      <c r="B17" s="15">
        <f>B14+B15+B16</f>
        <v>1545.5016098887729</v>
      </c>
    </row>
    <row r="19" spans="1:4" x14ac:dyDescent="0.2">
      <c r="A19" s="5" t="str">
        <f>Dividends!A14</f>
        <v>Probability of regime change</v>
      </c>
      <c r="B19" s="12">
        <f>'Input and Valuation Summary'!B5</f>
        <v>0.2</v>
      </c>
      <c r="D19" s="18" t="s">
        <v>36</v>
      </c>
    </row>
    <row r="20" spans="1:4" x14ac:dyDescent="0.2">
      <c r="A20" s="5" t="str">
        <f>Dividends!A15</f>
        <v>Value of Equity with regime change (as % of status quo value)</v>
      </c>
      <c r="B20" s="10">
        <f>Dividends!B15</f>
        <v>0.5</v>
      </c>
      <c r="D20" s="18" t="s">
        <v>37</v>
      </c>
    </row>
    <row r="21" spans="1:4" ht="17" thickBot="1" x14ac:dyDescent="0.25"/>
    <row r="22" spans="1:4" ht="17" thickBot="1" x14ac:dyDescent="0.25">
      <c r="A22" s="5" t="str">
        <f>Dividends!A17</f>
        <v>Regime Change Adjusted Value</v>
      </c>
      <c r="B22" s="9">
        <f>B17*(1-B19)+B19*B20*B17</f>
        <v>1390.9514488998957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5D144-66BC-BF45-B201-52290500B223}">
  <dimension ref="A1:G27"/>
  <sheetViews>
    <sheetView workbookViewId="0">
      <selection activeCell="D30" sqref="D30"/>
    </sheetView>
  </sheetViews>
  <sheetFormatPr baseColWidth="10" defaultRowHeight="16" x14ac:dyDescent="0.2"/>
  <cols>
    <col min="1" max="1" width="32.83203125" customWidth="1"/>
    <col min="2" max="2" width="14" bestFit="1" customWidth="1"/>
    <col min="4" max="4" width="60.33203125" customWidth="1"/>
    <col min="6" max="6" width="21" customWidth="1"/>
  </cols>
  <sheetData>
    <row r="1" spans="1:7" x14ac:dyDescent="0.2">
      <c r="B1" s="16" t="s">
        <v>2</v>
      </c>
      <c r="D1" s="17" t="s">
        <v>30</v>
      </c>
      <c r="F1" s="36" t="s">
        <v>44</v>
      </c>
      <c r="G1" s="36"/>
    </row>
    <row r="2" spans="1:7" x14ac:dyDescent="0.2">
      <c r="A2" s="5" t="s">
        <v>13</v>
      </c>
      <c r="B2" s="13">
        <v>214.43</v>
      </c>
      <c r="C2" t="s">
        <v>29</v>
      </c>
      <c r="D2" s="18" t="s">
        <v>66</v>
      </c>
      <c r="F2" s="5" t="s">
        <v>41</v>
      </c>
      <c r="G2" s="3">
        <v>451.07</v>
      </c>
    </row>
    <row r="3" spans="1:7" x14ac:dyDescent="0.2">
      <c r="A3" s="5" t="s">
        <v>14</v>
      </c>
      <c r="B3" s="10">
        <v>0.49</v>
      </c>
      <c r="D3" s="18" t="s">
        <v>72</v>
      </c>
      <c r="F3" s="5" t="s">
        <v>42</v>
      </c>
      <c r="G3" s="3">
        <v>80.959999999999994</v>
      </c>
    </row>
    <row r="4" spans="1:7" x14ac:dyDescent="0.2">
      <c r="A4" s="5" t="s">
        <v>15</v>
      </c>
      <c r="B4" s="12">
        <f>'Potential Dividends'!B3</f>
        <v>2.5000000000000001E-2</v>
      </c>
      <c r="D4" s="18" t="s">
        <v>67</v>
      </c>
      <c r="F4" s="5" t="s">
        <v>43</v>
      </c>
      <c r="G4" s="3">
        <v>69.48</v>
      </c>
    </row>
    <row r="5" spans="1:7" x14ac:dyDescent="0.2">
      <c r="A5" s="5" t="s">
        <v>17</v>
      </c>
      <c r="B5" s="12">
        <f>B2*(1-B4)/G5</f>
        <v>0.45199275753972551</v>
      </c>
      <c r="D5" s="18" t="s">
        <v>47</v>
      </c>
      <c r="F5" s="18" t="s">
        <v>44</v>
      </c>
      <c r="G5" s="14">
        <f>G2+G3-G4</f>
        <v>462.54999999999995</v>
      </c>
    </row>
    <row r="6" spans="1:7" x14ac:dyDescent="0.2">
      <c r="A6" s="5" t="s">
        <v>18</v>
      </c>
      <c r="B6" s="32">
        <f>'Input and Valuation Summary'!B4</f>
        <v>50</v>
      </c>
      <c r="D6" s="18" t="s">
        <v>31</v>
      </c>
    </row>
    <row r="7" spans="1:7" x14ac:dyDescent="0.2">
      <c r="D7" s="18"/>
    </row>
    <row r="8" spans="1:7" x14ac:dyDescent="0.2">
      <c r="A8" s="5" t="s">
        <v>4</v>
      </c>
      <c r="B8" s="6">
        <f>Dividends!B6</f>
        <v>4.4900000000000002E-2</v>
      </c>
      <c r="D8" s="18" t="s">
        <v>68</v>
      </c>
    </row>
    <row r="9" spans="1:7" x14ac:dyDescent="0.2">
      <c r="A9" s="5" t="s">
        <v>5</v>
      </c>
      <c r="B9" s="6">
        <f>'Potential Dividends'!B8</f>
        <v>5.1299999999999998E-2</v>
      </c>
      <c r="D9" s="18" t="s">
        <v>69</v>
      </c>
    </row>
    <row r="10" spans="1:7" x14ac:dyDescent="0.2">
      <c r="A10" s="5" t="s">
        <v>6</v>
      </c>
      <c r="B10" s="7">
        <f>'Potential Dividends'!B9</f>
        <v>0.87</v>
      </c>
      <c r="D10" s="18" t="s">
        <v>45</v>
      </c>
    </row>
    <row r="11" spans="1:7" x14ac:dyDescent="0.2">
      <c r="A11" s="5" t="s">
        <v>19</v>
      </c>
      <c r="B11" s="6">
        <f>B8+0.4%</f>
        <v>4.8899999999999999E-2</v>
      </c>
      <c r="D11" s="18" t="s">
        <v>32</v>
      </c>
    </row>
    <row r="12" spans="1:7" x14ac:dyDescent="0.2">
      <c r="A12" s="5" t="s">
        <v>20</v>
      </c>
      <c r="B12" s="10">
        <f ca="1">G3/(B27-G3)</f>
        <v>6.2433095416907225E-2</v>
      </c>
      <c r="D12" s="18" t="s">
        <v>60</v>
      </c>
    </row>
    <row r="14" spans="1:7" x14ac:dyDescent="0.2">
      <c r="A14" s="5" t="s">
        <v>22</v>
      </c>
      <c r="B14" s="8">
        <f ca="1">B8+B10*B9*(1-B12)+B11*(1-0.2)*B12</f>
        <v>8.9186931211157422E-2</v>
      </c>
    </row>
    <row r="16" spans="1:7" x14ac:dyDescent="0.2">
      <c r="A16" s="5" t="s">
        <v>21</v>
      </c>
      <c r="B16" s="12">
        <f>B4/B5</f>
        <v>5.5310620763216009E-2</v>
      </c>
    </row>
    <row r="17" spans="1:4" x14ac:dyDescent="0.2">
      <c r="A17" s="5" t="s">
        <v>23</v>
      </c>
      <c r="B17" s="14">
        <f ca="1">B2*(1-B3)*(1-B16)*(1+B4)*(1-((1+B4)^B6/(1+B14)^B6))/(B14-B4)</f>
        <v>1570.6068158809098</v>
      </c>
      <c r="C17" t="s">
        <v>29</v>
      </c>
    </row>
    <row r="18" spans="1:4" x14ac:dyDescent="0.2">
      <c r="A18" s="5" t="s">
        <v>24</v>
      </c>
      <c r="B18" s="14">
        <f>G4</f>
        <v>69.48</v>
      </c>
      <c r="C18" t="s">
        <v>29</v>
      </c>
      <c r="D18" s="18" t="s">
        <v>71</v>
      </c>
    </row>
    <row r="19" spans="1:4" x14ac:dyDescent="0.2">
      <c r="A19" s="5" t="s">
        <v>25</v>
      </c>
      <c r="B19" s="3">
        <v>27.49</v>
      </c>
      <c r="C19" t="s">
        <v>29</v>
      </c>
      <c r="D19" s="18" t="s">
        <v>71</v>
      </c>
    </row>
    <row r="20" spans="1:4" x14ac:dyDescent="0.2">
      <c r="A20" s="5" t="s">
        <v>26</v>
      </c>
      <c r="B20" s="14">
        <f>G3</f>
        <v>80.959999999999994</v>
      </c>
      <c r="C20" t="s">
        <v>29</v>
      </c>
      <c r="D20" s="18" t="s">
        <v>71</v>
      </c>
    </row>
    <row r="21" spans="1:4" x14ac:dyDescent="0.2">
      <c r="A21" s="5" t="s">
        <v>27</v>
      </c>
      <c r="B21" s="3">
        <v>55.83</v>
      </c>
      <c r="C21" t="s">
        <v>29</v>
      </c>
      <c r="D21" s="18" t="s">
        <v>71</v>
      </c>
    </row>
    <row r="22" spans="1:4" x14ac:dyDescent="0.2">
      <c r="A22" s="5" t="s">
        <v>28</v>
      </c>
      <c r="B22" s="15">
        <f ca="1">B17+B18+B19-B20-B21</f>
        <v>1530.7868158809099</v>
      </c>
      <c r="C22" t="s">
        <v>29</v>
      </c>
    </row>
    <row r="24" spans="1:4" x14ac:dyDescent="0.2">
      <c r="A24" s="5" t="str">
        <f>'Potential Dividends'!A19</f>
        <v>Probability of regime change</v>
      </c>
      <c r="B24" s="8">
        <f>'Potential Dividends'!B19</f>
        <v>0.2</v>
      </c>
      <c r="D24" s="18" t="s">
        <v>48</v>
      </c>
    </row>
    <row r="25" spans="1:4" ht="34" x14ac:dyDescent="0.2">
      <c r="A25" s="19" t="str">
        <f>'Potential Dividends'!A20</f>
        <v>Value of Equity with regime change (as % of status quo value)</v>
      </c>
      <c r="B25" s="6">
        <f>'Potential Dividends'!B20</f>
        <v>0.5</v>
      </c>
      <c r="D25" s="18" t="s">
        <v>40</v>
      </c>
    </row>
    <row r="26" spans="1:4" ht="17" thickBot="1" x14ac:dyDescent="0.25"/>
    <row r="27" spans="1:4" ht="17" thickBot="1" x14ac:dyDescent="0.25">
      <c r="A27" s="5" t="str">
        <f>'Potential Dividends'!A22</f>
        <v>Regime Change Adjusted Value</v>
      </c>
      <c r="B27" s="21">
        <f ca="1">B22*(1-B24)+B24*B25*B22</f>
        <v>1377.7081342928191</v>
      </c>
    </row>
  </sheetData>
  <mergeCells count="1">
    <mergeCell ref="F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Input and Valuation Summary</vt:lpstr>
      <vt:lpstr>Dividends</vt:lpstr>
      <vt:lpstr>Potential Dividends</vt:lpstr>
      <vt:lpstr>Free Cash flow to firm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2019-11-15T22:59:24Z</dcterms:created>
  <dcterms:modified xsi:type="dcterms:W3CDTF">2025-02-10T00:31:11Z</dcterms:modified>
</cp:coreProperties>
</file>