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8_{F3660E15-303C-4647-9141-5A108CF1EA01}" xr6:coauthVersionLast="47" xr6:coauthVersionMax="47" xr10:uidLastSave="{00000000-0000-0000-0000-000000000000}"/>
  <bookViews>
    <workbookView xWindow="-6100" yWindow="-33120" windowWidth="38440" windowHeight="2570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07" i="4" l="1"/>
  <c r="F91" i="2"/>
  <c r="E91" i="2"/>
  <c r="D91" i="2"/>
  <c r="C91" i="2"/>
  <c r="B91" i="2"/>
  <c r="H124" i="8"/>
  <c r="I124" i="8"/>
  <c r="J124" i="8"/>
  <c r="K124" i="8" s="1"/>
  <c r="L124" i="8"/>
  <c r="M124" i="8"/>
  <c r="N124" i="8"/>
  <c r="O124" i="8"/>
  <c r="P124" i="8"/>
  <c r="Q124" i="8"/>
  <c r="U124" i="8" s="1"/>
  <c r="R124" i="8"/>
  <c r="T124" i="8" l="1"/>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H45" i="1"/>
  <c r="H44" i="1"/>
  <c r="P204" i="4"/>
  <c r="H121" i="8"/>
  <c r="I121" i="8"/>
  <c r="J121" i="8"/>
  <c r="K121" i="8" s="1"/>
  <c r="L121" i="8"/>
  <c r="M121" i="8"/>
  <c r="N121" i="8"/>
  <c r="O121" i="8"/>
  <c r="P121" i="8"/>
  <c r="T121" i="8" s="1"/>
  <c r="Q121" i="8"/>
  <c r="U121" i="8" s="1"/>
  <c r="R121" i="8"/>
  <c r="U123" i="8" l="1"/>
  <c r="T123" i="8"/>
  <c r="M123" i="8"/>
  <c r="L123" i="8"/>
  <c r="R123" i="8" s="1"/>
  <c r="S121" i="8"/>
  <c r="P203" i="4"/>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<sst xmlns="http://schemas.openxmlformats.org/spreadsheetml/2006/main" count="450" uniqueCount="319">
  <si>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</si>
  <si>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</si>
  <si>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</si>
  <si>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</si>
  <si>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</si>
  <si>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</si>
  <si>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</si>
  <si>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</si>
  <si>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</si>
  <si>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</si>
  <si>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</si>
  <si>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</si>
  <si>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</si>
  <si>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</si>
  <si>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</si>
  <si>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</si>
  <si>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</si>
  <si>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</si>
  <si>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</si>
  <si>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</si>
  <si>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</si>
  <si>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</si>
  <si>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</si>
  <si>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</si>
  <si>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</si>
  <si>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</si>
  <si>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</si>
  <si>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</si>
  <si>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</si>
  <si>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</si>
  <si>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</si>
  <si>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</si>
  <si>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</si>
  <si>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</si>
  <si>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</si>
  <si>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</si>
  <si>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</si>
  <si>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</si>
  <si>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</si>
  <si>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</si>
  <si>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</si>
  <si>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</si>
  <si>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</si>
  <si>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</si>
  <si>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</si>
  <si>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</si>
  <si>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</si>
  <si>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</si>
  <si>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</si>
  <si>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</si>
  <si>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</si>
  <si>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</si>
  <si>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</si>
  <si>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</si>
  <si>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</si>
  <si>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</si>
  <si>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</si>
  <si>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</si>
  <si>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</si>
  <si>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</si>
  <si>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</si>
  <si>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</si>
  <si>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</si>
  <si>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</si>
  <si>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</si>
  <si>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</si>
  <si>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</si>
  <si>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</si>
  <si>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</si>
  <si>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</si>
  <si>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</si>
  <si>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</si>
  <si>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</si>
  <si>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</si>
  <si>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</si>
  <si>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</si>
  <si>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</si>
  <si>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</si>
  <si>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</si>
  <si>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</si>
  <si>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</si>
  <si>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</si>
  <si>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</si>
  <si>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</si>
  <si>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</si>
  <si>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</si>
  <si>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</si>
  <si>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</si>
  <si>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</si>
  <si>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</si>
  <si>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</si>
  <si>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</si>
  <si>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</si>
  <si>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</si>
  <si>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</si>
  <si>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</si>
  <si>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</si>
  <si>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</si>
  <si>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</si>
  <si>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</si>
  <si>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</si>
  <si>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</si>
  <si>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</si>
  <si>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</si>
  <si>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</si>
  <si>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</si>
  <si>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</si>
  <si>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</si>
  <si>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</si>
  <si>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</si>
  <si>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</si>
  <si>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</si>
  <si>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</si>
  <si>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</si>
  <si>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</si>
  <si>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</si>
  <si>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</si>
  <si>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</si>
  <si>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</si>
  <si>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</si>
  <si>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</si>
  <si>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</si>
  <si>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</si>
  <si>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</si>
  <si>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</si>
  <si>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</si>
  <si>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</si>
  <si>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</si>
  <si>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</si>
  <si>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</si>
  <si>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</si>
  <si>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</si>
  <si>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</si>
  <si>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</si>
  <si>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</si>
  <si>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</si>
  <si>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</si>
  <si>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</si>
  <si>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</si>
  <si>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</si>
  <si>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</si>
  <si>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</si>
  <si>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</si>
  <si>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</si>
  <si>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</si>
  <si>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</si>
  <si>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</si>
  <si>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</si>
  <si>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</si>
  <si>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</si>
  <si>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</si>
  <si>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</si>
  <si>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</si>
  <si>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</si>
  <si>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</si>
  <si>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</si>
  <si>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</si>
  <si>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</si>
  <si>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</si>
  <si>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</si>
  <si>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</si>
  <si>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</si>
  <si>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</si>
  <si>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</si>
  <si>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</si>
  <si>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</si>
  <si>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</si>
  <si>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</si>
  <si>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</si>
  <si>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</si>
  <si>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</si>
  <si>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</si>
  <si>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</si>
  <si>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</si>
  <si>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</si>
  <si>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</si>
  <si>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</si>
  <si>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</si>
  <si>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</si>
  <si>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</si>
  <si>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</si>
  <si>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</si>
  <si>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</si>
  <si>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</si>
  <si>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</si>
  <si>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</si>
  <si>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</si>
  <si>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</si>
  <si>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</si>
  <si>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</si>
  <si>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</si>
  <si>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</si>
  <si>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</si>
  <si>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</si>
  <si>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</si>
  <si>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</si>
  <si>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</si>
  <si>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</si>
  <si>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</si>
  <si>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</si>
  <si>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</si>
  <si>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</si>
  <si>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</si>
  <si>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</si>
  <si>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</si>
  <si>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</si>
  <si>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</si>
  <si>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</si>
  <si>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</si>
  <si>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</si>
  <si>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</si>
  <si>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</si>
  <si>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</si>
  <si>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</si>
  <si>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</si>
  <si>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</si>
  <si>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</si>
  <si>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</si>
  <si>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</si>
  <si>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</si>
  <si>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</si>
  <si>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</si>
  <si>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</si>
  <si>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</si>
  <si>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</si>
  <si>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</si>
  <si>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</si>
  <si>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</si>
  <si>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</si>
  <si>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</si>
  <si>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</si>
  <si>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</si>
  <si>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</si>
  <si>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</si>
  <si>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</si>
  <si>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</si>
  <si>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</si>
  <si>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</si>
  <si>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</si>
  <si>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</si>
  <si>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</si>
  <si>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</si>
  <si>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</si>
  <si>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</si>
  <si>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</si>
  <si>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</si>
  <si>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</si>
  <si>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</si>
  <si>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</si>
  <si>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</si>
  <si>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</si>
  <si>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</si>
  <si>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</si>
  <si>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</si>
  <si>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</si>
  <si>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</si>
  <si>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</si>
  <si>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</si>
  <si>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</si>
  <si>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</si>
  <si>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</si>
  <si>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</si>
  <si>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</si>
  <si>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</si>
  <si>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</si>
  <si>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</si>
  <si>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</si>
  <si>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</si>
  <si>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</si>
  <si>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</si>
  <si>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</si>
  <si>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</si>
  <si>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</si>
  <si>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</si>
  <si>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</si>
  <si>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</si>
  <si>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</si>
  <si>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</si>
  <si>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</si>
  <si>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</si>
  <si>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</si>
  <si>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</si>
  <si>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</si>
  <si>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</si>
  <si>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</si>
  <si>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</si>
  <si>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</si>
  <si>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</si>
  <si>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</si>
  <si>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</si>
  <si>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</si>
  <si>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</si>
  <si>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</si>
  <si>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</si>
  <si>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</si>
  <si>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</si>
  <si>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</si>
  <si>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</si>
  <si>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</si>
  <si>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</si>
  <si>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</si>
  <si>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</si>
  <si>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r>
      <rPr>
        <b/>
        <sz val="12"/>
        <rFont val="Calibri (Body)"/>
      </rPr>
      <t>May 2025 Update</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</si>
  <si>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</si>
  <si>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</si>
  <si>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</si>
  <si>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</si>
  <si>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</si>
  <si>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</si>
  <si>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</si>
  <si>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</si>
  <si>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</si>
  <si>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</si>
  <si>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Default-adj US dollar riskfree rate =</t>
  </si>
  <si>
    <t>US 10-year Treasury rate =</t>
  </si>
  <si>
    <t>175.51*</t>
  </si>
  <si>
    <r>
      <t>Updated growth,</t>
    </r>
    <r>
      <rPr>
        <b/>
        <sz val="10"/>
        <color rgb="FFFF0000"/>
        <rFont val="Geneva"/>
        <family val="2"/>
      </rPr>
      <t xml:space="preserve"> fixed error on normalized earnings</t>
    </r>
  </si>
  <si>
    <t>Updated October 1, 2025</t>
  </si>
  <si>
    <t>Top-down Estimates (Analyst Consensus on 9/25/25)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</si>
</sst>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7">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4" xfId="0" applyFont="1" applyBorder="1" applyAlignment="1">
      <alignment horizontal="center" vertical="center"/>
    </xf>
    <xf numFmtId="0" fontId="27" fillId="0" borderId="3" xfId="0" applyFont="1" applyBorder="1" applyAlignment="1">
      <alignment horizontal="center" vertical="center"/>
    </xf>
    <xf numFmtId="10" fontId="27" fillId="0" borderId="15" xfId="0" applyNumberFormat="1" applyFont="1" applyBorder="1" applyAlignment="1">
      <alignment horizontal="center" vertical="center"/>
    </xf>
    <xf numFmtId="0" fontId="26" fillId="0" borderId="16"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0" fontId="0" fillId="9" borderId="1" xfId="0" applyFill="1" applyBorder="1"/>
    <xf numFmtId="0" fontId="25" fillId="0" borderId="15" xfId="0" applyFont="1" applyBorder="1" applyAlignment="1">
      <alignment horizontal="center" wrapText="1"/>
    </xf>
    <xf numFmtId="0" fontId="49" fillId="8" borderId="23" xfId="0" applyFont="1" applyFill="1" applyBorder="1" applyAlignment="1">
      <alignment horizontal="center" wrapText="1"/>
    </xf>
    <xf numFmtId="0" fontId="25" fillId="0" borderId="14" xfId="0" applyFont="1" applyBorder="1" applyAlignment="1">
      <alignment horizontal="center" wrapText="1"/>
    </xf>
    <xf numFmtId="0" fontId="50" fillId="0" borderId="23"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3" xfId="0" applyNumberFormat="1" applyFont="1" applyFill="1" applyBorder="1" applyAlignment="1">
      <alignment horizontal="center"/>
    </xf>
    <xf numFmtId="44" fontId="22" fillId="0" borderId="7" xfId="2" applyFont="1" applyBorder="1" applyAlignment="1">
      <alignment horizontal="center"/>
    </xf>
    <xf numFmtId="44" fontId="22" fillId="0" borderId="16" xfId="2" applyFont="1" applyBorder="1" applyAlignment="1">
      <alignment horizontal="center"/>
    </xf>
    <xf numFmtId="44" fontId="22" fillId="0" borderId="24"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5"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6"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5" xfId="0" applyNumberFormat="1" applyFont="1" applyBorder="1" applyAlignment="1">
      <alignment horizontal="center"/>
    </xf>
    <xf numFmtId="10" fontId="52" fillId="8" borderId="23" xfId="0" applyNumberFormat="1" applyFont="1" applyFill="1" applyBorder="1" applyAlignment="1">
      <alignment horizontal="center"/>
    </xf>
    <xf numFmtId="10" fontId="53" fillId="8" borderId="23" xfId="0" applyNumberFormat="1" applyFont="1" applyFill="1" applyBorder="1" applyAlignment="1">
      <alignment horizontal="center"/>
    </xf>
    <xf numFmtId="10" fontId="55" fillId="8" borderId="23" xfId="0" applyNumberFormat="1" applyFont="1" applyFill="1" applyBorder="1"/>
    <xf numFmtId="0" fontId="56" fillId="0" borderId="0" xfId="0" applyFont="1" applyAlignment="1">
      <alignment horizontal="left"/>
    </xf>
    <xf numFmtId="0" fontId="56" fillId="0" borderId="0" xfId="0" applyFont="1"/>
    <xf numFmtId="10" fontId="0" fillId="0" borderId="0" xfId="4" applyNumberFormat="1" applyFont="1" applyAlignment="1">
      <alignment horizontal="center" wrapText="1"/>
    </xf>
    <xf numFmtId="10" fontId="47" fillId="0" borderId="22"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0" fontId="9" fillId="0" borderId="8" xfId="0" applyFont="1" applyBorder="1" applyAlignment="1">
      <alignment horizontal="center"/>
    </xf>
    <xf numFmtId="0" fontId="9" fillId="0" borderId="17" xfId="0" applyFont="1" applyBorder="1" applyAlignment="1">
      <alignment horizontal="center"/>
    </xf>
    <xf numFmtId="0" fontId="9" fillId="0" borderId="12"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0" xfId="0" applyFont="1" applyAlignment="1">
      <alignment horizontal="center"/>
    </xf>
    <xf numFmtId="0" fontId="33" fillId="7" borderId="11" xfId="0" applyFont="1" applyFill="1" applyBorder="1" applyAlignment="1">
      <alignment horizontal="left" vertical="top" wrapText="1"/>
    </xf>
    <xf numFmtId="0" fontId="16"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9"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0" xfId="0" applyFont="1" applyFill="1" applyBorder="1" applyAlignment="1">
      <alignment horizontal="left" vertical="top" wrapText="1"/>
    </xf>
    <xf numFmtId="0" fontId="16" fillId="7" borderId="21"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47624</xdr:rowOff>
    </xdr:from>
    <xdr:to>
      <xdr:col>5</xdr:col>
      <xdr:colOff>771525</xdr:colOff>
      <xdr:row>41</xdr:row>
      <xdr:rowOff>147808</xdr:rowOff>
    </xdr:to>
    <xdr:pic>
      <xdr:nvPicPr>
        <xdr:cNvPr id="2" name="Picture 1">
          <a:extLst>
            <a:ext uri="{FF2B5EF4-FFF2-40B4-BE49-F238E27FC236}">
              <a16:creationId xmlns:a16="http://schemas.microsoft.com/office/drawing/2014/main" id="{2134BD63-BDD0-6C1E-DDD9-33826F5114A7}"/>
            </a:ext>
          </a:extLst>
        </xdr:cNvPr>
        <xdr:cNvPicPr>
          <a:picLocks noChangeAspect="1"/>
        </xdr:cNvPicPr>
      </xdr:nvPicPr>
      <xdr:blipFill>
        <a:blip xmlns:r="http://schemas.openxmlformats.org/officeDocument/2006/relationships" r:embed="rId2"/>
        <a:stretch>
          <a:fillRect/>
        </a:stretch>
      </xdr:blipFill>
      <xdr:spPr>
        <a:xfrm>
          <a:off x="0" y="3254374"/>
          <a:ext cx="7772400" cy="46563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4" totalsRowShown="0" dataDxfId="16" dataCellStyle="Percent">
  <autoFilter ref="A3:U124"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zoomScale="125" workbookViewId="0">
      <selection activeCell="B1" sqref="B1:J2"/>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36" t="s">
        <v>302</v>
      </c>
      <c r="C1" s="237"/>
      <c r="D1" s="237"/>
      <c r="E1" s="237"/>
      <c r="F1" s="237"/>
      <c r="G1" s="237"/>
      <c r="H1" s="237"/>
      <c r="I1" s="237"/>
      <c r="J1" s="238"/>
      <c r="M1" s="59"/>
    </row>
    <row r="2" spans="1:13" s="49" customFormat="1" ht="33" customHeight="1" thickBot="1">
      <c r="A2" s="4" t="s">
        <v>49</v>
      </c>
      <c r="B2" s="239"/>
      <c r="C2" s="240"/>
      <c r="D2" s="241"/>
      <c r="E2" s="241"/>
      <c r="F2" s="241"/>
      <c r="G2" s="241"/>
      <c r="H2" s="241"/>
      <c r="I2" s="241"/>
      <c r="J2" s="242"/>
    </row>
    <row r="3" spans="1:13" s="49" customFormat="1" ht="16" customHeight="1">
      <c r="A3" s="190" t="s">
        <v>258</v>
      </c>
      <c r="B3" s="196" t="s">
        <v>268</v>
      </c>
      <c r="C3" s="194"/>
      <c r="D3" s="193"/>
      <c r="E3" s="193"/>
      <c r="F3" s="193"/>
      <c r="G3" s="193"/>
      <c r="H3" s="193"/>
      <c r="I3" s="193"/>
      <c r="J3" s="193"/>
    </row>
    <row r="4" spans="1:13" s="49" customFormat="1" ht="17" customHeight="1">
      <c r="A4" s="2" t="s">
        <v>167</v>
      </c>
      <c r="B4" s="192" t="s">
        <v>226</v>
      </c>
      <c r="D4" s="67" t="s">
        <v>165</v>
      </c>
      <c r="H4"/>
    </row>
    <row r="5" spans="1:13" s="4" customFormat="1" ht="13">
      <c r="A5" s="2" t="s">
        <v>38</v>
      </c>
      <c r="B5" s="22">
        <v>6688.46</v>
      </c>
      <c r="D5" s="2" t="s">
        <v>15</v>
      </c>
      <c r="G5" s="51">
        <f>'Buyback &amp; Dividend computation'!G56</f>
        <v>195.03253640634409</v>
      </c>
      <c r="H5" s="33" t="s">
        <v>36</v>
      </c>
      <c r="I5" s="56" t="s">
        <v>179</v>
      </c>
    </row>
    <row r="6" spans="1:13" s="4" customFormat="1" ht="13">
      <c r="A6" s="2" t="s">
        <v>50</v>
      </c>
      <c r="B6" s="55" t="s">
        <v>36</v>
      </c>
      <c r="D6" s="2" t="s">
        <v>26</v>
      </c>
      <c r="G6" s="51">
        <f>'Buyback &amp; Dividend computation'!D26*'Buyback &amp; Dividend computation'!D29</f>
        <v>286.05169708170166</v>
      </c>
      <c r="H6" s="33" t="s">
        <v>34</v>
      </c>
      <c r="I6" s="56" t="s">
        <v>180</v>
      </c>
    </row>
    <row r="7" spans="1:13" s="4" customFormat="1" ht="13">
      <c r="A7" s="151" t="s">
        <v>24</v>
      </c>
      <c r="B7" s="26">
        <f>IF(B6="C",G5/B5,IF(B6="A10",G6/B5,IF(B6="A5",G7/B5,IF(B6="P10",G8/B5,IF(B6="p5",G9/B5,IF(B6="NC",G11/B5,G10/B5))))))</f>
        <v>2.9159557866286722E-2</v>
      </c>
      <c r="C7" s="2"/>
      <c r="D7" s="50" t="s">
        <v>28</v>
      </c>
      <c r="G7" s="51">
        <f>'Buyback &amp; Dividend computation'!D27*'Buyback &amp; Dividend computation'!D29</f>
        <v>240.83552515016308</v>
      </c>
      <c r="H7" s="33" t="s">
        <v>37</v>
      </c>
      <c r="I7" s="56" t="s">
        <v>181</v>
      </c>
    </row>
    <row r="8" spans="1:13" s="4" customFormat="1" ht="13">
      <c r="A8" s="2" t="s">
        <v>66</v>
      </c>
      <c r="B8" s="54" t="s">
        <v>63</v>
      </c>
      <c r="C8" s="2"/>
      <c r="D8" s="2" t="s">
        <v>51</v>
      </c>
      <c r="G8" s="51">
        <f>'Buyback &amp; Dividend computation'!E26*'Buyback &amp; Dividend computation'!C56</f>
        <v>214.38561262522214</v>
      </c>
      <c r="H8" s="33" t="s">
        <v>53</v>
      </c>
      <c r="I8" s="56" t="s">
        <v>182</v>
      </c>
    </row>
    <row r="9" spans="1:13" s="4" customFormat="1" ht="13">
      <c r="A9" s="2" t="s">
        <v>67</v>
      </c>
      <c r="B9" s="26">
        <f>IF(B8="H",G15,IF(B8="BU",G16,IF(B8="TD",G17,IF(B8="FC",G18,G19))))</f>
        <v>8.9359321708450068E-2</v>
      </c>
      <c r="D9" s="2" t="s">
        <v>52</v>
      </c>
      <c r="G9" s="51">
        <f>'Buyback &amp; Dividend computation'!E27*'Buyback &amp; Dividend computation'!C56</f>
        <v>196.02313138576463</v>
      </c>
      <c r="H9" s="33" t="s">
        <v>54</v>
      </c>
      <c r="I9" s="56" t="s">
        <v>183</v>
      </c>
    </row>
    <row r="10" spans="1:13" s="4" customFormat="1" ht="13">
      <c r="A10" s="2" t="s">
        <v>303</v>
      </c>
      <c r="B10" s="24">
        <v>4.1599999999999998E-2</v>
      </c>
      <c r="D10" s="2" t="s">
        <v>99</v>
      </c>
      <c r="G10" s="51">
        <f>'Buyback &amp; Dividend computation'!E26*AVERAGE('Buyback &amp; Dividend computation'!Q46:Q55)</f>
        <v>175.50851048461814</v>
      </c>
      <c r="H10" s="33" t="s">
        <v>91</v>
      </c>
      <c r="I10" s="56" t="s">
        <v>184</v>
      </c>
    </row>
    <row r="11" spans="1:13" s="4" customFormat="1" ht="13">
      <c r="A11" s="2" t="s">
        <v>86</v>
      </c>
      <c r="B11" s="54" t="s">
        <v>84</v>
      </c>
      <c r="D11" s="2" t="s">
        <v>122</v>
      </c>
      <c r="G11" s="51">
        <f>'Buyback &amp; Dividend computation'!H56</f>
        <v>184.44892478027481</v>
      </c>
      <c r="H11" s="33" t="s">
        <v>123</v>
      </c>
      <c r="I11" s="56" t="s">
        <v>185</v>
      </c>
    </row>
    <row r="12" spans="1:13" s="4" customFormat="1" ht="13">
      <c r="A12" s="2" t="s">
        <v>304</v>
      </c>
      <c r="B12" s="54">
        <v>2.7000000000000001E-3</v>
      </c>
      <c r="D12" s="2"/>
      <c r="G12" s="218"/>
      <c r="I12" s="56"/>
    </row>
    <row r="13" spans="1:13" s="4" customFormat="1" ht="16">
      <c r="A13" s="2" t="s">
        <v>85</v>
      </c>
      <c r="B13" s="25">
        <v>4.2500000000000003E-2</v>
      </c>
      <c r="D13" s="67"/>
      <c r="E13" s="2"/>
      <c r="F13" s="2"/>
      <c r="G13" s="2"/>
      <c r="H13" s="2"/>
    </row>
    <row r="14" spans="1:13" s="4" customFormat="1" ht="16">
      <c r="A14" s="2" t="s">
        <v>252</v>
      </c>
      <c r="B14" s="170" t="s">
        <v>160</v>
      </c>
      <c r="D14" s="67" t="s">
        <v>55</v>
      </c>
      <c r="E14" s="2"/>
      <c r="F14" s="2"/>
      <c r="G14" s="2"/>
      <c r="H14" s="2"/>
    </row>
    <row r="15" spans="1:13" s="2" customFormat="1" ht="13">
      <c r="A15" s="2" t="s">
        <v>251</v>
      </c>
      <c r="B15" s="23">
        <v>0.03</v>
      </c>
      <c r="D15" s="2" t="s">
        <v>56</v>
      </c>
      <c r="E15" s="4"/>
      <c r="F15" s="4"/>
      <c r="G15" s="52">
        <f>('Buyback &amp; Dividend computation'!C56/'Buyback &amp; Dividend computation'!C42)^(1/10)-1</f>
        <v>9.4477348621415214E-2</v>
      </c>
      <c r="H15" s="33" t="s">
        <v>61</v>
      </c>
    </row>
    <row r="16" spans="1:13" s="4" customFormat="1" ht="13">
      <c r="A16" s="2" t="s">
        <v>158</v>
      </c>
      <c r="B16" s="55" t="s">
        <v>159</v>
      </c>
      <c r="D16" s="2" t="s">
        <v>57</v>
      </c>
      <c r="G16" s="53">
        <f>'Expected growth rate'!L11</f>
        <v>0</v>
      </c>
      <c r="H16" s="33" t="s">
        <v>62</v>
      </c>
    </row>
    <row r="17" spans="1:9" s="4" customFormat="1" ht="13">
      <c r="A17" s="4" t="s">
        <v>89</v>
      </c>
      <c r="D17" s="2" t="s">
        <v>58</v>
      </c>
      <c r="G17" s="53">
        <f>'Expected growth rate'!G11</f>
        <v>8.9359321708450068E-2</v>
      </c>
      <c r="H17" s="33" t="s">
        <v>63</v>
      </c>
    </row>
    <row r="18" spans="1:9" s="4" customFormat="1">
      <c r="A18" s="2" t="s">
        <v>169</v>
      </c>
      <c r="B18"/>
      <c r="D18" s="2" t="s">
        <v>59</v>
      </c>
      <c r="G18" s="52">
        <f>(1-((B7*B5)/B33))*'Buyback &amp; Dividend computation'!$F18</f>
        <v>3.3645124244738055E-2</v>
      </c>
      <c r="H18" s="33" t="s">
        <v>64</v>
      </c>
    </row>
    <row r="19" spans="1:9" s="4" customFormat="1">
      <c r="A19" s="2" t="s">
        <v>170</v>
      </c>
      <c r="B19"/>
      <c r="D19" s="2" t="s">
        <v>60</v>
      </c>
      <c r="G19" s="52">
        <f>(1-((B7*B5)/B33))*'Buyback &amp; Dividend computation'!$F26</f>
        <v>3.7418548141926147E-2</v>
      </c>
      <c r="H19" s="33" t="s">
        <v>65</v>
      </c>
    </row>
    <row r="20" spans="1:9" s="4" customFormat="1" ht="13">
      <c r="A20" s="2" t="s">
        <v>171</v>
      </c>
    </row>
    <row r="21" spans="1:9" s="4" customFormat="1" ht="16">
      <c r="A21" s="2" t="s">
        <v>228</v>
      </c>
      <c r="D21" s="67" t="s">
        <v>88</v>
      </c>
    </row>
    <row r="22" spans="1:9" s="4" customFormat="1" ht="13">
      <c r="A22" s="56" t="s">
        <v>90</v>
      </c>
      <c r="D22" s="2" t="s">
        <v>68</v>
      </c>
      <c r="G22" s="60">
        <f>'Historical ERP'!K98</f>
        <v>5.4394706565341622E-2</v>
      </c>
      <c r="H22" s="33" t="s">
        <v>82</v>
      </c>
      <c r="I22" s="66"/>
    </row>
    <row r="23" spans="1:9" s="4" customFormat="1" ht="16">
      <c r="A23" s="2" t="s">
        <v>306</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307</v>
      </c>
      <c r="D25" s="2" t="s">
        <v>71</v>
      </c>
      <c r="G25" s="60">
        <f>AVERAGE('Implied ERP- Annual since 1960'!E3:E66)</f>
        <v>4.2479687500000009E-2</v>
      </c>
      <c r="H25" s="33" t="s">
        <v>113</v>
      </c>
    </row>
    <row r="26" spans="1:9" s="4" customFormat="1" ht="13">
      <c r="A26" s="2" t="s">
        <v>308</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237.86195266606524</v>
      </c>
      <c r="H28" s="4" t="s">
        <v>227</v>
      </c>
    </row>
    <row r="29" spans="1:9" s="4" customFormat="1" ht="13">
      <c r="D29" s="2" t="s">
        <v>219</v>
      </c>
      <c r="G29" s="152">
        <f>'Expected growth rate'!H4</f>
        <v>246.19</v>
      </c>
      <c r="H29" s="4" t="s">
        <v>226</v>
      </c>
    </row>
    <row r="30" spans="1:9" s="4" customFormat="1">
      <c r="A30"/>
      <c r="B30"/>
      <c r="D30"/>
      <c r="E30"/>
      <c r="F30"/>
    </row>
    <row r="31" spans="1:9" s="4" customFormat="1" ht="16">
      <c r="A31" s="234" t="s">
        <v>193</v>
      </c>
      <c r="B31" s="235"/>
      <c r="C31" s="235"/>
      <c r="D31" s="235"/>
      <c r="E31" s="235"/>
      <c r="F31" s="235"/>
      <c r="G31" s="235"/>
      <c r="H31" s="8"/>
    </row>
    <row r="32" spans="1:9" s="4" customFormat="1" ht="13">
      <c r="A32" s="9"/>
      <c r="B32" s="96" t="s">
        <v>256</v>
      </c>
      <c r="C32" s="9">
        <v>1</v>
      </c>
      <c r="D32" s="9">
        <v>2</v>
      </c>
      <c r="E32" s="9">
        <v>3</v>
      </c>
      <c r="F32" s="9">
        <v>4</v>
      </c>
      <c r="G32" s="9">
        <v>5</v>
      </c>
      <c r="H32" s="96" t="s">
        <v>157</v>
      </c>
    </row>
    <row r="33" spans="1:14" s="4" customFormat="1" ht="13">
      <c r="A33" s="9" t="s">
        <v>155</v>
      </c>
      <c r="B33" s="172">
        <f>IF(B4="Estimated",G29,G28)</f>
        <v>246.19</v>
      </c>
      <c r="C33" s="172">
        <f>B33*(1+$B$9)</f>
        <v>268.18937141140333</v>
      </c>
      <c r="D33" s="172">
        <f>C33*(1+$B$9)</f>
        <v>292.15459173014193</v>
      </c>
      <c r="E33" s="172">
        <f>D33*(1+$B$9)</f>
        <v>318.26132788115655</v>
      </c>
      <c r="F33" s="172">
        <f>E33*(1+$B$9)</f>
        <v>346.7009442666473</v>
      </c>
      <c r="G33" s="172">
        <f>F33*(1+$B$9)</f>
        <v>377.68190548199408</v>
      </c>
      <c r="H33" s="173">
        <f>IF(B14="No",G33*(1+B10),G33*(1+B15))</f>
        <v>393.39347275004508</v>
      </c>
    </row>
    <row r="34" spans="1:14" s="4" customFormat="1" ht="13">
      <c r="A34" s="9" t="s">
        <v>156</v>
      </c>
      <c r="B34" s="174">
        <f>B35/G28</f>
        <v>0.81994002916536457</v>
      </c>
      <c r="C34" s="174">
        <f>IF($B$16="Yes",B34-($B$34-$H$34)/5,$B$34)</f>
        <v>0.80974851122994174</v>
      </c>
      <c r="D34" s="174">
        <f>IF($B$16="Yes",C34-($B$34-$H$34)/5,$B$34)</f>
        <v>0.7995569932945189</v>
      </c>
      <c r="E34" s="174">
        <f>IF($B$16="Yes",D34-($B$34-$H$34)/5,$B$34)</f>
        <v>0.78936547535909607</v>
      </c>
      <c r="F34" s="174">
        <f>IF($B$16="Yes",E34-($B$34-$H$34)/5,$B$34)</f>
        <v>0.77917395742367324</v>
      </c>
      <c r="G34" s="174">
        <f>IF($B$16="Yes",F34-($B$34-$H$34)/5,$B$34)</f>
        <v>0.7689824394882504</v>
      </c>
      <c r="H34" s="175">
        <f>IF($B$16="Yes",IF(B14="No",1-B10/'Buyback &amp; Dividend computation'!F26,1-B15/'Buyback &amp; Dividend computation'!F26),$B$34)</f>
        <v>0.76898243948825029</v>
      </c>
      <c r="I34" s="56"/>
    </row>
    <row r="35" spans="1:14" s="4" customFormat="1" ht="16">
      <c r="A35" s="3" t="s">
        <v>173</v>
      </c>
      <c r="B35" s="173">
        <f>IF(B6="C",G5,IF(B6="A10",G6,IF(B6="A5",G7,IF(B6="P10",G8,IF(B6="P5",G9,IF(B6="NORM",G10,G11))))))</f>
        <v>195.03253640634409</v>
      </c>
      <c r="C35" s="176">
        <f>C33*C34</f>
        <v>217.16594422807773</v>
      </c>
      <c r="D35" s="176">
        <f>D33*D34</f>
        <v>233.59424694094</v>
      </c>
      <c r="E35" s="176">
        <f>E33*E34</f>
        <v>251.22450437132628</v>
      </c>
      <c r="F35" s="176">
        <f>F33*F34</f>
        <v>270.14034678676796</v>
      </c>
      <c r="G35" s="176">
        <f>G33*G34</f>
        <v>290.43075302811462</v>
      </c>
      <c r="H35" s="173">
        <f>H34*H33</f>
        <v>302.5126723540842</v>
      </c>
      <c r="J35" s="8"/>
      <c r="K35" s="8"/>
      <c r="L35" s="8"/>
      <c r="M35" s="8"/>
    </row>
    <row r="36" spans="1:14" s="8" customFormat="1" ht="15" customHeight="1">
      <c r="A36" s="3" t="s">
        <v>1</v>
      </c>
      <c r="B36" s="177"/>
      <c r="C36" s="176"/>
      <c r="D36" s="176"/>
      <c r="E36" s="176"/>
      <c r="F36" s="176"/>
      <c r="G36" s="176">
        <f>IF(B14="No",H35/(B10+B13-B10),H35/(B10+B13-B15))</f>
        <v>7117.9452318608028</v>
      </c>
      <c r="H36" s="178"/>
      <c r="I36" s="4"/>
      <c r="J36" s="4"/>
      <c r="K36" s="4"/>
      <c r="L36" s="4"/>
      <c r="M36" s="4"/>
      <c r="N36" s="4"/>
    </row>
    <row r="37" spans="1:14" s="8" customFormat="1" ht="15" customHeight="1">
      <c r="A37" s="181" t="s">
        <v>257</v>
      </c>
      <c r="B37" s="179"/>
      <c r="C37" s="195">
        <f>VLOOKUP(B3,Answers!G2:H13,2)/12</f>
        <v>0.25</v>
      </c>
      <c r="D37" s="195">
        <f>1+C37</f>
        <v>1.25</v>
      </c>
      <c r="E37" s="195">
        <f t="shared" ref="E37:G37" si="0">1+D37</f>
        <v>2.25</v>
      </c>
      <c r="F37" s="195">
        <f t="shared" si="0"/>
        <v>3.25</v>
      </c>
      <c r="G37" s="195">
        <f t="shared" si="0"/>
        <v>4.25</v>
      </c>
      <c r="H37" s="178"/>
      <c r="I37" s="4"/>
      <c r="J37" s="4"/>
      <c r="K37" s="4"/>
      <c r="L37" s="4"/>
      <c r="M37" s="4"/>
      <c r="N37" s="4"/>
    </row>
    <row r="38" spans="1:14" s="4" customFormat="1" ht="13">
      <c r="A38" s="181" t="s">
        <v>2</v>
      </c>
      <c r="B38" s="179"/>
      <c r="C38" s="180">
        <f>C35*C37/(1+$B$10+$B$13)^C37</f>
        <v>53.206463466287182</v>
      </c>
      <c r="D38" s="180">
        <f>D35/(1+$B$10+$B$13)^D37</f>
        <v>211.16671410104314</v>
      </c>
      <c r="E38" s="180">
        <f>E35/(1+$B$10+$B$13)^E37</f>
        <v>209.4864673512696</v>
      </c>
      <c r="F38" s="180">
        <f>F35/(1+$B$10+$B$13)^F37</f>
        <v>207.78494787056906</v>
      </c>
      <c r="G38" s="176">
        <f>(G35+G36)/(1+$B$10+$B$13)^G37</f>
        <v>5256.277695542256</v>
      </c>
      <c r="H38" s="178"/>
    </row>
    <row r="39" spans="1:14" s="4" customFormat="1" ht="13">
      <c r="A39" s="3" t="s">
        <v>3</v>
      </c>
      <c r="B39" s="97"/>
      <c r="C39" s="182">
        <f>SUM(C38:G38)</f>
        <v>5937.9222883314251</v>
      </c>
      <c r="D39" s="100"/>
      <c r="E39" s="100"/>
      <c r="F39" s="100"/>
      <c r="G39" s="100"/>
      <c r="H39" s="99"/>
    </row>
    <row r="40" spans="1:14" s="4" customFormat="1" ht="13">
      <c r="A40" s="3" t="s">
        <v>95</v>
      </c>
      <c r="B40" s="97"/>
      <c r="C40" s="183">
        <f>C39/'Buyback &amp; Dividend computation'!C56</f>
        <v>24.963733046737758</v>
      </c>
    </row>
    <row r="41" spans="1:14" s="4" customFormat="1" thickBot="1">
      <c r="A41" s="181" t="s">
        <v>98</v>
      </c>
      <c r="B41" s="98"/>
      <c r="C41" s="184">
        <f>C39/AVERAGE('Buyback &amp; Dividend computation'!Q38:Q47)</f>
        <v>45.814878414359264</v>
      </c>
      <c r="L41" s="32"/>
    </row>
    <row r="42" spans="1:14" s="4" customFormat="1" ht="20" customHeight="1" thickBot="1">
      <c r="A42" s="230" t="s">
        <v>87</v>
      </c>
      <c r="B42" s="231"/>
      <c r="C42" s="232">
        <v>-4.2534788807143958E+27</v>
      </c>
      <c r="D42" s="231"/>
      <c r="E42" s="231"/>
      <c r="F42" s="233"/>
      <c r="G42" s="8"/>
      <c r="H42" s="8"/>
    </row>
    <row r="43" spans="1:14" s="4" customFormat="1" ht="20" customHeight="1">
      <c r="A43" s="219" t="s">
        <v>305</v>
      </c>
      <c r="B43" s="217"/>
      <c r="C43" s="220">
        <f>C45+B10</f>
        <v>8.1726656082330207E-2</v>
      </c>
      <c r="D43" s="217"/>
      <c r="E43" s="217"/>
      <c r="F43" s="217"/>
      <c r="G43" s="8"/>
      <c r="H43" s="8"/>
    </row>
    <row r="44" spans="1:14" s="4" customFormat="1" ht="20" customHeight="1">
      <c r="A44" s="2" t="s">
        <v>311</v>
      </c>
      <c r="B44" s="217"/>
      <c r="C44" s="221">
        <f>C45+B12</f>
        <v>4.2826656082330217E-2</v>
      </c>
      <c r="D44" s="217"/>
      <c r="E44" s="224" t="s">
        <v>313</v>
      </c>
      <c r="F44" s="217"/>
      <c r="G44" s="8"/>
      <c r="H44" s="223">
        <f>B10</f>
        <v>4.1599999999999998E-2</v>
      </c>
    </row>
    <row r="45" spans="1:14" s="4" customFormat="1" ht="16">
      <c r="A45" s="2" t="s">
        <v>312</v>
      </c>
      <c r="C45" s="222">
        <v>4.0126656082330216E-2</v>
      </c>
      <c r="E45" s="225" t="s">
        <v>314</v>
      </c>
      <c r="H45" s="223">
        <f>B10-B12</f>
        <v>3.8899999999999997E-2</v>
      </c>
    </row>
    <row r="46" spans="1:14" s="4" customFormat="1" ht="13"/>
    <row r="47" spans="1:14" s="4" customFormat="1">
      <c r="A47" s="6" t="s">
        <v>207</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268.18937141140333</v>
      </c>
      <c r="D48" s="185">
        <f>D33</f>
        <v>292.15459173014193</v>
      </c>
      <c r="E48" s="185">
        <f>E33</f>
        <v>318.26132788115655</v>
      </c>
      <c r="F48" s="185">
        <f>F33</f>
        <v>346.7009442666473</v>
      </c>
      <c r="G48" s="185">
        <f>G33</f>
        <v>377.68190548199408</v>
      </c>
      <c r="H48" s="173">
        <f>IF(B14="No",G48*(1+B10),G48*(1+B15))</f>
        <v>393.39347275004508</v>
      </c>
      <c r="J48"/>
      <c r="K48"/>
      <c r="L48"/>
      <c r="M48"/>
      <c r="N48"/>
    </row>
    <row r="49" spans="1:14" s="4" customFormat="1">
      <c r="A49" s="9" t="s">
        <v>156</v>
      </c>
      <c r="B49" s="175">
        <f>B50/G28</f>
        <v>0.81994002916536457</v>
      </c>
      <c r="C49" s="175">
        <f>IF($B$16="Yes",B49-($B$49-$H$49)/5,$B$49)</f>
        <v>0.80974851122994174</v>
      </c>
      <c r="D49" s="175">
        <f>IF($B$16="Yes",C49-($B$49-$H$49)/5,$B$49)</f>
        <v>0.7995569932945189</v>
      </c>
      <c r="E49" s="175">
        <f>IF($B$16="Yes",D49-($B$49-$H$49)/5,$B$49)</f>
        <v>0.78936547535909607</v>
      </c>
      <c r="F49" s="175">
        <f>IF($B$16="Yes",E49-($B$49-$H$49)/5,$B$49)</f>
        <v>0.77917395742367324</v>
      </c>
      <c r="G49" s="175">
        <f>IF($B$16="Yes",F49-($B$49-$H$49)/5,$B$49)</f>
        <v>0.7689824394882504</v>
      </c>
      <c r="H49" s="175">
        <f>IF($B$16="Yes",IF(B14="No",1-B10/'Buyback &amp; Dividend computation'!F26,1-B15/'Buyback &amp; Dividend computation'!F26),$B$34)</f>
        <v>0.76898243948825029</v>
      </c>
      <c r="J49"/>
      <c r="K49"/>
      <c r="L49"/>
      <c r="M49"/>
      <c r="N49"/>
    </row>
    <row r="50" spans="1:14">
      <c r="A50" s="3" t="s">
        <v>173</v>
      </c>
      <c r="B50" s="173">
        <f>B35</f>
        <v>195.03253640634409</v>
      </c>
      <c r="C50" s="186">
        <f t="shared" ref="C50:H50" si="1">C48*C49</f>
        <v>217.16594422807773</v>
      </c>
      <c r="D50" s="186">
        <f t="shared" si="1"/>
        <v>233.59424694094</v>
      </c>
      <c r="E50" s="186">
        <f t="shared" si="1"/>
        <v>251.22450437132628</v>
      </c>
      <c r="F50" s="186">
        <f t="shared" si="1"/>
        <v>270.14034678676796</v>
      </c>
      <c r="G50" s="186">
        <f t="shared" si="1"/>
        <v>290.43075302811462</v>
      </c>
      <c r="H50" s="173">
        <f t="shared" si="1"/>
        <v>302.5126723540842</v>
      </c>
      <c r="I50" s="4"/>
    </row>
    <row r="51" spans="1:14">
      <c r="A51" s="3" t="s">
        <v>1</v>
      </c>
      <c r="B51" s="187"/>
      <c r="C51" s="186"/>
      <c r="D51" s="186"/>
      <c r="E51" s="186"/>
      <c r="F51" s="186"/>
      <c r="G51" s="186">
        <f>IF(B14="No",H50/(B10+C45-B10),H50/(B10+C45-B15))</f>
        <v>7538.9454763786262</v>
      </c>
      <c r="H51" s="188"/>
      <c r="I51" s="4"/>
    </row>
    <row r="52" spans="1:14">
      <c r="A52" s="3" t="s">
        <v>257</v>
      </c>
      <c r="B52" s="187"/>
      <c r="C52" s="191">
        <f>C37</f>
        <v>0.25</v>
      </c>
      <c r="D52" s="191">
        <f t="shared" ref="D52:G52" si="2">D37</f>
        <v>1.25</v>
      </c>
      <c r="E52" s="191">
        <f t="shared" si="2"/>
        <v>2.25</v>
      </c>
      <c r="F52" s="191">
        <f t="shared" si="2"/>
        <v>3.25</v>
      </c>
      <c r="G52" s="191">
        <f t="shared" si="2"/>
        <v>4.25</v>
      </c>
      <c r="H52" s="188"/>
      <c r="I52" s="4"/>
    </row>
    <row r="53" spans="1:14" ht="15" thickBot="1">
      <c r="A53" s="3" t="s">
        <v>2</v>
      </c>
      <c r="B53" s="187"/>
      <c r="C53" s="186">
        <f>C50*C52/(1+$B$10+$C$45)^C52</f>
        <v>53.235623668717771</v>
      </c>
      <c r="D53" s="186">
        <f>D50/(1+$B$10+$C$45)^D52</f>
        <v>211.74600625246532</v>
      </c>
      <c r="E53" s="186">
        <f>E50/(1+$B$10+$C$45)^E52</f>
        <v>210.5220311768189</v>
      </c>
      <c r="F53" s="186">
        <f>F50/(1+$B$10+$C$45)^F52</f>
        <v>209.27024112593074</v>
      </c>
      <c r="G53" s="186">
        <f>(G50+G51)/(1+$B$10+$C$45)^G52</f>
        <v>5606.962517304496</v>
      </c>
      <c r="H53" s="188"/>
      <c r="I53" s="4"/>
    </row>
    <row r="54" spans="1:14" ht="15" thickBot="1">
      <c r="A54" s="3" t="s">
        <v>3</v>
      </c>
      <c r="B54" s="189">
        <f>SUM(C53:G53)</f>
        <v>6291.736419528429</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workbookViewId="0">
      <selection activeCell="D29" sqref="D2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301</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3" t="s">
        <v>253</v>
      </c>
      <c r="K10" s="243"/>
      <c r="L10" s="243"/>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3"/>
      <c r="K11" s="243"/>
      <c r="L11" s="243"/>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3"/>
      <c r="K12" s="243"/>
      <c r="L12" s="243"/>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300</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300</v>
      </c>
    </row>
    <row r="28" spans="1:19" ht="15" thickBot="1"/>
    <row r="29" spans="1:19" ht="15" thickBot="1">
      <c r="A29" s="31" t="s">
        <v>35</v>
      </c>
      <c r="D29" s="76">
        <v>6688.46</v>
      </c>
      <c r="E29" s="31" t="s">
        <v>187</v>
      </c>
      <c r="J29" s="39" t="s">
        <v>41</v>
      </c>
      <c r="M29" s="10" t="s">
        <v>42</v>
      </c>
      <c r="N29" s="40">
        <v>44469</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72.625984846200566</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83.984126540033046</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97.768593679264598</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117.08016820765741</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127.97702795592072</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146.25571056748296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129.45473827570797</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77.666418818417185</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86.758463150236992</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126.00398195106456</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140.75467163390056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138.86525508163589</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148.24428920415181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163.04946099504494</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140.11526884667012</v>
      </c>
      <c r="R46" s="116"/>
      <c r="S46" s="61"/>
      <c r="U46"/>
    </row>
    <row r="47" spans="1:21">
      <c r="A47" s="14">
        <v>2016</v>
      </c>
      <c r="B47" s="17">
        <v>2238.8200000000002</v>
      </c>
      <c r="C47" s="18">
        <v>106.26</v>
      </c>
      <c r="D47" s="18">
        <v>45.7</v>
      </c>
      <c r="E47" s="18">
        <v>62.32</v>
      </c>
      <c r="F47" s="18">
        <f>F56</f>
        <v>10.583611626069294</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145.15599873396852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166.57166759325182</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199.32881874437174</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200.53726307918041</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176.02374053920897</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241.37422114817036</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219.63346793199997</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C54*(1+P55)</f>
        <v>226.20560899999998</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6688.46</v>
      </c>
      <c r="C56" s="141">
        <f>B87*B79</f>
        <v>237.86195266606524</v>
      </c>
      <c r="D56" s="141">
        <f>C87*B79</f>
        <v>77.208644685806064</v>
      </c>
      <c r="E56" s="141">
        <f>D87*B79</f>
        <v>117.82389172053804</v>
      </c>
      <c r="F56" s="141">
        <f>F57</f>
        <v>10.583611626069294</v>
      </c>
      <c r="G56" s="141">
        <f t="shared" si="43"/>
        <v>195.03253640634409</v>
      </c>
      <c r="H56" s="141">
        <f t="shared" si="45"/>
        <v>184.44892478027481</v>
      </c>
      <c r="I56" s="142">
        <f t="shared" si="39"/>
        <v>1.1543560802607187E-2</v>
      </c>
      <c r="J56" s="142">
        <f t="shared" si="40"/>
        <v>1.7615997063679539E-2</v>
      </c>
      <c r="K56" s="142">
        <f t="shared" si="41"/>
        <v>2.9159557866286726E-2</v>
      </c>
      <c r="L56" s="143">
        <f t="shared" si="42"/>
        <v>2.757718888657102E-2</v>
      </c>
      <c r="M56" s="144">
        <v>1106.21</v>
      </c>
      <c r="N56" s="145">
        <f t="shared" si="35"/>
        <v>0.21502422927478981</v>
      </c>
      <c r="O56" s="144">
        <v>1872.3</v>
      </c>
      <c r="P56" s="146">
        <v>7.1099999999999997E-2</v>
      </c>
      <c r="Q56" s="147">
        <f>C56</f>
        <v>237.86195266606524</v>
      </c>
      <c r="R56" s="101" t="s">
        <v>41</v>
      </c>
      <c r="U56" s="103"/>
      <c r="V56" s="104"/>
    </row>
    <row r="57" spans="1:22" s="74" customFormat="1">
      <c r="A57" s="109" t="s">
        <v>146</v>
      </c>
      <c r="B57" s="110"/>
      <c r="C57" s="111">
        <f>B91*F91</f>
        <v>226.82438992769787</v>
      </c>
      <c r="D57" s="111">
        <f>C91*F91</f>
        <v>63.96176775950731</v>
      </c>
      <c r="E57" s="111">
        <f>D91*F91</f>
        <v>112.32217448819426</v>
      </c>
      <c r="F57" s="111">
        <f>E91*F91</f>
        <v>10.583611626069294</v>
      </c>
      <c r="G57" s="112">
        <f t="shared" si="43"/>
        <v>176.28394224770159</v>
      </c>
      <c r="H57" s="112">
        <f t="shared" si="45"/>
        <v>165.7003306216323</v>
      </c>
      <c r="Q57" s="113" t="s">
        <v>132</v>
      </c>
      <c r="U57" s="114"/>
    </row>
    <row r="58" spans="1:22">
      <c r="B58" s="14" t="s">
        <v>218</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300</v>
      </c>
      <c r="K79"/>
    </row>
    <row r="80" spans="1:13">
      <c r="K80"/>
    </row>
    <row r="81" spans="1:12">
      <c r="A81" s="72" t="s">
        <v>129</v>
      </c>
      <c r="K81"/>
    </row>
    <row r="82" spans="1:12">
      <c r="A82" s="21" t="s">
        <v>18</v>
      </c>
      <c r="B82" s="19" t="s">
        <v>43</v>
      </c>
      <c r="C82" s="19" t="s">
        <v>16</v>
      </c>
      <c r="D82" s="19" t="s">
        <v>17</v>
      </c>
      <c r="E82" s="14" t="s">
        <v>124</v>
      </c>
      <c r="K82"/>
    </row>
    <row r="83" spans="1:12">
      <c r="A83" s="21" t="s">
        <v>22</v>
      </c>
      <c r="B83" s="164">
        <v>508.76</v>
      </c>
      <c r="C83" s="165">
        <v>165.16</v>
      </c>
      <c r="D83" s="164">
        <v>234.57</v>
      </c>
      <c r="E83" s="69"/>
      <c r="F83" s="31" t="s">
        <v>317</v>
      </c>
      <c r="H83" s="31" t="s">
        <v>282</v>
      </c>
      <c r="L83"/>
    </row>
    <row r="84" spans="1:12">
      <c r="A84" s="21" t="s">
        <v>21</v>
      </c>
      <c r="B84" s="164">
        <v>487.33</v>
      </c>
      <c r="C84" s="165">
        <v>164.1</v>
      </c>
      <c r="D84" s="164">
        <v>293.45</v>
      </c>
      <c r="H84" s="31" t="s">
        <v>283</v>
      </c>
      <c r="K84"/>
    </row>
    <row r="85" spans="1:12">
      <c r="A85" s="21" t="s">
        <v>20</v>
      </c>
      <c r="B85" s="165">
        <v>518.31982346645816</v>
      </c>
      <c r="C85" s="165">
        <v>167.56</v>
      </c>
      <c r="D85" s="165">
        <v>243.24</v>
      </c>
      <c r="K85"/>
    </row>
    <row r="86" spans="1:12">
      <c r="A86" s="21" t="s">
        <v>19</v>
      </c>
      <c r="B86" s="165">
        <v>499.98140180556857</v>
      </c>
      <c r="C86" s="165">
        <v>157.04</v>
      </c>
      <c r="D86" s="165">
        <v>226.56</v>
      </c>
      <c r="K86"/>
    </row>
    <row r="87" spans="1:12">
      <c r="A87" s="21" t="s">
        <v>23</v>
      </c>
      <c r="B87" s="20">
        <f>SUM(B83:B86)</f>
        <v>2014.3912252720265</v>
      </c>
      <c r="C87" s="20">
        <f>SUM(C83:C86)</f>
        <v>653.86</v>
      </c>
      <c r="D87" s="20">
        <f>SUM(D83:D86)</f>
        <v>997.81999999999994</v>
      </c>
      <c r="E87" s="14">
        <f>E91</f>
        <v>93.552999999999997</v>
      </c>
    </row>
    <row r="89" spans="1:12" customFormat="1">
      <c r="A89" s="71" t="s">
        <v>151</v>
      </c>
    </row>
    <row r="90" spans="1:12" customFormat="1">
      <c r="A90" s="70" t="s">
        <v>130</v>
      </c>
      <c r="B90" t="s">
        <v>43</v>
      </c>
      <c r="C90" t="s">
        <v>16</v>
      </c>
      <c r="D90" t="s">
        <v>17</v>
      </c>
      <c r="E90" t="s">
        <v>124</v>
      </c>
      <c r="F90" t="s">
        <v>152</v>
      </c>
    </row>
    <row r="91" spans="1:12">
      <c r="A91" s="94">
        <v>44469</v>
      </c>
      <c r="B91" s="74">
        <f>'S&amp;P 500 Monthly Data (Cap IQ)'!G124/1000</f>
        <v>2004.9963</v>
      </c>
      <c r="C91" s="74">
        <f>'S&amp;P 500 Monthly Data (Cap IQ)'!D124/1000</f>
        <v>565.38499999999999</v>
      </c>
      <c r="D91" s="73">
        <f>'S&amp;P 500 Monthly Data (Cap IQ)'!E124/1000</f>
        <v>992.86300000000006</v>
      </c>
      <c r="E91" s="74">
        <f>'S&amp;P 500 Monthly Data (Cap IQ)'!F124/1000</f>
        <v>93.552999999999997</v>
      </c>
      <c r="F91" s="75">
        <f>'S&amp;P 500 Monthly Data (Cap IQ)'!J124*1000</f>
        <v>0.11312958030281545</v>
      </c>
      <c r="H91" s="10" t="s">
        <v>317</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topLeftCell="A3" zoomScale="160" zoomScaleNormal="160"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45" t="s">
        <v>285</v>
      </c>
      <c r="B1" s="245"/>
      <c r="C1" s="245"/>
      <c r="D1" s="245"/>
      <c r="E1" s="153"/>
      <c r="F1" s="246" t="s">
        <v>318</v>
      </c>
      <c r="G1" s="246"/>
      <c r="H1" s="246"/>
      <c r="I1" s="246"/>
    </row>
    <row r="2" spans="1:9">
      <c r="A2" t="s">
        <v>5</v>
      </c>
      <c r="B2" t="s">
        <v>40</v>
      </c>
      <c r="D2" t="s">
        <v>39</v>
      </c>
      <c r="F2" t="s">
        <v>5</v>
      </c>
      <c r="G2" t="s">
        <v>40</v>
      </c>
      <c r="I2" t="s">
        <v>39</v>
      </c>
    </row>
    <row r="3" spans="1:9">
      <c r="A3">
        <v>2023</v>
      </c>
      <c r="C3" s="108">
        <v>221.36</v>
      </c>
      <c r="F3">
        <v>2023</v>
      </c>
      <c r="H3" s="108">
        <v>221.36</v>
      </c>
    </row>
    <row r="4" spans="1:9">
      <c r="A4">
        <v>2024</v>
      </c>
      <c r="C4" s="119">
        <v>243.32</v>
      </c>
      <c r="D4" t="s">
        <v>175</v>
      </c>
      <c r="F4">
        <v>2024</v>
      </c>
      <c r="H4" s="119">
        <v>246.19</v>
      </c>
      <c r="I4" t="s">
        <v>190</v>
      </c>
    </row>
    <row r="5" spans="1:9">
      <c r="A5">
        <v>2025</v>
      </c>
      <c r="B5" s="27">
        <f>C5/C4-1</f>
        <v>0.17129705737300682</v>
      </c>
      <c r="C5" s="119">
        <v>285</v>
      </c>
      <c r="D5" t="s">
        <v>175</v>
      </c>
      <c r="F5">
        <v>2025</v>
      </c>
      <c r="G5" s="27">
        <f>H5/H4-1</f>
        <v>8.3187781794548998E-2</v>
      </c>
      <c r="H5" s="119">
        <v>266.67</v>
      </c>
      <c r="I5" t="s">
        <v>190</v>
      </c>
    </row>
    <row r="6" spans="1:9">
      <c r="A6">
        <v>2026</v>
      </c>
      <c r="B6" s="27">
        <f>C6/C5-1</f>
        <v>0.12280701754385959</v>
      </c>
      <c r="C6" s="119">
        <v>320</v>
      </c>
      <c r="D6" t="s">
        <v>175</v>
      </c>
      <c r="F6">
        <v>2026</v>
      </c>
      <c r="G6" s="27">
        <f>H6/H5-1</f>
        <v>0.14148573142835708</v>
      </c>
      <c r="H6" s="119">
        <v>304.39999999999998</v>
      </c>
      <c r="I6" t="s">
        <v>190</v>
      </c>
    </row>
    <row r="7" spans="1:9">
      <c r="A7">
        <v>2027</v>
      </c>
      <c r="B7" s="27">
        <f>B6-(B6-B10)/3</f>
        <v>9.5738011695906386E-2</v>
      </c>
      <c r="C7" s="197"/>
      <c r="D7" s="156"/>
      <c r="F7">
        <v>2027</v>
      </c>
      <c r="G7" s="27">
        <f>G6-(G6-G10)/3</f>
        <v>0.10819048761890471</v>
      </c>
      <c r="H7" s="197"/>
      <c r="I7" t="s">
        <v>190</v>
      </c>
    </row>
    <row r="8" spans="1:9">
      <c r="A8">
        <v>2028</v>
      </c>
      <c r="B8" s="38">
        <f>B6-2*(B6-B10)/3</f>
        <v>6.8669005847953185E-2</v>
      </c>
      <c r="F8">
        <v>2028</v>
      </c>
      <c r="G8" s="38">
        <f>G6-2*(G6-G10)/3</f>
        <v>7.4895243809452353E-2</v>
      </c>
    </row>
    <row r="9" spans="1:9">
      <c r="A9">
        <v>2029</v>
      </c>
      <c r="B9" s="27">
        <f>B7-2*(B7-B10)/2</f>
        <v>4.1599999999999998E-2</v>
      </c>
      <c r="F9">
        <v>2029</v>
      </c>
      <c r="G9" s="27">
        <f>G7-2*(G7-G10)/2</f>
        <v>4.1599999999999998E-2</v>
      </c>
    </row>
    <row r="10" spans="1:9" ht="15" thickBot="1">
      <c r="A10">
        <v>2030</v>
      </c>
      <c r="B10" s="27">
        <f>'Impl premium calculator'!B10</f>
        <v>4.1599999999999998E-2</v>
      </c>
      <c r="F10">
        <v>2030</v>
      </c>
      <c r="G10" s="27">
        <f>'Impl premium calculator'!B10</f>
        <v>4.1599999999999998E-2</v>
      </c>
    </row>
    <row r="11" spans="1:9" ht="15" thickBot="1">
      <c r="A11" t="s">
        <v>29</v>
      </c>
      <c r="B11" s="148">
        <f>((1+B5)*(1+B6)*(1+B7)*(1+B8)*(1+B9))^(1/5)-1</f>
        <v>9.9118750206413697E-2</v>
      </c>
      <c r="F11" t="s">
        <v>254</v>
      </c>
      <c r="G11" s="148">
        <f>((1+G5)*(1+G6)*(1+G7)*(1+G8)*(1+G9))^(1/5)-1</f>
        <v>8.9359321708450068E-2</v>
      </c>
    </row>
    <row r="13" spans="1:9">
      <c r="A13" t="s">
        <v>100</v>
      </c>
    </row>
    <row r="14" spans="1:9">
      <c r="A14" s="63" t="s">
        <v>97</v>
      </c>
    </row>
    <row r="15" spans="1:9">
      <c r="A15" s="63" t="s">
        <v>96</v>
      </c>
    </row>
    <row r="16" spans="1:9">
      <c r="A16" s="63" t="s">
        <v>175</v>
      </c>
    </row>
    <row r="17" spans="1:11">
      <c r="A17" s="63" t="s">
        <v>177</v>
      </c>
      <c r="B17" t="s">
        <v>189</v>
      </c>
    </row>
    <row r="18" spans="1:11">
      <c r="A18" s="63"/>
      <c r="B18" t="s">
        <v>188</v>
      </c>
    </row>
    <row r="19" spans="1:11">
      <c r="A19" s="63"/>
    </row>
    <row r="20" spans="1:11">
      <c r="A20" s="63"/>
    </row>
    <row r="25" spans="1:11" ht="19">
      <c r="G25" s="244" t="s">
        <v>289</v>
      </c>
      <c r="H25" s="244"/>
      <c r="J25" s="155"/>
    </row>
    <row r="26" spans="1:11">
      <c r="G26" s="244" t="s">
        <v>196</v>
      </c>
      <c r="H26" s="244"/>
    </row>
    <row r="27" spans="1:11" ht="16">
      <c r="G27" s="158" t="s">
        <v>221</v>
      </c>
      <c r="H27" s="158" t="s">
        <v>222</v>
      </c>
      <c r="I27" s="158" t="s">
        <v>223</v>
      </c>
      <c r="J27" s="158" t="s">
        <v>239</v>
      </c>
      <c r="K27" s="158" t="s">
        <v>224</v>
      </c>
    </row>
    <row r="28" spans="1:11" ht="16">
      <c r="G28" s="159" t="s">
        <v>240</v>
      </c>
      <c r="H28" s="158" t="s">
        <v>241</v>
      </c>
      <c r="I28" s="168">
        <v>6666</v>
      </c>
      <c r="J28" s="160">
        <v>275</v>
      </c>
      <c r="K28" s="166">
        <f>I28/J28</f>
        <v>24.24</v>
      </c>
    </row>
    <row r="29" spans="1:11" ht="16">
      <c r="G29" s="159" t="s">
        <v>246</v>
      </c>
      <c r="H29" s="158" t="s">
        <v>247</v>
      </c>
      <c r="I29" s="168">
        <v>6600</v>
      </c>
      <c r="J29" s="160">
        <v>271</v>
      </c>
      <c r="K29" s="166">
        <f t="shared" ref="K29:K42" si="0">I29/J29</f>
        <v>24.354243542435423</v>
      </c>
    </row>
    <row r="30" spans="1:11" ht="16">
      <c r="G30" s="159" t="s">
        <v>197</v>
      </c>
      <c r="H30" s="158" t="s">
        <v>198</v>
      </c>
      <c r="I30" s="168">
        <v>6700</v>
      </c>
      <c r="J30" s="160">
        <v>275</v>
      </c>
      <c r="K30" s="166">
        <f t="shared" si="0"/>
        <v>24.363636363636363</v>
      </c>
    </row>
    <row r="31" spans="1:11" ht="16">
      <c r="G31" s="159" t="s">
        <v>290</v>
      </c>
      <c r="H31" s="158" t="s">
        <v>291</v>
      </c>
      <c r="I31" s="168">
        <v>6585</v>
      </c>
      <c r="J31" s="160">
        <v>272</v>
      </c>
      <c r="K31" s="166">
        <f t="shared" si="0"/>
        <v>24.209558823529413</v>
      </c>
    </row>
    <row r="32" spans="1:11" ht="16">
      <c r="G32" s="159" t="s">
        <v>244</v>
      </c>
      <c r="H32" s="158" t="s">
        <v>225</v>
      </c>
      <c r="I32" s="168">
        <v>6500</v>
      </c>
      <c r="J32" s="160">
        <v>270</v>
      </c>
      <c r="K32" s="166">
        <f t="shared" si="0"/>
        <v>24.074074074074073</v>
      </c>
    </row>
    <row r="33" spans="7:11" ht="16">
      <c r="G33" s="159" t="s">
        <v>237</v>
      </c>
      <c r="H33" s="158" t="s">
        <v>238</v>
      </c>
      <c r="I33" s="168">
        <v>7000</v>
      </c>
      <c r="J33" s="160">
        <v>282</v>
      </c>
      <c r="K33" s="166">
        <f t="shared" si="0"/>
        <v>24.822695035460992</v>
      </c>
    </row>
    <row r="34" spans="7:11" ht="16">
      <c r="G34" s="159" t="s">
        <v>248</v>
      </c>
      <c r="H34" s="158" t="s">
        <v>249</v>
      </c>
      <c r="I34" s="168">
        <v>6800</v>
      </c>
      <c r="J34" s="160">
        <v>263</v>
      </c>
      <c r="K34" s="166">
        <f t="shared" si="0"/>
        <v>25.85551330798479</v>
      </c>
    </row>
    <row r="35" spans="7:11" ht="16">
      <c r="G35" s="159" t="s">
        <v>292</v>
      </c>
      <c r="H35" s="158" t="s">
        <v>293</v>
      </c>
      <c r="I35" s="168">
        <v>6600</v>
      </c>
      <c r="J35" s="160">
        <v>275</v>
      </c>
      <c r="K35" s="166">
        <f t="shared" si="0"/>
        <v>24</v>
      </c>
    </row>
    <row r="36" spans="7:11" ht="16">
      <c r="G36" s="159" t="s">
        <v>242</v>
      </c>
      <c r="H36" s="158" t="s">
        <v>243</v>
      </c>
      <c r="I36" s="168">
        <v>6500</v>
      </c>
      <c r="J36" s="160">
        <v>268</v>
      </c>
      <c r="K36" s="166">
        <f t="shared" si="0"/>
        <v>24.253731343283583</v>
      </c>
    </row>
    <row r="37" spans="7:11" ht="16">
      <c r="G37" s="159" t="s">
        <v>294</v>
      </c>
      <c r="H37" s="158" t="s">
        <v>200</v>
      </c>
      <c r="I37" s="168">
        <v>6500</v>
      </c>
      <c r="J37" s="160">
        <v>270</v>
      </c>
      <c r="K37" s="166">
        <f t="shared" si="0"/>
        <v>24.074074074074073</v>
      </c>
    </row>
    <row r="38" spans="7:11" ht="16">
      <c r="G38" s="159" t="s">
        <v>245</v>
      </c>
      <c r="H38" s="158" t="s">
        <v>201</v>
      </c>
      <c r="I38" s="168">
        <v>6500</v>
      </c>
      <c r="J38" s="160">
        <v>271</v>
      </c>
      <c r="K38" s="166">
        <f t="shared" si="0"/>
        <v>23.985239852398525</v>
      </c>
    </row>
    <row r="39" spans="7:11" ht="16">
      <c r="G39" s="159" t="s">
        <v>295</v>
      </c>
      <c r="H39" s="158" t="s">
        <v>296</v>
      </c>
      <c r="I39" s="168">
        <v>7100</v>
      </c>
      <c r="J39" s="160">
        <v>275</v>
      </c>
      <c r="K39" s="166">
        <f t="shared" si="0"/>
        <v>25.818181818181817</v>
      </c>
    </row>
    <row r="40" spans="7:11" ht="16">
      <c r="G40" s="159" t="s">
        <v>297</v>
      </c>
      <c r="H40" s="158" t="s">
        <v>202</v>
      </c>
      <c r="I40" s="168">
        <v>6600</v>
      </c>
      <c r="J40" s="160">
        <v>271</v>
      </c>
      <c r="K40" s="166">
        <f t="shared" si="0"/>
        <v>24.354243542435423</v>
      </c>
    </row>
    <row r="41" spans="7:11" ht="16">
      <c r="G41" s="159" t="s">
        <v>203</v>
      </c>
      <c r="H41" s="158" t="s">
        <v>199</v>
      </c>
      <c r="I41" s="168">
        <v>6400</v>
      </c>
      <c r="J41" s="160">
        <v>257</v>
      </c>
      <c r="K41" s="166">
        <f t="shared" si="0"/>
        <v>24.902723735408561</v>
      </c>
    </row>
    <row r="42" spans="7:11" ht="16">
      <c r="G42" s="159" t="s">
        <v>298</v>
      </c>
      <c r="H42" s="158" t="s">
        <v>299</v>
      </c>
      <c r="I42" s="168">
        <v>6600</v>
      </c>
      <c r="J42" s="160">
        <v>275</v>
      </c>
      <c r="K42" s="166">
        <f t="shared" si="0"/>
        <v>24</v>
      </c>
    </row>
    <row r="43" spans="7:11">
      <c r="G43" s="133" t="s">
        <v>164</v>
      </c>
      <c r="H43" s="133"/>
      <c r="I43" s="167">
        <f>AVERAGE(I28:I42)</f>
        <v>6643.4</v>
      </c>
      <c r="J43" s="167">
        <f>AVERAGE(J28:J42)</f>
        <v>271.33333333333331</v>
      </c>
    </row>
    <row r="44" spans="7:11">
      <c r="G44" s="133" t="s">
        <v>204</v>
      </c>
      <c r="H44" s="133"/>
      <c r="I44" s="167">
        <f>MEDIAN(I28:I42)</f>
        <v>6600</v>
      </c>
      <c r="J44" s="167">
        <f>MEDIAN(J28:J42)</f>
        <v>271</v>
      </c>
    </row>
    <row r="45" spans="7:11">
      <c r="G45" s="133" t="s">
        <v>205</v>
      </c>
      <c r="H45" s="133"/>
      <c r="I45" s="167">
        <f>MAX(I28:I42)</f>
        <v>7100</v>
      </c>
      <c r="J45" s="167">
        <f>MAX(J28:J42)</f>
        <v>282</v>
      </c>
    </row>
    <row r="46" spans="7:11">
      <c r="G46" s="133" t="s">
        <v>206</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5">
        <v>2023</v>
      </c>
      <c r="B65" s="130">
        <v>4.6408362562187756E-2</v>
      </c>
      <c r="C65" s="132">
        <v>1.4690251015235342E-2</v>
      </c>
      <c r="D65" s="130">
        <v>3.8800000000000001E-2</v>
      </c>
      <c r="E65" s="131">
        <v>4.5999999999999999E-2</v>
      </c>
    </row>
    <row r="66" spans="1:5">
      <c r="A66" s="215">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7"/>
  <sheetViews>
    <sheetView topLeftCell="D167" workbookViewId="0">
      <selection activeCell="D207" sqref="A207:XFD207"/>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6" t="s">
        <v>76</v>
      </c>
      <c r="C1" s="43" t="s">
        <v>77</v>
      </c>
      <c r="D1" s="43" t="s">
        <v>309</v>
      </c>
      <c r="E1" s="43" t="s">
        <v>114</v>
      </c>
      <c r="F1" s="118" t="s">
        <v>78</v>
      </c>
      <c r="G1" s="43" t="s">
        <v>148</v>
      </c>
      <c r="H1" s="43" t="s">
        <v>79</v>
      </c>
      <c r="I1" s="43" t="s">
        <v>162</v>
      </c>
      <c r="J1" s="43" t="s">
        <v>80</v>
      </c>
      <c r="K1" s="43" t="s">
        <v>310</v>
      </c>
      <c r="L1" s="43" t="s">
        <v>81</v>
      </c>
      <c r="M1" s="43" t="s">
        <v>149</v>
      </c>
      <c r="N1" s="43" t="s">
        <v>128</v>
      </c>
      <c r="O1" s="43" t="s">
        <v>194</v>
      </c>
      <c r="P1" s="226" t="s">
        <v>236</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208</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209</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209</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217</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216</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209</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209</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208</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209</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209</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209</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220</v>
      </c>
      <c r="P162" s="137">
        <f>Table167[[#This Row],[ERP (T12m)]]+Table167[[#This Row],[T.Bond Rate]]</f>
        <v>5.7500000000000002E-2</v>
      </c>
      <c r="Q162" t="s">
        <v>209</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209</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209</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209</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209</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209</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209</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209</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209</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209</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209</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209</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250</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208</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208</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250</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208</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208</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209</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208</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208</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209</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208</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208</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250</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208</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208</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209</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208</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208</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208</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208</v>
      </c>
    </row>
    <row r="194" spans="1:17" s="10" customFormat="1">
      <c r="A194" s="40" t="s">
        <v>255</v>
      </c>
      <c r="B194" s="64" t="s">
        <v>284</v>
      </c>
      <c r="C194" s="36" t="s">
        <v>272</v>
      </c>
      <c r="D194" s="36"/>
      <c r="E194" s="61" t="s">
        <v>273</v>
      </c>
      <c r="F194" s="61" t="s">
        <v>274</v>
      </c>
      <c r="G194" s="61" t="s">
        <v>275</v>
      </c>
      <c r="H194" s="36" t="s">
        <v>276</v>
      </c>
      <c r="I194" s="36" t="s">
        <v>278</v>
      </c>
      <c r="J194" s="36" t="s">
        <v>277</v>
      </c>
      <c r="K194" s="36"/>
      <c r="L194" s="36" t="s">
        <v>279</v>
      </c>
      <c r="M194" s="36" t="s">
        <v>280</v>
      </c>
      <c r="N194" s="36" t="s">
        <v>281</v>
      </c>
      <c r="O194" s="36"/>
      <c r="P194" s="137">
        <f>Table167[[#Totals],[ERP (T12m)]]+Table167[[#Totals],[T.Bond Rate]]</f>
        <v>7.9600000000000004E-2</v>
      </c>
      <c r="Q194" t="s">
        <v>208</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7">
        <f t="shared" ref="P195:P207" si="0">C195+J195</f>
        <v>7.7499999999999999E-2</v>
      </c>
      <c r="Q195" t="s">
        <v>208</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7">
        <f t="shared" si="0"/>
        <v>8.5900000000000004E-2</v>
      </c>
      <c r="Q196" t="s">
        <v>209</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7">
        <f t="shared" si="0"/>
        <v>8.249999999999999E-2</v>
      </c>
      <c r="Q197" t="s">
        <v>208</v>
      </c>
    </row>
    <row r="198" spans="1:17">
      <c r="A198" s="40">
        <v>44196</v>
      </c>
      <c r="B198" s="214">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7">
        <f t="shared" si="0"/>
        <v>8.9099999999999999E-2</v>
      </c>
      <c r="Q198" t="s">
        <v>209</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8">
        <f t="shared" si="0"/>
        <v>8.8100000000000012E-2</v>
      </c>
      <c r="Q199" t="s">
        <v>208</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8">
        <f t="shared" si="0"/>
        <v>8.5699999999999998E-2</v>
      </c>
      <c r="Q200" t="s">
        <v>208</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209</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208</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208</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209</v>
      </c>
    </row>
    <row r="205" spans="1:17">
      <c r="A205" s="40">
        <v>44408</v>
      </c>
      <c r="B205" s="64">
        <v>6339</v>
      </c>
      <c r="C205" s="36">
        <v>4.3700000000000003E-2</v>
      </c>
      <c r="D205" s="36">
        <v>4.1000000000000002E-2</v>
      </c>
      <c r="E205" s="10">
        <v>265.37</v>
      </c>
      <c r="F205" s="61">
        <v>193.81</v>
      </c>
      <c r="G205" s="10" t="s">
        <v>315</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316</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208</v>
      </c>
    </row>
    <row r="207" spans="1:17">
      <c r="A207" s="229">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209</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8" t="s">
        <v>5</v>
      </c>
      <c r="B1" s="199" t="s">
        <v>210</v>
      </c>
      <c r="C1" s="199" t="s">
        <v>110</v>
      </c>
      <c r="D1" s="199" t="s">
        <v>286</v>
      </c>
      <c r="E1" s="200" t="s">
        <v>211</v>
      </c>
      <c r="F1" s="201" t="s">
        <v>287</v>
      </c>
      <c r="G1" s="202" t="s">
        <v>212</v>
      </c>
      <c r="H1" s="202" t="s">
        <v>213</v>
      </c>
      <c r="I1" s="202" t="s">
        <v>214</v>
      </c>
      <c r="J1" s="198" t="s">
        <v>215</v>
      </c>
      <c r="K1" s="202" t="s">
        <v>288</v>
      </c>
    </row>
    <row r="2" spans="1:11" ht="16">
      <c r="A2" s="203">
        <v>1928</v>
      </c>
      <c r="B2" s="204">
        <v>0.43811155152887893</v>
      </c>
      <c r="C2" s="204">
        <v>3.0800000000000001E-2</v>
      </c>
      <c r="D2" s="204">
        <v>8.354708589799302E-3</v>
      </c>
      <c r="E2" s="205">
        <v>143.81115515288789</v>
      </c>
      <c r="F2" s="205">
        <v>159.91</v>
      </c>
      <c r="G2" s="136">
        <v>103.08</v>
      </c>
      <c r="H2" s="136">
        <v>100.83547085897993</v>
      </c>
      <c r="I2" s="209">
        <v>0.40731155152887893</v>
      </c>
      <c r="J2" s="211">
        <v>0.42975684293907962</v>
      </c>
      <c r="K2" s="209"/>
    </row>
    <row r="3" spans="1:11" ht="16">
      <c r="A3" s="203">
        <v>1929</v>
      </c>
      <c r="B3" s="204">
        <v>-8.2979466119096595E-2</v>
      </c>
      <c r="C3" s="204">
        <v>3.1600000000000003E-2</v>
      </c>
      <c r="D3" s="204">
        <v>4.2038041563204259E-2</v>
      </c>
      <c r="E3" s="206">
        <v>131.87778227633069</v>
      </c>
      <c r="F3" s="136">
        <v>85.375949000000006</v>
      </c>
      <c r="G3" s="136">
        <v>106.337328</v>
      </c>
      <c r="H3" s="136">
        <v>105.074396573995</v>
      </c>
      <c r="I3" s="169">
        <v>-0.1145794661190966</v>
      </c>
      <c r="J3" s="212">
        <v>-0.12501750768230085</v>
      </c>
      <c r="K3" s="169"/>
    </row>
    <row r="4" spans="1:11" ht="16">
      <c r="A4" s="203">
        <v>1930</v>
      </c>
      <c r="B4" s="204">
        <v>-0.25123636363636365</v>
      </c>
      <c r="C4" s="204">
        <v>4.5499999999999999E-2</v>
      </c>
      <c r="D4" s="204">
        <v>4.5409314348970366E-2</v>
      </c>
      <c r="E4" s="207">
        <v>98.745287812797272</v>
      </c>
      <c r="F4" s="136">
        <v>42.662361715300008</v>
      </c>
      <c r="G4" s="136">
        <v>111.17567642400002</v>
      </c>
      <c r="H4" s="136">
        <v>109.84575287805193</v>
      </c>
      <c r="I4" s="169">
        <v>-0.29673636363636363</v>
      </c>
      <c r="J4" s="212">
        <v>-0.29664567798533403</v>
      </c>
      <c r="K4" s="169"/>
    </row>
    <row r="5" spans="1:11" ht="16">
      <c r="A5" s="203">
        <v>1931</v>
      </c>
      <c r="B5" s="204">
        <v>-0.43837548891786188</v>
      </c>
      <c r="C5" s="204">
        <v>2.3099999999999999E-2</v>
      </c>
      <c r="D5" s="204">
        <v>-2.5588559619422531E-2</v>
      </c>
      <c r="E5" s="205">
        <v>55.457773989527276</v>
      </c>
      <c r="F5" s="136">
        <v>23.609350973247029</v>
      </c>
      <c r="G5" s="136">
        <v>113.74383454939441</v>
      </c>
      <c r="H5" s="136">
        <v>107.03495828159154</v>
      </c>
      <c r="I5" s="169">
        <v>-0.46147548891786189</v>
      </c>
      <c r="J5" s="212">
        <v>-0.41278692929843935</v>
      </c>
      <c r="K5" s="169"/>
    </row>
    <row r="6" spans="1:11" ht="16">
      <c r="A6" s="203">
        <v>1932</v>
      </c>
      <c r="B6" s="204">
        <v>-8.642364532019696E-2</v>
      </c>
      <c r="C6" s="204">
        <v>1.0699999999999999E-2</v>
      </c>
      <c r="D6" s="204">
        <v>8.7903069904773257E-2</v>
      </c>
      <c r="E6" s="205">
        <v>50.664911000008722</v>
      </c>
      <c r="F6" s="136">
        <v>28.44690698766534</v>
      </c>
      <c r="G6" s="136">
        <v>114.96089357907292</v>
      </c>
      <c r="H6" s="136">
        <v>116.44365970167279</v>
      </c>
      <c r="I6" s="169">
        <v>-9.7123645320196961E-2</v>
      </c>
      <c r="J6" s="212">
        <v>-0.17432671522497023</v>
      </c>
      <c r="K6" s="169"/>
    </row>
    <row r="7" spans="1:11" ht="16">
      <c r="A7" s="203">
        <v>1933</v>
      </c>
      <c r="B7" s="204">
        <v>0.49982225433526023</v>
      </c>
      <c r="C7" s="204">
        <v>9.5999999999999992E-3</v>
      </c>
      <c r="D7" s="204">
        <v>1.8552720891857361E-2</v>
      </c>
      <c r="E7" s="205">
        <v>75.988361031728402</v>
      </c>
      <c r="F7" s="136">
        <v>70.645048813168103</v>
      </c>
      <c r="G7" s="136">
        <v>116.06451815743202</v>
      </c>
      <c r="H7" s="136">
        <v>118.60400641974435</v>
      </c>
      <c r="I7" s="169">
        <v>0.49022225433526023</v>
      </c>
      <c r="J7" s="212">
        <v>0.48126953344340284</v>
      </c>
      <c r="K7" s="169"/>
    </row>
    <row r="8" spans="1:11" ht="16">
      <c r="A8" s="203">
        <v>1934</v>
      </c>
      <c r="B8" s="204">
        <v>-1.1885656970912803E-2</v>
      </c>
      <c r="C8" s="204">
        <v>2.7833333333333334E-3</v>
      </c>
      <c r="D8" s="204">
        <v>7.9634426179656104E-2</v>
      </c>
      <c r="E8" s="205">
        <v>75.085189438723404</v>
      </c>
      <c r="F8" s="136">
        <v>84.781123080683031</v>
      </c>
      <c r="G8" s="136">
        <v>116.38756439963687</v>
      </c>
      <c r="H8" s="136">
        <v>128.04896841358894</v>
      </c>
      <c r="I8" s="169">
        <v>-1.4668990304246137E-2</v>
      </c>
      <c r="J8" s="212">
        <v>-9.1520083150568907E-2</v>
      </c>
      <c r="K8" s="169"/>
    </row>
    <row r="9" spans="1:11" ht="16">
      <c r="A9" s="203">
        <v>1935</v>
      </c>
      <c r="B9" s="204">
        <v>0.46740421052631581</v>
      </c>
      <c r="C9" s="204">
        <v>1.6750000000000001E-3</v>
      </c>
      <c r="D9" s="204">
        <v>4.4720477296566127E-2</v>
      </c>
      <c r="E9" s="205">
        <v>110.18032313054879</v>
      </c>
      <c r="F9" s="136">
        <v>129.86772433499027</v>
      </c>
      <c r="G9" s="136">
        <v>116.58251357000627</v>
      </c>
      <c r="H9" s="136">
        <v>133.77537939837757</v>
      </c>
      <c r="I9" s="169">
        <v>0.46572921052631583</v>
      </c>
      <c r="J9" s="212">
        <v>0.42268373322974967</v>
      </c>
      <c r="K9" s="169"/>
    </row>
    <row r="10" spans="1:11" ht="16">
      <c r="A10" s="203">
        <v>1936</v>
      </c>
      <c r="B10" s="204">
        <v>0.31943410275502609</v>
      </c>
      <c r="C10" s="204">
        <v>1.725E-3</v>
      </c>
      <c r="D10" s="204">
        <v>5.0178754045450601E-2</v>
      </c>
      <c r="E10" s="205">
        <v>145.37567579101449</v>
      </c>
      <c r="F10" s="136">
        <v>250.41094606272824</v>
      </c>
      <c r="G10" s="136">
        <v>116.78361840591452</v>
      </c>
      <c r="H10" s="136">
        <v>140.4880612585456</v>
      </c>
      <c r="I10" s="169">
        <v>0.31770910275502612</v>
      </c>
      <c r="J10" s="212">
        <v>0.26925534870957551</v>
      </c>
      <c r="K10" s="169"/>
    </row>
    <row r="11" spans="1:11" ht="16">
      <c r="A11" s="203">
        <v>1937</v>
      </c>
      <c r="B11" s="204">
        <v>-0.35336728754365537</v>
      </c>
      <c r="C11" s="204">
        <v>2.7583333333333331E-3</v>
      </c>
      <c r="D11" s="204">
        <v>1.379146059646038E-2</v>
      </c>
      <c r="E11" s="205">
        <v>94.004667561917856</v>
      </c>
      <c r="F11" s="136">
        <v>116.99199400050662</v>
      </c>
      <c r="G11" s="136">
        <v>117.10574655335085</v>
      </c>
      <c r="H11" s="136">
        <v>142.42559681966594</v>
      </c>
      <c r="I11" s="169">
        <v>-0.35612562087698868</v>
      </c>
      <c r="J11" s="212">
        <v>-0.36715874814011573</v>
      </c>
      <c r="K11" s="169"/>
    </row>
    <row r="12" spans="1:11" ht="16">
      <c r="A12" s="203">
        <v>1938</v>
      </c>
      <c r="B12" s="204">
        <v>0.29282654028436017</v>
      </c>
      <c r="C12" s="204">
        <v>6.4999999999999997E-4</v>
      </c>
      <c r="D12" s="204">
        <v>4.2132485322046068E-2</v>
      </c>
      <c r="E12" s="205">
        <v>121.53172913465568</v>
      </c>
      <c r="F12" s="136">
        <v>118.86386590451473</v>
      </c>
      <c r="G12" s="136">
        <v>117.18186528861054</v>
      </c>
      <c r="H12" s="136">
        <v>148.42634118715418</v>
      </c>
      <c r="I12" s="169">
        <v>0.29217654028436019</v>
      </c>
      <c r="J12" s="212">
        <v>0.25069405496231412</v>
      </c>
      <c r="K12" s="169"/>
    </row>
    <row r="13" spans="1:11" ht="16">
      <c r="A13" s="203">
        <v>1939</v>
      </c>
      <c r="B13" s="204">
        <v>-1.0975646879756443E-2</v>
      </c>
      <c r="C13" s="204">
        <v>4.5833333333333332E-4</v>
      </c>
      <c r="D13" s="204">
        <v>4.4122613942060671E-2</v>
      </c>
      <c r="E13" s="205">
        <v>120.19783979098749</v>
      </c>
      <c r="F13" s="136">
        <v>112.05296638818604</v>
      </c>
      <c r="G13" s="136">
        <v>117.23557364353447</v>
      </c>
      <c r="H13" s="136">
        <v>154.97529933818757</v>
      </c>
      <c r="I13" s="169">
        <v>-1.1433980213089777E-2</v>
      </c>
      <c r="J13" s="212">
        <v>-5.509826082181711E-2</v>
      </c>
      <c r="K13" s="169"/>
    </row>
    <row r="14" spans="1:11" ht="16">
      <c r="A14" s="203">
        <v>1940</v>
      </c>
      <c r="B14" s="204">
        <v>-0.10672873194221515</v>
      </c>
      <c r="C14" s="204">
        <v>3.5833333333333333E-4</v>
      </c>
      <c r="D14" s="204">
        <v>5.4024815962845509E-2</v>
      </c>
      <c r="E14" s="205">
        <v>107.36927676790187</v>
      </c>
      <c r="F14" s="136">
        <v>76.408917780104048</v>
      </c>
      <c r="G14" s="136">
        <v>117.27758305742339</v>
      </c>
      <c r="H14" s="136">
        <v>163.34781136372007</v>
      </c>
      <c r="I14" s="169">
        <v>-0.10708706527554848</v>
      </c>
      <c r="J14" s="212">
        <v>-0.16075354790506066</v>
      </c>
      <c r="K14" s="169"/>
    </row>
    <row r="15" spans="1:11" ht="16">
      <c r="A15" s="203">
        <v>1941</v>
      </c>
      <c r="B15" s="204">
        <v>-0.12771455576559551</v>
      </c>
      <c r="C15" s="204">
        <v>1.2916666666666669E-3</v>
      </c>
      <c r="D15" s="204">
        <v>-2.0221975848580105E-2</v>
      </c>
      <c r="E15" s="205">
        <v>93.656657282615996</v>
      </c>
      <c r="F15" s="136">
        <v>72.175863735086281</v>
      </c>
      <c r="G15" s="136">
        <v>117.42906660220589</v>
      </c>
      <c r="H15" s="136">
        <v>160.0445958674045</v>
      </c>
      <c r="I15" s="169">
        <v>-0.12900622243226217</v>
      </c>
      <c r="J15" s="212">
        <v>-0.10749257991701541</v>
      </c>
      <c r="K15" s="169"/>
    </row>
    <row r="16" spans="1:11" ht="16">
      <c r="A16" s="203">
        <v>1942</v>
      </c>
      <c r="B16" s="204">
        <v>0.19173762945914843</v>
      </c>
      <c r="C16" s="204">
        <v>3.4250000000000001E-3</v>
      </c>
      <c r="D16" s="204">
        <v>2.2948682374484164E-2</v>
      </c>
      <c r="E16" s="205">
        <v>111.61416273305268</v>
      </c>
      <c r="F16" s="136">
        <v>116.77332993699611</v>
      </c>
      <c r="G16" s="136">
        <v>117.83126115531844</v>
      </c>
      <c r="H16" s="136">
        <v>163.71740846371824</v>
      </c>
      <c r="I16" s="169">
        <v>0.18831262945914842</v>
      </c>
      <c r="J16" s="212">
        <v>0.16878894708466427</v>
      </c>
      <c r="K16" s="169"/>
    </row>
    <row r="17" spans="1:11" ht="16">
      <c r="A17" s="203">
        <v>1943</v>
      </c>
      <c r="B17" s="204">
        <v>0.25061310133060394</v>
      </c>
      <c r="C17" s="204">
        <v>3.8E-3</v>
      </c>
      <c r="D17" s="204">
        <v>2.4899999999999999E-2</v>
      </c>
      <c r="E17" s="205">
        <v>139.58613420800171</v>
      </c>
      <c r="F17" s="136">
        <v>277.88549325106959</v>
      </c>
      <c r="G17" s="136">
        <v>118.27901994770866</v>
      </c>
      <c r="H17" s="136">
        <v>167.79397193446482</v>
      </c>
      <c r="I17" s="169">
        <v>0.24681310133060394</v>
      </c>
      <c r="J17" s="212">
        <v>0.22571310133060393</v>
      </c>
      <c r="K17" s="169"/>
    </row>
    <row r="18" spans="1:11" ht="16">
      <c r="A18" s="203">
        <v>1944</v>
      </c>
      <c r="B18" s="204">
        <v>0.19030676949443009</v>
      </c>
      <c r="C18" s="204">
        <v>3.8E-3</v>
      </c>
      <c r="D18" s="204">
        <v>2.5776111579070303E-2</v>
      </c>
      <c r="E18" s="205">
        <v>166.15032047534245</v>
      </c>
      <c r="F18" s="136">
        <v>471.65504769504042</v>
      </c>
      <c r="G18" s="136">
        <v>118.72848022350996</v>
      </c>
      <c r="H18" s="136">
        <v>172.11904807734297</v>
      </c>
      <c r="I18" s="169">
        <v>0.1865067694944301</v>
      </c>
      <c r="J18" s="212">
        <v>0.16453065791535978</v>
      </c>
      <c r="K18" s="169"/>
    </row>
    <row r="19" spans="1:11" ht="16">
      <c r="A19" s="203">
        <v>1945</v>
      </c>
      <c r="B19" s="204">
        <v>0.35821084337349401</v>
      </c>
      <c r="C19" s="204">
        <v>3.8E-3</v>
      </c>
      <c r="D19" s="204">
        <v>3.8044173419237229E-2</v>
      </c>
      <c r="E19" s="205">
        <v>225.66716689959119</v>
      </c>
      <c r="F19" s="136">
        <v>901.28563064045272</v>
      </c>
      <c r="G19" s="136">
        <v>119.1796484483593</v>
      </c>
      <c r="H19" s="136">
        <v>178.66717499115143</v>
      </c>
      <c r="I19" s="169">
        <v>0.35441084337349399</v>
      </c>
      <c r="J19" s="212">
        <v>0.3201666699542568</v>
      </c>
      <c r="K19" s="169"/>
    </row>
    <row r="20" spans="1:11" ht="16">
      <c r="A20" s="203">
        <v>1946</v>
      </c>
      <c r="B20" s="204">
        <v>-8.4291474654377807E-2</v>
      </c>
      <c r="C20" s="204">
        <v>3.8E-3</v>
      </c>
      <c r="D20" s="204">
        <v>3.1283745375695685E-2</v>
      </c>
      <c r="E20" s="205">
        <v>206.64534862054904</v>
      </c>
      <c r="F20" s="136">
        <v>763.20867202633531</v>
      </c>
      <c r="G20" s="136">
        <v>119.63253111246307</v>
      </c>
      <c r="H20" s="136">
        <v>184.25655340056949</v>
      </c>
      <c r="I20" s="169">
        <v>-8.8091474654377805E-2</v>
      </c>
      <c r="J20" s="212">
        <v>-0.11557522003007349</v>
      </c>
      <c r="K20" s="169"/>
    </row>
    <row r="21" spans="1:11" ht="16">
      <c r="A21" s="203">
        <v>1947</v>
      </c>
      <c r="B21" s="204">
        <v>5.1999999999999998E-2</v>
      </c>
      <c r="C21" s="204">
        <v>6.0083333333333334E-3</v>
      </c>
      <c r="D21" s="204">
        <v>9.1969680628322358E-3</v>
      </c>
      <c r="E21" s="205">
        <v>217.3909067488176</v>
      </c>
      <c r="F21" s="136">
        <v>755.88186877488249</v>
      </c>
      <c r="G21" s="136">
        <v>120.35132323689713</v>
      </c>
      <c r="H21" s="136">
        <v>185.95115503756207</v>
      </c>
      <c r="I21" s="169">
        <v>4.5991666666666667E-2</v>
      </c>
      <c r="J21" s="212">
        <v>4.2803031937167765E-2</v>
      </c>
      <c r="K21" s="169"/>
    </row>
    <row r="22" spans="1:11" ht="16">
      <c r="A22" s="203">
        <v>1948</v>
      </c>
      <c r="B22" s="204">
        <v>5.7045751633986834E-2</v>
      </c>
      <c r="C22" s="204">
        <v>1.0449999999999999E-2</v>
      </c>
      <c r="D22" s="204">
        <v>1.9510369413175046E-2</v>
      </c>
      <c r="E22" s="205">
        <v>229.79213442269784</v>
      </c>
      <c r="F22" s="136">
        <v>750.51510750658088</v>
      </c>
      <c r="G22" s="136">
        <v>121.60899456472271</v>
      </c>
      <c r="H22" s="136">
        <v>189.57913076515149</v>
      </c>
      <c r="I22" s="169">
        <v>4.6595751633986833E-2</v>
      </c>
      <c r="J22" s="212">
        <v>3.7535382220811792E-2</v>
      </c>
      <c r="K22" s="169"/>
    </row>
    <row r="23" spans="1:11" ht="16">
      <c r="A23" s="203">
        <v>1949</v>
      </c>
      <c r="B23" s="204">
        <v>0.18303223684210526</v>
      </c>
      <c r="C23" s="204">
        <v>1.115E-2</v>
      </c>
      <c r="D23" s="204">
        <v>4.6634851827973139E-2</v>
      </c>
      <c r="E23" s="205">
        <v>271.85150279480598</v>
      </c>
      <c r="F23" s="136">
        <v>954.8053197698722</v>
      </c>
      <c r="G23" s="136">
        <v>122.96493485411936</v>
      </c>
      <c r="H23" s="136">
        <v>198.42012543806027</v>
      </c>
      <c r="I23" s="169">
        <v>0.17188223684210527</v>
      </c>
      <c r="J23" s="212">
        <v>0.13639738501413212</v>
      </c>
      <c r="K23" s="169"/>
    </row>
    <row r="24" spans="1:11" ht="16">
      <c r="A24" s="203">
        <v>1950</v>
      </c>
      <c r="B24" s="204">
        <v>0.30805539011316263</v>
      </c>
      <c r="C24" s="204">
        <v>1.2033333333333333E-2</v>
      </c>
      <c r="D24" s="204">
        <v>4.2959574171096103E-3</v>
      </c>
      <c r="E24" s="205">
        <v>355.59682354110947</v>
      </c>
      <c r="F24" s="136">
        <v>1458.7515675444108</v>
      </c>
      <c r="G24" s="136">
        <v>124.4446129035306</v>
      </c>
      <c r="H24" s="136">
        <v>199.2725298476397</v>
      </c>
      <c r="I24" s="169">
        <v>0.29602205677982929</v>
      </c>
      <c r="J24" s="212">
        <v>0.30375943269605304</v>
      </c>
      <c r="K24" s="169"/>
    </row>
    <row r="25" spans="1:11" ht="16">
      <c r="A25" s="203">
        <v>1951</v>
      </c>
      <c r="B25" s="204">
        <v>0.23678463044542339</v>
      </c>
      <c r="C25" s="204">
        <v>1.5175000000000001E-2</v>
      </c>
      <c r="D25" s="204">
        <v>-2.9531392208319886E-3</v>
      </c>
      <c r="E25" s="205">
        <v>439.7966859908575</v>
      </c>
      <c r="F25" s="136">
        <v>1515.9346289921516</v>
      </c>
      <c r="G25" s="136">
        <v>126.33305990434167</v>
      </c>
      <c r="H25" s="136">
        <v>198.68405032411223</v>
      </c>
      <c r="I25" s="169">
        <v>0.22160963044542339</v>
      </c>
      <c r="J25" s="212">
        <v>0.23973776966625537</v>
      </c>
      <c r="K25" s="169"/>
    </row>
    <row r="26" spans="1:11" ht="16">
      <c r="A26" s="203">
        <v>1952</v>
      </c>
      <c r="B26" s="204">
        <v>0.18150988641144306</v>
      </c>
      <c r="C26" s="204">
        <v>1.7225000000000001E-2</v>
      </c>
      <c r="D26" s="204">
        <v>2.2679961918305656E-2</v>
      </c>
      <c r="E26" s="205">
        <v>519.62413250918712</v>
      </c>
      <c r="F26" s="136">
        <v>1533.9742510771582</v>
      </c>
      <c r="G26" s="136">
        <v>128.50914686119395</v>
      </c>
      <c r="H26" s="136">
        <v>203.19019701923781</v>
      </c>
      <c r="I26" s="169">
        <v>0.16428488641144307</v>
      </c>
      <c r="J26" s="212">
        <v>0.1588299244931374</v>
      </c>
      <c r="K26" s="169"/>
    </row>
    <row r="27" spans="1:11" ht="16">
      <c r="A27" s="203">
        <v>1953</v>
      </c>
      <c r="B27" s="204">
        <v>-1.2082047421904465E-2</v>
      </c>
      <c r="C27" s="204">
        <v>1.8908333333333333E-2</v>
      </c>
      <c r="D27" s="204">
        <v>4.1438402589088513E-2</v>
      </c>
      <c r="E27" s="205">
        <v>513.34600909864514</v>
      </c>
      <c r="F27" s="136">
        <v>1445.0037445146829</v>
      </c>
      <c r="G27" s="136">
        <v>130.93904064642769</v>
      </c>
      <c r="H27" s="136">
        <v>211.61007420547722</v>
      </c>
      <c r="I27" s="169">
        <v>-3.0990380755237797E-2</v>
      </c>
      <c r="J27" s="212">
        <v>-5.3520450010992981E-2</v>
      </c>
      <c r="K27" s="169"/>
    </row>
    <row r="28" spans="1:11" ht="16">
      <c r="A28" s="203">
        <v>1954</v>
      </c>
      <c r="B28" s="204">
        <v>0.52563321241434902</v>
      </c>
      <c r="C28" s="204">
        <v>9.3752000000000002E-3</v>
      </c>
      <c r="D28" s="204">
        <v>3.2898034558095555E-2</v>
      </c>
      <c r="E28" s="205">
        <v>783.17772094125166</v>
      </c>
      <c r="F28" s="136">
        <v>2368.3611372595651</v>
      </c>
      <c r="G28" s="136">
        <v>132.16662034029608</v>
      </c>
      <c r="H28" s="136">
        <v>218.57162973953018</v>
      </c>
      <c r="I28" s="169">
        <v>0.51625801241434899</v>
      </c>
      <c r="J28" s="212">
        <v>0.49273517785625348</v>
      </c>
      <c r="K28" s="169"/>
    </row>
    <row r="29" spans="1:11" ht="16">
      <c r="A29" s="203">
        <v>1955</v>
      </c>
      <c r="B29" s="204">
        <v>0.32597331851028349</v>
      </c>
      <c r="C29" s="204">
        <v>1.7243426294820716E-2</v>
      </c>
      <c r="D29" s="204">
        <v>-1.3364391288618781E-2</v>
      </c>
      <c r="E29" s="205">
        <v>1038.4727616197922</v>
      </c>
      <c r="F29" s="136">
        <v>3009.9501693431812</v>
      </c>
      <c r="G29" s="136">
        <v>134.44562571676951</v>
      </c>
      <c r="H29" s="136">
        <v>215.65055295509998</v>
      </c>
      <c r="I29" s="169">
        <v>0.30872989221546276</v>
      </c>
      <c r="J29" s="212">
        <v>0.33933770979890227</v>
      </c>
      <c r="K29" s="169"/>
    </row>
    <row r="30" spans="1:11" ht="16">
      <c r="A30" s="203">
        <v>1956</v>
      </c>
      <c r="B30" s="204">
        <v>7.4395118733509347E-2</v>
      </c>
      <c r="C30" s="204">
        <v>2.6213888888888887E-2</v>
      </c>
      <c r="D30" s="204">
        <v>-2.2557738173154165E-2</v>
      </c>
      <c r="E30" s="205">
        <v>1115.7300660220119</v>
      </c>
      <c r="F30" s="136">
        <v>2980.1516626666835</v>
      </c>
      <c r="G30" s="136">
        <v>137.96996841090606</v>
      </c>
      <c r="H30" s="136">
        <v>210.78596424464291</v>
      </c>
      <c r="I30" s="169">
        <v>4.8181229844620463E-2</v>
      </c>
      <c r="J30" s="212">
        <v>9.6952856906663512E-2</v>
      </c>
      <c r="K30" s="169"/>
    </row>
    <row r="31" spans="1:11" ht="16">
      <c r="A31" s="203">
        <v>1957</v>
      </c>
      <c r="B31" s="204">
        <v>-0.1045736018855796</v>
      </c>
      <c r="C31" s="204">
        <v>3.2245669291338583E-2</v>
      </c>
      <c r="D31" s="204">
        <v>6.7970128466249904E-2</v>
      </c>
      <c r="E31" s="205">
        <v>999.05415428605454</v>
      </c>
      <c r="F31" s="136">
        <v>2525.6785341100144</v>
      </c>
      <c r="G31" s="136">
        <v>142.41890238442059</v>
      </c>
      <c r="H31" s="136">
        <v>225.11311331323367</v>
      </c>
      <c r="I31" s="169">
        <v>-0.13681927117691817</v>
      </c>
      <c r="J31" s="212">
        <v>-0.17254373035182952</v>
      </c>
      <c r="K31" s="169"/>
    </row>
    <row r="32" spans="1:11" ht="16">
      <c r="A32" s="203">
        <v>1958</v>
      </c>
      <c r="B32" s="204">
        <v>0.43719954988747184</v>
      </c>
      <c r="C32" s="204">
        <v>1.7665461847389558E-2</v>
      </c>
      <c r="D32" s="204">
        <v>-2.0990181755274694E-2</v>
      </c>
      <c r="E32" s="205">
        <v>1435.8401808531264</v>
      </c>
      <c r="F32" s="136">
        <v>4277.2365975153089</v>
      </c>
      <c r="G32" s="136">
        <v>144.93479807083966</v>
      </c>
      <c r="H32" s="136">
        <v>220.38794814929315</v>
      </c>
      <c r="I32" s="169">
        <v>0.4195340880400823</v>
      </c>
      <c r="J32" s="212">
        <v>0.45818973164274651</v>
      </c>
      <c r="K32" s="169"/>
    </row>
    <row r="33" spans="1:11" ht="16">
      <c r="A33" s="203">
        <v>1959</v>
      </c>
      <c r="B33" s="204">
        <v>0.12056457163557326</v>
      </c>
      <c r="C33" s="204">
        <v>3.3860159362549803E-2</v>
      </c>
      <c r="D33" s="204">
        <v>-2.6466312591385065E-2</v>
      </c>
      <c r="E33" s="205">
        <v>1608.9516371948275</v>
      </c>
      <c r="F33" s="136">
        <v>4822.156540038759</v>
      </c>
      <c r="G33" s="136">
        <v>149.84231343069726</v>
      </c>
      <c r="H33" s="136">
        <v>214.55509182219998</v>
      </c>
      <c r="I33" s="169">
        <v>8.6704412273023446E-2</v>
      </c>
      <c r="J33" s="212">
        <v>0.14703088422695831</v>
      </c>
      <c r="K33" s="169"/>
    </row>
    <row r="34" spans="1:11" ht="16">
      <c r="A34" s="203">
        <v>1960</v>
      </c>
      <c r="B34" s="204">
        <v>3.36535314743695E-3</v>
      </c>
      <c r="C34" s="204">
        <v>2.8729718875502006E-2</v>
      </c>
      <c r="D34" s="204">
        <v>0.11639503690963365</v>
      </c>
      <c r="E34" s="205">
        <v>1614.366327651135</v>
      </c>
      <c r="F34" s="136">
        <v>4653.863276791406</v>
      </c>
      <c r="G34" s="136">
        <v>154.14724097121606</v>
      </c>
      <c r="H34" s="136">
        <v>239.52823965399477</v>
      </c>
      <c r="I34" s="169">
        <v>-2.5364365728065056E-2</v>
      </c>
      <c r="J34" s="212">
        <v>-0.1130296837621967</v>
      </c>
      <c r="K34" s="169">
        <v>6.1119788031217315E-2</v>
      </c>
    </row>
    <row r="35" spans="1:11" ht="16">
      <c r="A35" s="203">
        <v>1961</v>
      </c>
      <c r="B35" s="204">
        <v>0.26637712958182752</v>
      </c>
      <c r="C35" s="204">
        <v>2.3524899598393576E-2</v>
      </c>
      <c r="D35" s="204">
        <v>2.0609208076323167E-2</v>
      </c>
      <c r="E35" s="205">
        <v>2044.3965961044005</v>
      </c>
      <c r="F35" s="136">
        <v>6042.1106922582821</v>
      </c>
      <c r="G35" s="136">
        <v>157.77353933843332</v>
      </c>
      <c r="H35" s="136">
        <v>244.46472698517934</v>
      </c>
      <c r="I35" s="169">
        <v>0.24285222998343395</v>
      </c>
      <c r="J35" s="212">
        <v>0.24576792150550436</v>
      </c>
      <c r="K35" s="169">
        <v>6.6173591829972622E-2</v>
      </c>
    </row>
    <row r="36" spans="1:11" ht="16">
      <c r="A36" s="203">
        <v>1962</v>
      </c>
      <c r="B36" s="204">
        <v>-8.8114605171208879E-2</v>
      </c>
      <c r="C36" s="204">
        <v>2.7723694779116466E-2</v>
      </c>
      <c r="D36" s="204">
        <v>5.693544054008462E-2</v>
      </c>
      <c r="E36" s="205">
        <v>1864.2553972252979</v>
      </c>
      <c r="F36" s="136">
        <v>5452.4006886938732</v>
      </c>
      <c r="G36" s="136">
        <v>162.14760478727297</v>
      </c>
      <c r="H36" s="136">
        <v>258.38343391259201</v>
      </c>
      <c r="I36" s="169">
        <v>-0.11583829995032535</v>
      </c>
      <c r="J36" s="212">
        <v>-0.14505004571129348</v>
      </c>
      <c r="K36" s="169">
        <v>5.9683465378989942E-2</v>
      </c>
    </row>
    <row r="37" spans="1:11" ht="16">
      <c r="A37" s="203">
        <v>1963</v>
      </c>
      <c r="B37" s="204">
        <v>0.22611927099841514</v>
      </c>
      <c r="C37" s="204">
        <v>3.1560240963855422E-2</v>
      </c>
      <c r="D37" s="204">
        <v>1.6841620739546127E-2</v>
      </c>
      <c r="E37" s="205">
        <v>2285.7994686007432</v>
      </c>
      <c r="F37" s="136">
        <v>6539.0641459505623</v>
      </c>
      <c r="G37" s="136">
        <v>167.2650222660713</v>
      </c>
      <c r="H37" s="136">
        <v>262.73502971192949</v>
      </c>
      <c r="I37" s="169">
        <v>0.19455903003455971</v>
      </c>
      <c r="J37" s="212">
        <v>0.20927765025886902</v>
      </c>
      <c r="K37" s="169">
        <v>6.3618993911514821E-2</v>
      </c>
    </row>
    <row r="38" spans="1:11" ht="16">
      <c r="A38" s="203">
        <v>1964</v>
      </c>
      <c r="B38" s="204">
        <v>0.16415455878432425</v>
      </c>
      <c r="C38" s="204">
        <v>3.5457370517928286E-2</v>
      </c>
      <c r="D38" s="204">
        <v>3.7280648911540815E-2</v>
      </c>
      <c r="E38" s="205">
        <v>2661.0238718383412</v>
      </c>
      <c r="F38" s="136">
        <v>8052.8574957381179</v>
      </c>
      <c r="G38" s="136">
        <v>173.1958001352489</v>
      </c>
      <c r="H38" s="136">
        <v>272.52996211138321</v>
      </c>
      <c r="I38" s="169">
        <v>0.12869718826639598</v>
      </c>
      <c r="J38" s="212">
        <v>0.12687390987278344</v>
      </c>
      <c r="K38" s="169">
        <v>6.5267777442658215E-2</v>
      </c>
    </row>
    <row r="39" spans="1:11" ht="16">
      <c r="A39" s="203">
        <v>1965</v>
      </c>
      <c r="B39" s="204">
        <v>0.12399242477876114</v>
      </c>
      <c r="C39" s="204">
        <v>3.9490763052208833E-2</v>
      </c>
      <c r="D39" s="204">
        <v>7.1885509359262342E-3</v>
      </c>
      <c r="E39" s="205">
        <v>2990.9706741017444</v>
      </c>
      <c r="F39" s="136">
        <v>11729.792228292141</v>
      </c>
      <c r="G39" s="136">
        <v>180.03543444002773</v>
      </c>
      <c r="H39" s="136">
        <v>274.48905762558695</v>
      </c>
      <c r="I39" s="169">
        <v>8.450166172655231E-2</v>
      </c>
      <c r="J39" s="212">
        <v>0.11680387384283492</v>
      </c>
      <c r="K39" s="169">
        <v>6.6617941689874449E-2</v>
      </c>
    </row>
    <row r="40" spans="1:11" ht="16">
      <c r="A40" s="203">
        <v>1966</v>
      </c>
      <c r="B40" s="204">
        <v>-9.9709542356377898E-2</v>
      </c>
      <c r="C40" s="204">
        <v>4.8557199999999995E-2</v>
      </c>
      <c r="D40" s="204">
        <v>2.9079409324299622E-2</v>
      </c>
      <c r="E40" s="205">
        <v>2692.7423569857124</v>
      </c>
      <c r="F40" s="136">
        <v>10616.634945827216</v>
      </c>
      <c r="G40" s="136">
        <v>188.77745103721907</v>
      </c>
      <c r="H40" s="136">
        <v>282.47103728732264</v>
      </c>
      <c r="I40" s="169">
        <v>-0.14826674235637788</v>
      </c>
      <c r="J40" s="212">
        <v>-0.12878895168067753</v>
      </c>
      <c r="K40" s="169">
        <v>6.1123719679815336E-2</v>
      </c>
    </row>
    <row r="41" spans="1:11" ht="16">
      <c r="A41" s="203">
        <v>1967</v>
      </c>
      <c r="B41" s="204">
        <v>0.23802966513133328</v>
      </c>
      <c r="C41" s="204">
        <v>4.2934538152610439E-2</v>
      </c>
      <c r="D41" s="204">
        <v>-1.5806209932824666E-2</v>
      </c>
      <c r="E41" s="205">
        <v>3333.6949185039784</v>
      </c>
      <c r="F41" s="136">
        <v>23015.802899058825</v>
      </c>
      <c r="G41" s="136">
        <v>196.8825237111291</v>
      </c>
      <c r="H41" s="136">
        <v>278.0062407720165</v>
      </c>
      <c r="I41" s="169">
        <v>0.19509512697872283</v>
      </c>
      <c r="J41" s="212">
        <v>0.25383587506415795</v>
      </c>
      <c r="K41" s="169">
        <v>6.5732838776739522E-2</v>
      </c>
    </row>
    <row r="42" spans="1:11" ht="16">
      <c r="A42" s="203">
        <v>1968</v>
      </c>
      <c r="B42" s="204">
        <v>0.10814862651601535</v>
      </c>
      <c r="C42" s="204">
        <v>5.3376E-2</v>
      </c>
      <c r="D42" s="204">
        <v>3.2746196950768365E-2</v>
      </c>
      <c r="E42" s="205">
        <v>3694.2294451636035</v>
      </c>
      <c r="F42" s="136">
        <v>36986.395258787532</v>
      </c>
      <c r="G42" s="136">
        <v>207.39132529673435</v>
      </c>
      <c r="H42" s="136">
        <v>287.10988788587969</v>
      </c>
      <c r="I42" s="169">
        <v>5.4772626516015353E-2</v>
      </c>
      <c r="J42" s="212">
        <v>7.5402429565246981E-2</v>
      </c>
      <c r="K42" s="169">
        <v>6.596627828748769E-2</v>
      </c>
    </row>
    <row r="43" spans="1:11" ht="16">
      <c r="A43" s="203">
        <v>1969</v>
      </c>
      <c r="B43" s="204">
        <v>-8.2413710764490639E-2</v>
      </c>
      <c r="C43" s="204">
        <v>6.668467741935484E-2</v>
      </c>
      <c r="D43" s="204">
        <v>-5.0140493209926106E-2</v>
      </c>
      <c r="E43" s="205">
        <v>3389.7742881722256</v>
      </c>
      <c r="F43" s="136">
        <v>24762.391625758253</v>
      </c>
      <c r="G43" s="136">
        <v>221.22114892371957</v>
      </c>
      <c r="H43" s="136">
        <v>272.7140565018351</v>
      </c>
      <c r="I43" s="169">
        <v>-0.14909838818384546</v>
      </c>
      <c r="J43" s="212">
        <v>-3.2273217554564533E-2</v>
      </c>
      <c r="K43" s="169">
        <v>6.3333872734198771E-2</v>
      </c>
    </row>
    <row r="44" spans="1:11" ht="16">
      <c r="A44" s="203">
        <v>1970</v>
      </c>
      <c r="B44" s="204">
        <v>3.5611449054964189E-2</v>
      </c>
      <c r="C44" s="204">
        <v>6.3909999999999995E-2</v>
      </c>
      <c r="D44" s="204">
        <v>0.16754737183412338</v>
      </c>
      <c r="E44" s="205">
        <v>3510.4890625432981</v>
      </c>
      <c r="F44" s="136">
        <v>20057.537216864188</v>
      </c>
      <c r="G44" s="136">
        <v>235.35939255143447</v>
      </c>
      <c r="H44" s="136">
        <v>318.40657993094021</v>
      </c>
      <c r="I44" s="169">
        <v>-2.8298550945035805E-2</v>
      </c>
      <c r="J44" s="212">
        <v>-0.13193592277915919</v>
      </c>
      <c r="K44" s="169">
        <v>5.8972566666315007E-2</v>
      </c>
    </row>
    <row r="45" spans="1:11" ht="16">
      <c r="A45" s="203">
        <v>1971</v>
      </c>
      <c r="B45" s="204">
        <v>0.14221150298426474</v>
      </c>
      <c r="C45" s="204">
        <v>4.3342570281124503E-2</v>
      </c>
      <c r="D45" s="204">
        <v>9.7868966197122972E-2</v>
      </c>
      <c r="E45" s="205">
        <v>4009.720988337403</v>
      </c>
      <c r="F45" s="136">
        <v>23365.025103925094</v>
      </c>
      <c r="G45" s="136">
        <v>245.5604735644178</v>
      </c>
      <c r="H45" s="136">
        <v>349.56870273914296</v>
      </c>
      <c r="I45" s="169">
        <v>9.8868932703140233E-2</v>
      </c>
      <c r="J45" s="212">
        <v>4.434253678714177E-2</v>
      </c>
      <c r="K45" s="169">
        <v>5.8660636809878541E-2</v>
      </c>
    </row>
    <row r="46" spans="1:11" ht="16">
      <c r="A46" s="203">
        <v>1972</v>
      </c>
      <c r="B46" s="204">
        <v>0.18755362915074925</v>
      </c>
      <c r="C46" s="204">
        <v>4.0618399999999999E-2</v>
      </c>
      <c r="D46" s="204">
        <v>2.818449050444969E-2</v>
      </c>
      <c r="E46" s="205">
        <v>4761.7587115820115</v>
      </c>
      <c r="F46" s="136">
        <v>23425.774169195298</v>
      </c>
      <c r="G46" s="136">
        <v>255.53474710384677</v>
      </c>
      <c r="H46" s="136">
        <v>359.42111852214714</v>
      </c>
      <c r="I46" s="169">
        <v>0.14693522915074925</v>
      </c>
      <c r="J46" s="212">
        <v>0.15936913864629956</v>
      </c>
      <c r="K46" s="169">
        <v>6.0804303728189568E-2</v>
      </c>
    </row>
    <row r="47" spans="1:11" ht="16">
      <c r="A47" s="203">
        <v>1973</v>
      </c>
      <c r="B47" s="204">
        <v>-0.14308047437526472</v>
      </c>
      <c r="C47" s="204">
        <v>7.0354435483870964E-2</v>
      </c>
      <c r="D47" s="204">
        <v>3.6586646024150085E-2</v>
      </c>
      <c r="E47" s="205">
        <v>4080.4440162683081</v>
      </c>
      <c r="F47" s="136">
        <v>14376.397607635152</v>
      </c>
      <c r="G47" s="136">
        <v>273.51274998285163</v>
      </c>
      <c r="H47" s="136">
        <v>372.57113175912104</v>
      </c>
      <c r="I47" s="169">
        <v>-0.21343490985913569</v>
      </c>
      <c r="J47" s="212">
        <v>-0.17966712039941479</v>
      </c>
      <c r="K47" s="169">
        <v>5.4960045718843054E-2</v>
      </c>
    </row>
    <row r="48" spans="1:11" ht="16">
      <c r="A48" s="203">
        <v>1974</v>
      </c>
      <c r="B48" s="204">
        <v>-0.25901785750896972</v>
      </c>
      <c r="C48" s="204">
        <v>7.8457831325301208E-2</v>
      </c>
      <c r="D48" s="204">
        <v>1.9886086932378574E-2</v>
      </c>
      <c r="E48" s="205">
        <v>3023.5361494891954</v>
      </c>
      <c r="F48" s="136">
        <v>10522.085409028168</v>
      </c>
      <c r="G48" s="136">
        <v>294.97196718632551</v>
      </c>
      <c r="H48" s="136">
        <v>379.98011367377757</v>
      </c>
      <c r="I48" s="169">
        <v>-0.33747568883427093</v>
      </c>
      <c r="J48" s="212">
        <v>-0.27890394444134831</v>
      </c>
      <c r="K48" s="169">
        <v>4.6417018581159875E-2</v>
      </c>
    </row>
    <row r="49" spans="1:11" ht="16">
      <c r="A49" s="203">
        <v>1975</v>
      </c>
      <c r="B49" s="204">
        <v>0.36995137106184356</v>
      </c>
      <c r="C49" s="204">
        <v>5.7863855421686747E-2</v>
      </c>
      <c r="D49" s="204">
        <v>3.6052536026033838E-2</v>
      </c>
      <c r="E49" s="205">
        <v>4142.0974934477708</v>
      </c>
      <c r="F49" s="136">
        <v>16766.943099286389</v>
      </c>
      <c r="G49" s="136">
        <v>312.04018244904557</v>
      </c>
      <c r="H49" s="136">
        <v>393.67936041117781</v>
      </c>
      <c r="I49" s="169">
        <v>0.3120875156401568</v>
      </c>
      <c r="J49" s="212">
        <v>0.33389883503580975</v>
      </c>
      <c r="K49" s="169">
        <v>5.1706756781676244E-2</v>
      </c>
    </row>
    <row r="50" spans="1:11" ht="16">
      <c r="A50" s="203">
        <v>1976</v>
      </c>
      <c r="B50" s="204">
        <v>0.23830999002106662</v>
      </c>
      <c r="C50" s="204">
        <v>4.9766000000000005E-2</v>
      </c>
      <c r="D50" s="204">
        <v>0.1598456074290921</v>
      </c>
      <c r="E50" s="205">
        <v>5129.2007057775936</v>
      </c>
      <c r="F50" s="136">
        <v>24900.587196750217</v>
      </c>
      <c r="G50" s="136">
        <v>327.56917416880475</v>
      </c>
      <c r="H50" s="136">
        <v>456.607276908399</v>
      </c>
      <c r="I50" s="169">
        <v>0.18854399002106662</v>
      </c>
      <c r="J50" s="212">
        <v>7.8464382591974524E-2</v>
      </c>
      <c r="K50" s="169">
        <v>5.2196588038950109E-2</v>
      </c>
    </row>
    <row r="51" spans="1:11" ht="16">
      <c r="A51" s="203">
        <v>1977</v>
      </c>
      <c r="B51" s="204">
        <v>-6.9797040759352322E-2</v>
      </c>
      <c r="C51" s="204">
        <v>5.2609638554216867E-2</v>
      </c>
      <c r="D51" s="204">
        <v>1.2899606071070449E-2</v>
      </c>
      <c r="E51" s="205">
        <v>4771.1976750535359</v>
      </c>
      <c r="F51" s="136">
        <v>32537.597289993508</v>
      </c>
      <c r="G51" s="136">
        <v>344.80247002332891</v>
      </c>
      <c r="H51" s="136">
        <v>462.49733090970153</v>
      </c>
      <c r="I51" s="169">
        <v>-0.12240667931356919</v>
      </c>
      <c r="J51" s="212">
        <v>-8.2696646830422771E-2</v>
      </c>
      <c r="K51" s="169">
        <v>4.9266761357046551E-2</v>
      </c>
    </row>
    <row r="52" spans="1:11" ht="16">
      <c r="A52" s="203">
        <v>1978</v>
      </c>
      <c r="B52" s="204">
        <v>6.50928391167193E-2</v>
      </c>
      <c r="C52" s="204">
        <v>7.1783064516129036E-2</v>
      </c>
      <c r="D52" s="204">
        <v>-7.7758069075086478E-3</v>
      </c>
      <c r="E52" s="205">
        <v>5081.7684777098611</v>
      </c>
      <c r="F52" s="136">
        <v>42077.620815419607</v>
      </c>
      <c r="G52" s="136">
        <v>369.55344797433418</v>
      </c>
      <c r="H52" s="136">
        <v>458.90104096930958</v>
      </c>
      <c r="I52" s="169">
        <v>-6.6902253994097355E-3</v>
      </c>
      <c r="J52" s="212">
        <v>7.2868646024227948E-2</v>
      </c>
      <c r="K52" s="169">
        <v>4.9741898913203242E-2</v>
      </c>
    </row>
    <row r="53" spans="1:11" ht="16">
      <c r="A53" s="203">
        <v>1979</v>
      </c>
      <c r="B53" s="204">
        <v>0.18519490167516386</v>
      </c>
      <c r="C53" s="204">
        <v>0.10054274193548388</v>
      </c>
      <c r="D53" s="204">
        <v>6.7072031247235459E-3</v>
      </c>
      <c r="E53" s="205">
        <v>6022.8860912752862</v>
      </c>
      <c r="F53" s="136">
        <v>59737.598271651215</v>
      </c>
      <c r="G53" s="136">
        <v>406.7093649253859</v>
      </c>
      <c r="H53" s="136">
        <v>461.97898346523777</v>
      </c>
      <c r="I53" s="169">
        <v>8.4652159739679989E-2</v>
      </c>
      <c r="J53" s="212">
        <v>0.17848769855044033</v>
      </c>
      <c r="K53" s="169">
        <v>5.2132252828986925E-2</v>
      </c>
    </row>
    <row r="54" spans="1:11" ht="16">
      <c r="A54" s="203">
        <v>1980</v>
      </c>
      <c r="B54" s="204">
        <v>0.3173524550676301</v>
      </c>
      <c r="C54" s="204">
        <v>0.1139188</v>
      </c>
      <c r="D54" s="204">
        <v>-2.989744251999403E-2</v>
      </c>
      <c r="E54" s="205">
        <v>7934.2637789341807</v>
      </c>
      <c r="F54" s="136">
        <v>85072.313698658487</v>
      </c>
      <c r="G54" s="136">
        <v>453.04120772644796</v>
      </c>
      <c r="H54" s="136">
        <v>448.16699336164055</v>
      </c>
      <c r="I54" s="169">
        <v>0.20343365506763011</v>
      </c>
      <c r="J54" s="212">
        <v>0.34724989758762415</v>
      </c>
      <c r="K54" s="169">
        <v>5.7318705257589642E-2</v>
      </c>
    </row>
    <row r="55" spans="1:11" ht="16">
      <c r="A55" s="203">
        <v>1981</v>
      </c>
      <c r="B55" s="204">
        <v>-4.7023902474955762E-2</v>
      </c>
      <c r="C55" s="204">
        <v>0.14036184738955823</v>
      </c>
      <c r="D55" s="204">
        <v>8.1992153358923542E-2</v>
      </c>
      <c r="E55" s="205">
        <v>7561.1637327830058</v>
      </c>
      <c r="F55" s="136">
        <v>81550.319911534025</v>
      </c>
      <c r="G55" s="136">
        <v>516.63090858652879</v>
      </c>
      <c r="H55" s="136">
        <v>484.91317021175587</v>
      </c>
      <c r="I55" s="169">
        <v>-0.18738574986451401</v>
      </c>
      <c r="J55" s="212">
        <v>-0.12901605583387932</v>
      </c>
      <c r="K55" s="169">
        <v>5.3730990468644491E-2</v>
      </c>
    </row>
    <row r="56" spans="1:11" ht="16">
      <c r="A56" s="203">
        <v>1982</v>
      </c>
      <c r="B56" s="204">
        <v>0.20419055079559353</v>
      </c>
      <c r="C56" s="204">
        <v>0.10603413654618475</v>
      </c>
      <c r="D56" s="204">
        <v>0.32814549486295586</v>
      </c>
      <c r="E56" s="205">
        <v>9105.0819200356327</v>
      </c>
      <c r="F56" s="136">
        <v>103658.6116395509</v>
      </c>
      <c r="G56" s="136">
        <v>571.41142089157233</v>
      </c>
      <c r="H56" s="136">
        <v>644.03524241645721</v>
      </c>
      <c r="I56" s="169">
        <v>9.8156414249408783E-2</v>
      </c>
      <c r="J56" s="212">
        <v>-0.12395494406736232</v>
      </c>
      <c r="K56" s="169">
        <v>5.1038688692139678E-2</v>
      </c>
    </row>
    <row r="57" spans="1:11" ht="16">
      <c r="A57" s="203">
        <v>1983</v>
      </c>
      <c r="B57" s="204">
        <v>0.22337155858930619</v>
      </c>
      <c r="C57" s="204">
        <v>8.61764E-2</v>
      </c>
      <c r="D57" s="204">
        <v>3.2002094451429264E-2</v>
      </c>
      <c r="E57" s="205">
        <v>11138.898259597305</v>
      </c>
      <c r="F57" s="136">
        <v>140830.58977349385</v>
      </c>
      <c r="G57" s="136">
        <v>620.65360006289291</v>
      </c>
      <c r="H57" s="136">
        <v>664.64571907431775</v>
      </c>
      <c r="I57" s="169">
        <v>0.1371951585893062</v>
      </c>
      <c r="J57" s="212">
        <v>0.19136946413787692</v>
      </c>
      <c r="K57" s="169">
        <v>5.3402830654563971E-2</v>
      </c>
    </row>
    <row r="58" spans="1:11" ht="16">
      <c r="A58" s="203">
        <v>1984</v>
      </c>
      <c r="B58" s="204">
        <v>6.14614199963621E-2</v>
      </c>
      <c r="C58" s="204">
        <v>9.5402811244979929E-2</v>
      </c>
      <c r="D58" s="204">
        <v>0.13733364344102345</v>
      </c>
      <c r="E58" s="205">
        <v>11823.510763827162</v>
      </c>
      <c r="F58" s="136">
        <v>120381.98813838254</v>
      </c>
      <c r="G58" s="136">
        <v>679.86569831821032</v>
      </c>
      <c r="H58" s="136">
        <v>755.92393727227272</v>
      </c>
      <c r="I58" s="169">
        <v>-3.3941391248617829E-2</v>
      </c>
      <c r="J58" s="212">
        <v>-7.5872223444661352E-2</v>
      </c>
      <c r="K58" s="169">
        <v>5.1212126318051387E-2</v>
      </c>
    </row>
    <row r="59" spans="1:11" ht="16">
      <c r="A59" s="203">
        <v>1985</v>
      </c>
      <c r="B59" s="204">
        <v>0.31235149485768948</v>
      </c>
      <c r="C59" s="204">
        <v>7.4711290322580642E-2</v>
      </c>
      <c r="D59" s="204">
        <v>0.2571248821260641</v>
      </c>
      <c r="E59" s="205">
        <v>15516.602025374559</v>
      </c>
      <c r="F59" s="136">
        <v>150646.01995637192</v>
      </c>
      <c r="G59" s="136">
        <v>730.65934188562619</v>
      </c>
      <c r="H59" s="136">
        <v>950.2907905396761</v>
      </c>
      <c r="I59" s="169">
        <v>0.23764020453510884</v>
      </c>
      <c r="J59" s="212">
        <v>5.522661273162538E-2</v>
      </c>
      <c r="K59" s="169">
        <v>5.1284365102581608E-2</v>
      </c>
    </row>
    <row r="60" spans="1:11" ht="16">
      <c r="A60" s="203">
        <v>1986</v>
      </c>
      <c r="B60" s="204">
        <v>0.18494578758046187</v>
      </c>
      <c r="C60" s="204">
        <v>5.9692800000000004E-2</v>
      </c>
      <c r="D60" s="204">
        <v>0.24284215141767618</v>
      </c>
      <c r="E60" s="205">
        <v>18386.332207530046</v>
      </c>
      <c r="F60" s="136">
        <v>153899.97398742958</v>
      </c>
      <c r="G60" s="136">
        <v>774.27444384893658</v>
      </c>
      <c r="H60" s="136">
        <v>1181.0614505867354</v>
      </c>
      <c r="I60" s="169">
        <v>0.12525298758046188</v>
      </c>
      <c r="J60" s="212">
        <v>-5.7896363837214304E-2</v>
      </c>
      <c r="K60" s="169">
        <v>4.9663565599739057E-2</v>
      </c>
    </row>
    <row r="61" spans="1:11" ht="16">
      <c r="A61" s="203">
        <v>1987</v>
      </c>
      <c r="B61" s="204">
        <v>5.8127216418218712E-2</v>
      </c>
      <c r="C61" s="204">
        <v>5.7773600000000001E-2</v>
      </c>
      <c r="D61" s="204">
        <v>-4.9605089379262279E-2</v>
      </c>
      <c r="E61" s="205">
        <v>19455.07851889441</v>
      </c>
      <c r="F61" s="136">
        <v>132307.80763699321</v>
      </c>
      <c r="G61" s="136">
        <v>819.00706585808746</v>
      </c>
      <c r="H61" s="136">
        <v>1122.4747917679792</v>
      </c>
      <c r="I61" s="169">
        <v>3.536164182187107E-4</v>
      </c>
      <c r="J61" s="212">
        <v>0.107732305797481</v>
      </c>
      <c r="K61" s="169">
        <v>5.0693590437507208E-2</v>
      </c>
    </row>
    <row r="62" spans="1:11" ht="16">
      <c r="A62" s="203">
        <v>1988</v>
      </c>
      <c r="B62" s="204">
        <v>0.16537192812044688</v>
      </c>
      <c r="C62" s="204">
        <v>6.6684400000000005E-2</v>
      </c>
      <c r="D62" s="204">
        <v>8.2235958434841674E-2</v>
      </c>
      <c r="E62" s="205">
        <v>22672.402365298665</v>
      </c>
      <c r="F62" s="136">
        <v>155289.67382353893</v>
      </c>
      <c r="G62" s="136">
        <v>873.62206064059444</v>
      </c>
      <c r="H62" s="136">
        <v>1214.7825820879684</v>
      </c>
      <c r="I62" s="169">
        <v>9.8687528120446871E-2</v>
      </c>
      <c r="J62" s="212">
        <v>8.3135969685605202E-2</v>
      </c>
      <c r="K62" s="169">
        <v>5.1199933578993884E-2</v>
      </c>
    </row>
    <row r="63" spans="1:11" ht="16">
      <c r="A63" s="203">
        <v>1989</v>
      </c>
      <c r="B63" s="204">
        <v>0.31475183638196724</v>
      </c>
      <c r="C63" s="204">
        <v>8.111560000000001E-2</v>
      </c>
      <c r="D63" s="204">
        <v>0.17693647159446219</v>
      </c>
      <c r="E63" s="205">
        <v>29808.582644967279</v>
      </c>
      <c r="F63" s="136">
        <v>166082.30615427491</v>
      </c>
      <c r="G63" s="136">
        <v>944.48643826269256</v>
      </c>
      <c r="H63" s="136">
        <v>1429.7219259170236</v>
      </c>
      <c r="I63" s="169">
        <v>0.23363623638196723</v>
      </c>
      <c r="J63" s="212">
        <v>0.13781536478750506</v>
      </c>
      <c r="K63" s="169">
        <v>5.240982169336883E-2</v>
      </c>
    </row>
    <row r="64" spans="1:11" ht="16">
      <c r="A64" s="203">
        <v>1990</v>
      </c>
      <c r="B64" s="204">
        <v>-3.0644516129032118E-2</v>
      </c>
      <c r="C64" s="204">
        <v>7.4964799999999998E-2</v>
      </c>
      <c r="D64" s="204">
        <v>6.2353753335533363E-2</v>
      </c>
      <c r="E64" s="205">
        <v>28895.113053319994</v>
      </c>
      <c r="F64" s="136">
        <v>119712.12627600135</v>
      </c>
      <c r="G64" s="136">
        <v>1015.2896752097677</v>
      </c>
      <c r="H64" s="136">
        <v>1518.8704542240573</v>
      </c>
      <c r="I64" s="169">
        <v>-0.10560931612903211</v>
      </c>
      <c r="J64" s="212">
        <v>-9.2998269464565478E-2</v>
      </c>
      <c r="K64" s="169">
        <v>4.9979953137364364E-2</v>
      </c>
    </row>
    <row r="65" spans="1:11" ht="16">
      <c r="A65" s="203">
        <v>1991</v>
      </c>
      <c r="B65" s="204">
        <v>0.30234843134879757</v>
      </c>
      <c r="C65" s="204">
        <v>5.3756000000000005E-2</v>
      </c>
      <c r="D65" s="204">
        <v>0.15004510019517303</v>
      </c>
      <c r="E65" s="205">
        <v>37631.505158637461</v>
      </c>
      <c r="F65" s="136">
        <v>175102.92710390719</v>
      </c>
      <c r="G65" s="136">
        <v>1069.8675869903439</v>
      </c>
      <c r="H65" s="136">
        <v>1746.769523711594</v>
      </c>
      <c r="I65" s="169">
        <v>0.24859243134879758</v>
      </c>
      <c r="J65" s="212">
        <v>0.15230333115362454</v>
      </c>
      <c r="K65" s="169">
        <v>5.13850639844049E-2</v>
      </c>
    </row>
    <row r="66" spans="1:11" ht="16">
      <c r="A66" s="203">
        <v>1992</v>
      </c>
      <c r="B66" s="204">
        <v>7.493727972380064E-2</v>
      </c>
      <c r="C66" s="204">
        <v>3.4313147410358569E-2</v>
      </c>
      <c r="D66" s="204">
        <v>9.3616373162079422E-2</v>
      </c>
      <c r="E66" s="205">
        <v>40451.507787137925</v>
      </c>
      <c r="F66" s="136">
        <v>219771.68380811394</v>
      </c>
      <c r="G66" s="136">
        <v>1106.5781112123082</v>
      </c>
      <c r="H66" s="136">
        <v>1910.2957512715263</v>
      </c>
      <c r="I66" s="169">
        <v>4.0624132313442071E-2</v>
      </c>
      <c r="J66" s="212">
        <v>-1.8679093438278782E-2</v>
      </c>
      <c r="K66" s="169">
        <v>5.0319857010869606E-2</v>
      </c>
    </row>
    <row r="67" spans="1:11" ht="16">
      <c r="A67" s="203">
        <v>1993</v>
      </c>
      <c r="B67" s="204">
        <v>9.96705147919488E-2</v>
      </c>
      <c r="C67" s="204">
        <v>2.9971199999999996E-2</v>
      </c>
      <c r="D67" s="204">
        <v>0.14210957589263107</v>
      </c>
      <c r="E67" s="205">
        <v>44483.33039239249</v>
      </c>
      <c r="F67" s="136">
        <v>276318.93805194169</v>
      </c>
      <c r="G67" s="136">
        <v>1139.7435850990746</v>
      </c>
      <c r="H67" s="136">
        <v>2181.7670703142176</v>
      </c>
      <c r="I67" s="169">
        <v>6.9699314791948797E-2</v>
      </c>
      <c r="J67" s="212">
        <v>-4.2439061100682268E-2</v>
      </c>
      <c r="K67" s="169">
        <v>4.8975937931758473E-2</v>
      </c>
    </row>
    <row r="68" spans="1:11" ht="16">
      <c r="A68" s="203">
        <v>1994</v>
      </c>
      <c r="B68" s="204">
        <v>1.3259206774573897E-2</v>
      </c>
      <c r="C68" s="204">
        <v>4.2522489959839357E-2</v>
      </c>
      <c r="D68" s="204">
        <v>-8.0366555509985921E-2</v>
      </c>
      <c r="E68" s="205">
        <v>45073.144068086905</v>
      </c>
      <c r="F68" s="136">
        <v>262475.35925553943</v>
      </c>
      <c r="G68" s="136">
        <v>1188.2083202532413</v>
      </c>
      <c r="H68" s="136">
        <v>2006.4259659479505</v>
      </c>
      <c r="I68" s="169">
        <v>-2.926328318526546E-2</v>
      </c>
      <c r="J68" s="212">
        <v>9.3625762284559821E-2</v>
      </c>
      <c r="K68" s="169">
        <v>4.9718636171719899E-2</v>
      </c>
    </row>
    <row r="69" spans="1:11" ht="16">
      <c r="A69" s="203">
        <v>1995</v>
      </c>
      <c r="B69" s="204">
        <v>0.37195198902606308</v>
      </c>
      <c r="C69" s="204">
        <v>5.4896E-2</v>
      </c>
      <c r="D69" s="204">
        <v>0.23480780112538907</v>
      </c>
      <c r="E69" s="205">
        <v>61838.189655870119</v>
      </c>
      <c r="F69" s="136">
        <v>347176.15768730198</v>
      </c>
      <c r="G69" s="136">
        <v>1253.4362042018633</v>
      </c>
      <c r="H69" s="136">
        <v>2477.5504351330737</v>
      </c>
      <c r="I69" s="169">
        <v>0.31705598902606308</v>
      </c>
      <c r="J69" s="212">
        <v>0.13714418790067401</v>
      </c>
      <c r="K69" s="169">
        <v>5.0791451119413633E-2</v>
      </c>
    </row>
    <row r="70" spans="1:11" ht="16">
      <c r="A70" s="203">
        <v>1996</v>
      </c>
      <c r="B70" s="204">
        <v>0.22680966018865789</v>
      </c>
      <c r="C70" s="204">
        <v>5.005396825396826E-2</v>
      </c>
      <c r="D70" s="204">
        <v>1.428607793401844E-2</v>
      </c>
      <c r="E70" s="205">
        <v>75863.688438399797</v>
      </c>
      <c r="F70" s="136">
        <v>397968.02955695428</v>
      </c>
      <c r="G70" s="136">
        <v>1316.175660175358</v>
      </c>
      <c r="H70" s="136">
        <v>2512.9449137348461</v>
      </c>
      <c r="I70" s="169">
        <v>0.17675569193468962</v>
      </c>
      <c r="J70" s="212">
        <v>0.21252358225463946</v>
      </c>
      <c r="K70" s="169">
        <v>5.304503967737495E-2</v>
      </c>
    </row>
    <row r="71" spans="1:11" ht="16">
      <c r="A71" s="203">
        <v>1997</v>
      </c>
      <c r="B71" s="204">
        <v>0.33103653103653097</v>
      </c>
      <c r="C71" s="204">
        <v>5.0620800000000001E-2</v>
      </c>
      <c r="D71" s="204">
        <v>9.939130272977531E-2</v>
      </c>
      <c r="E71" s="205">
        <v>100977.34069068384</v>
      </c>
      <c r="F71" s="136">
        <v>486197.54170973104</v>
      </c>
      <c r="G71" s="136">
        <v>1382.8015250339627</v>
      </c>
      <c r="H71" s="136">
        <v>2762.7097823991153</v>
      </c>
      <c r="I71" s="169">
        <v>0.28041573103653095</v>
      </c>
      <c r="J71" s="212">
        <v>0.23164522830675566</v>
      </c>
      <c r="K71" s="169">
        <v>5.5315584903303572E-2</v>
      </c>
    </row>
    <row r="72" spans="1:11" ht="16">
      <c r="A72" s="203">
        <v>1998</v>
      </c>
      <c r="B72" s="204">
        <v>0.28337953278443584</v>
      </c>
      <c r="C72" s="204">
        <v>4.7759600000000006E-2</v>
      </c>
      <c r="D72" s="204">
        <v>0.14921431922606215</v>
      </c>
      <c r="E72" s="205">
        <v>129592.25231742462</v>
      </c>
      <c r="F72" s="136">
        <v>420755.35259560123</v>
      </c>
      <c r="G72" s="136">
        <v>1448.8435727489748</v>
      </c>
      <c r="H72" s="136">
        <v>3174.9456417989818</v>
      </c>
      <c r="I72" s="169">
        <v>0.23561993278443583</v>
      </c>
      <c r="J72" s="212">
        <v>0.13416521355837369</v>
      </c>
      <c r="K72" s="169">
        <v>5.6306048135548625E-2</v>
      </c>
    </row>
    <row r="73" spans="1:11" ht="16">
      <c r="A73" s="203">
        <v>1999</v>
      </c>
      <c r="B73" s="204">
        <v>0.20885350992084475</v>
      </c>
      <c r="C73" s="204">
        <v>4.6384063745019917E-2</v>
      </c>
      <c r="D73" s="204">
        <v>-8.2542147962685761E-2</v>
      </c>
      <c r="E73" s="205">
        <v>156658.0490724665</v>
      </c>
      <c r="F73" s="136">
        <v>581652.19942815916</v>
      </c>
      <c r="G73" s="136">
        <v>1516.0468253839256</v>
      </c>
      <c r="H73" s="136">
        <v>2912.8788088601259</v>
      </c>
      <c r="I73" s="169">
        <v>0.16246944617582484</v>
      </c>
      <c r="J73" s="212">
        <v>0.2913956578835305</v>
      </c>
      <c r="K73" s="169">
        <v>5.9634694818320177E-2</v>
      </c>
    </row>
    <row r="74" spans="1:11" ht="16">
      <c r="A74" s="203">
        <v>2000</v>
      </c>
      <c r="B74" s="204">
        <v>-9.0318189552492781E-2</v>
      </c>
      <c r="C74" s="204">
        <v>5.8198007968127491E-2</v>
      </c>
      <c r="D74" s="204">
        <v>0.16655267125397488</v>
      </c>
      <c r="E74" s="205">
        <v>142508.97770141574</v>
      </c>
      <c r="F74" s="136">
        <v>527616.71010128316</v>
      </c>
      <c r="G74" s="136">
        <v>1604.2777306076737</v>
      </c>
      <c r="H74" s="136">
        <v>3398.0265555148762</v>
      </c>
      <c r="I74" s="169">
        <v>-0.14851619752062029</v>
      </c>
      <c r="J74" s="212">
        <v>-0.25687086080646765</v>
      </c>
      <c r="K74" s="169">
        <v>5.5111895842923087E-2</v>
      </c>
    </row>
    <row r="75" spans="1:11" ht="16">
      <c r="A75" s="203">
        <v>2001</v>
      </c>
      <c r="B75" s="204">
        <v>-0.11849759142000185</v>
      </c>
      <c r="C75" s="204">
        <v>3.3993548387096777E-2</v>
      </c>
      <c r="D75" s="204">
        <v>5.5721811892492555E-2</v>
      </c>
      <c r="E75" s="205">
        <v>125622.00708807123</v>
      </c>
      <c r="F75" s="136">
        <v>697192.72072783567</v>
      </c>
      <c r="G75" s="136">
        <v>1658.8128232694276</v>
      </c>
      <c r="H75" s="136">
        <v>3587.3707520469702</v>
      </c>
      <c r="I75" s="169">
        <v>-0.15249113980709864</v>
      </c>
      <c r="J75" s="212">
        <v>-0.17421940331249441</v>
      </c>
      <c r="K75" s="169">
        <v>5.1665345512908356E-2</v>
      </c>
    </row>
    <row r="76" spans="1:11" ht="16">
      <c r="A76" s="203">
        <v>2002</v>
      </c>
      <c r="B76" s="204">
        <v>-0.21966047957912699</v>
      </c>
      <c r="C76" s="204">
        <v>1.60532E-2</v>
      </c>
      <c r="D76" s="204">
        <v>0.15116400378109285</v>
      </c>
      <c r="E76" s="205">
        <v>98027.816765413008</v>
      </c>
      <c r="F76" s="136">
        <v>672233.2213257791</v>
      </c>
      <c r="G76" s="136">
        <v>1685.4420772839362</v>
      </c>
      <c r="H76" s="136">
        <v>4129.6520779735802</v>
      </c>
      <c r="I76" s="169">
        <v>-0.23571367957912698</v>
      </c>
      <c r="J76" s="212">
        <v>-0.37082448336021984</v>
      </c>
      <c r="K76" s="169">
        <v>4.5325449773477855E-2</v>
      </c>
    </row>
    <row r="77" spans="1:11" ht="16">
      <c r="A77" s="203">
        <v>2003</v>
      </c>
      <c r="B77" s="204">
        <v>0.28355800050010233</v>
      </c>
      <c r="C77" s="204">
        <v>1.00836E-2</v>
      </c>
      <c r="D77" s="204">
        <v>3.7531858817758529E-3</v>
      </c>
      <c r="E77" s="205">
        <v>125824.38848080393</v>
      </c>
      <c r="F77" s="136">
        <v>1290082.7750463025</v>
      </c>
      <c r="G77" s="136">
        <v>1702.4374010144365</v>
      </c>
      <c r="H77" s="136">
        <v>4145.1514298492766</v>
      </c>
      <c r="I77" s="169">
        <v>0.2734744005001023</v>
      </c>
      <c r="J77" s="212">
        <v>0.27980481461832646</v>
      </c>
      <c r="K77" s="169">
        <v>4.8237796117156506E-2</v>
      </c>
    </row>
    <row r="78" spans="1:11" ht="16">
      <c r="A78" s="203">
        <v>2004</v>
      </c>
      <c r="B78" s="204">
        <v>0.10742775944096193</v>
      </c>
      <c r="C78" s="204">
        <v>1.3746400000000001E-2</v>
      </c>
      <c r="D78" s="204">
        <v>4.490683702274547E-2</v>
      </c>
      <c r="E78" s="205">
        <v>139341.42061832585</v>
      </c>
      <c r="F78" s="136">
        <v>1515718.2524019009</v>
      </c>
      <c r="G78" s="136">
        <v>1725.8397865037414</v>
      </c>
      <c r="H78" s="136">
        <v>4331.2970695441181</v>
      </c>
      <c r="I78" s="169">
        <v>9.3681359440961925E-2</v>
      </c>
      <c r="J78" s="212">
        <v>6.2520922418216468E-2</v>
      </c>
      <c r="K78" s="169">
        <v>4.842299846885445E-2</v>
      </c>
    </row>
    <row r="79" spans="1:11" ht="16">
      <c r="A79" s="203">
        <v>2005</v>
      </c>
      <c r="B79" s="204">
        <v>4.8344775232688535E-2</v>
      </c>
      <c r="C79" s="204">
        <v>3.1491600000000002E-2</v>
      </c>
      <c r="D79" s="204">
        <v>2.8675329597779506E-2</v>
      </c>
      <c r="E79" s="205">
        <v>146077.8502787223</v>
      </c>
      <c r="F79" s="136">
        <v>1575285.9797212954</v>
      </c>
      <c r="G79" s="136">
        <v>1780.1892427244027</v>
      </c>
      <c r="H79" s="136">
        <v>4455.4984405991927</v>
      </c>
      <c r="I79" s="169">
        <v>1.6853175232688533E-2</v>
      </c>
      <c r="J79" s="212">
        <v>1.9669445634909029E-2</v>
      </c>
      <c r="K79" s="169">
        <v>4.8042189402255131E-2</v>
      </c>
    </row>
    <row r="80" spans="1:11" ht="16">
      <c r="A80" s="203">
        <v>2006</v>
      </c>
      <c r="B80" s="204">
        <v>0.15612557979315703</v>
      </c>
      <c r="C80" s="204">
        <v>4.7300000000000002E-2</v>
      </c>
      <c r="D80" s="204">
        <v>1.9610012417568386E-2</v>
      </c>
      <c r="E80" s="205">
        <v>168884.33934842583</v>
      </c>
      <c r="F80" s="136">
        <v>1866241.3001758184</v>
      </c>
      <c r="G80" s="136">
        <v>1864.3921939052668</v>
      </c>
      <c r="H80" s="136">
        <v>4542.8708203458</v>
      </c>
      <c r="I80" s="169">
        <v>0.10882557979315702</v>
      </c>
      <c r="J80" s="212">
        <v>0.13651556737558865</v>
      </c>
      <c r="K80" s="169">
        <v>4.9149036004805913E-2</v>
      </c>
    </row>
    <row r="81" spans="1:11" ht="16">
      <c r="A81" s="203">
        <v>2007</v>
      </c>
      <c r="B81" s="204">
        <v>5.4847352464217694E-2</v>
      </c>
      <c r="C81" s="204">
        <v>4.3619521912350592E-2</v>
      </c>
      <c r="D81" s="204">
        <v>0.10209921930012807</v>
      </c>
      <c r="E81" s="205">
        <v>178147.19823435548</v>
      </c>
      <c r="F81" s="136">
        <v>1695480.221209731</v>
      </c>
      <c r="G81" s="136">
        <v>1945.7160900605329</v>
      </c>
      <c r="H81" s="136">
        <v>5006.6943844844382</v>
      </c>
      <c r="I81" s="169">
        <v>1.1227830551867102E-2</v>
      </c>
      <c r="J81" s="212">
        <v>-4.7251866835910372E-2</v>
      </c>
      <c r="K81" s="169">
        <v>4.7948712238125024E-2</v>
      </c>
    </row>
    <row r="82" spans="1:11" ht="16">
      <c r="A82" s="203">
        <v>2008</v>
      </c>
      <c r="B82" s="204">
        <v>-0.36552344111798191</v>
      </c>
      <c r="C82" s="204">
        <v>1.3713147410358567E-2</v>
      </c>
      <c r="D82" s="204">
        <v>0.20101279926977011</v>
      </c>
      <c r="E82" s="205">
        <v>113030.22131020659</v>
      </c>
      <c r="F82" s="136">
        <v>935226.89001928759</v>
      </c>
      <c r="G82" s="136">
        <v>1972.3979816222397</v>
      </c>
      <c r="H82" s="136">
        <v>6013.1040377978934</v>
      </c>
      <c r="I82" s="169">
        <v>-0.37923658852834047</v>
      </c>
      <c r="J82" s="212">
        <v>-0.56653624038775208</v>
      </c>
      <c r="K82" s="169">
        <v>3.8795868868689798E-2</v>
      </c>
    </row>
    <row r="83" spans="1:11" ht="16">
      <c r="A83" s="203">
        <v>2009</v>
      </c>
      <c r="B83" s="204">
        <v>0.25935233877663982</v>
      </c>
      <c r="C83" s="204">
        <v>1.5051999999999999E-3</v>
      </c>
      <c r="D83" s="204">
        <v>-0.11116695313259162</v>
      </c>
      <c r="E83" s="205">
        <v>142344.87355944986</v>
      </c>
      <c r="F83" s="136">
        <v>1379272.6174004453</v>
      </c>
      <c r="G83" s="136">
        <v>1975.3668350641774</v>
      </c>
      <c r="H83" s="136">
        <v>5344.6455830466175</v>
      </c>
      <c r="I83" s="169">
        <v>0.25784713877663984</v>
      </c>
      <c r="J83" s="212">
        <v>0.37051929190923144</v>
      </c>
      <c r="K83" s="169">
        <v>4.2868506133348472E-2</v>
      </c>
    </row>
    <row r="84" spans="1:11" ht="16">
      <c r="A84" s="203">
        <v>2010</v>
      </c>
      <c r="B84" s="204">
        <v>0.14821092278719414</v>
      </c>
      <c r="C84" s="204">
        <v>1.3844621513944221E-3</v>
      </c>
      <c r="D84" s="204">
        <v>8.4629338803557719E-2</v>
      </c>
      <c r="E84" s="205">
        <v>163441.93862372241</v>
      </c>
      <c r="F84" s="136">
        <v>1768779.204554331</v>
      </c>
      <c r="G84" s="136">
        <v>1978.1016556824434</v>
      </c>
      <c r="H84" s="136">
        <v>5796.9594048792078</v>
      </c>
      <c r="I84" s="169">
        <v>0.14682646063579971</v>
      </c>
      <c r="J84" s="212">
        <v>6.3581583983636419E-2</v>
      </c>
      <c r="K84" s="169">
        <v>4.3108516433475463E-2</v>
      </c>
    </row>
    <row r="85" spans="1:11" ht="16">
      <c r="A85" s="203">
        <v>2011</v>
      </c>
      <c r="B85" s="204">
        <v>2.09837473362805E-2</v>
      </c>
      <c r="C85" s="204">
        <v>5.2839999999999994E-4</v>
      </c>
      <c r="D85" s="204">
        <v>0.16035334999461354</v>
      </c>
      <c r="E85" s="205">
        <v>166871.56296795449</v>
      </c>
      <c r="F85" s="136">
        <v>1518496.9471098932</v>
      </c>
      <c r="G85" s="136">
        <v>1979.1468845973061</v>
      </c>
      <c r="H85" s="136">
        <v>6726.5212652343698</v>
      </c>
      <c r="I85" s="169">
        <v>2.0455347336280502E-2</v>
      </c>
      <c r="J85" s="212">
        <v>-0.13936960265833304</v>
      </c>
      <c r="K85" s="169">
        <v>4.0970429004248521E-2</v>
      </c>
    </row>
    <row r="86" spans="1:11" ht="16">
      <c r="A86" s="203">
        <v>2012</v>
      </c>
      <c r="B86" s="204">
        <v>0.15890585241730293</v>
      </c>
      <c r="C86" s="204">
        <v>8.7599999999999993E-4</v>
      </c>
      <c r="D86" s="204">
        <v>2.971571978018946E-2</v>
      </c>
      <c r="E86" s="205">
        <v>193388.43092558492</v>
      </c>
      <c r="F86" s="136">
        <v>1802911.4253035763</v>
      </c>
      <c r="G86" s="136">
        <v>1980.8806172682134</v>
      </c>
      <c r="H86" s="136">
        <v>6926.4046862475598</v>
      </c>
      <c r="I86" s="169">
        <v>0.15802985241730294</v>
      </c>
      <c r="J86" s="212">
        <v>0.12919013263711346</v>
      </c>
      <c r="K86" s="169">
        <v>4.1988275684727405E-2</v>
      </c>
    </row>
    <row r="87" spans="1:11" ht="16">
      <c r="A87" s="203">
        <v>2013</v>
      </c>
      <c r="B87" s="204">
        <v>0.32145085858125483</v>
      </c>
      <c r="C87" s="204">
        <v>5.708E-4</v>
      </c>
      <c r="D87" s="204">
        <v>-9.104568794347262E-2</v>
      </c>
      <c r="E87" s="205">
        <v>255553.30808629587</v>
      </c>
      <c r="F87" s="136">
        <v>2716626.935647429</v>
      </c>
      <c r="G87" s="136">
        <v>1982.01130392455</v>
      </c>
      <c r="H87" s="136">
        <v>6295.7854066132577</v>
      </c>
      <c r="I87" s="169">
        <v>0.32088005858125485</v>
      </c>
      <c r="J87" s="212">
        <v>0.41249654652472745</v>
      </c>
      <c r="K87" s="169">
        <v>4.6176809418723153E-2</v>
      </c>
    </row>
    <row r="88" spans="1:11" ht="16">
      <c r="A88" s="203">
        <v>2014</v>
      </c>
      <c r="B88" s="204">
        <v>0.13524421649462237</v>
      </c>
      <c r="C88" s="204">
        <v>3.2719999999999998E-4</v>
      </c>
      <c r="D88" s="204">
        <v>0.10746180452004755</v>
      </c>
      <c r="E88" s="205">
        <v>290115.4150110358</v>
      </c>
      <c r="F88" s="136">
        <v>2759821.3039242229</v>
      </c>
      <c r="G88" s="136">
        <v>1982.6598180231942</v>
      </c>
      <c r="H88" s="136">
        <v>6972.3418672788994</v>
      </c>
      <c r="I88" s="169">
        <v>0.13491701649462237</v>
      </c>
      <c r="J88" s="212">
        <v>2.7782411974574817E-2</v>
      </c>
      <c r="K88" s="169">
        <v>4.5975029375833421E-2</v>
      </c>
    </row>
    <row r="89" spans="1:11" ht="16">
      <c r="A89" s="161">
        <v>2015</v>
      </c>
      <c r="B89" s="204">
        <v>1.3788916411676138E-2</v>
      </c>
      <c r="C89" s="204">
        <v>5.2031872509960154E-4</v>
      </c>
      <c r="D89" s="204">
        <v>1.2842996709792224E-2</v>
      </c>
      <c r="E89" s="205">
        <v>294115.79221836175</v>
      </c>
      <c r="F89" s="136">
        <v>2505641.7618328016</v>
      </c>
      <c r="G89" s="136">
        <v>1983.6914330520142</v>
      </c>
      <c r="H89" s="136">
        <v>7061.8876309399093</v>
      </c>
      <c r="I89" s="169">
        <v>1.3268597686576535E-2</v>
      </c>
      <c r="J89" s="212">
        <v>9.4591970188391376E-4</v>
      </c>
      <c r="K89" s="169">
        <v>4.5434457313765497E-2</v>
      </c>
    </row>
    <row r="90" spans="1:11" ht="16">
      <c r="A90" s="208">
        <v>2016</v>
      </c>
      <c r="B90" s="204">
        <v>0.11773080874798171</v>
      </c>
      <c r="C90" s="204">
        <v>3.1612000000000003E-3</v>
      </c>
      <c r="D90" s="204">
        <v>6.9055046987477921E-3</v>
      </c>
      <c r="E90" s="205">
        <v>328742.28230178286</v>
      </c>
      <c r="F90" s="136">
        <v>2944129.0701535419</v>
      </c>
      <c r="G90" s="136">
        <v>1989.9622784101784</v>
      </c>
      <c r="H90" s="136">
        <v>7110.6535291573937</v>
      </c>
      <c r="I90" s="169">
        <v>0.11456960874798171</v>
      </c>
      <c r="J90" s="212">
        <v>0.11082530404923392</v>
      </c>
      <c r="K90" s="169">
        <v>4.6176501247687796E-2</v>
      </c>
    </row>
    <row r="91" spans="1:11" ht="16">
      <c r="A91" s="208">
        <v>2017</v>
      </c>
      <c r="B91" s="204">
        <v>0.2160548143449928</v>
      </c>
      <c r="C91" s="204">
        <v>9.3411999999999992E-3</v>
      </c>
      <c r="D91" s="204">
        <v>2.8017162707789457E-2</v>
      </c>
      <c r="E91" s="205">
        <v>399768.63507184375</v>
      </c>
      <c r="F91" s="136">
        <v>3399585.8373062951</v>
      </c>
      <c r="G91" s="136">
        <v>2008.5509140452634</v>
      </c>
      <c r="H91" s="136">
        <v>7309.8738660425133</v>
      </c>
      <c r="I91" s="169">
        <v>0.2067136143449928</v>
      </c>
      <c r="J91" s="212">
        <v>0.18803765163720335</v>
      </c>
      <c r="K91" s="169">
        <v>4.7686840373502015E-2</v>
      </c>
    </row>
    <row r="92" spans="1:11" ht="16">
      <c r="A92" s="208">
        <v>2018</v>
      </c>
      <c r="B92" s="204">
        <v>-4.2268692890885438E-2</v>
      </c>
      <c r="C92" s="204">
        <v>1.936305220883534E-2</v>
      </c>
      <c r="D92" s="204">
        <v>-1.6692385713402633E-4</v>
      </c>
      <c r="E92" s="205">
        <v>382870.93740858353</v>
      </c>
      <c r="F92" s="136">
        <v>2846813.180160291</v>
      </c>
      <c r="G92" s="136">
        <v>2047.4425902580256</v>
      </c>
      <c r="H92" s="136">
        <v>7308.6536737016304</v>
      </c>
      <c r="I92" s="169">
        <v>-6.1631745099720775E-2</v>
      </c>
      <c r="J92" s="212">
        <v>-4.2101769033751416E-2</v>
      </c>
      <c r="K92" s="169">
        <v>4.6608669094632571E-2</v>
      </c>
    </row>
    <row r="93" spans="1:11" ht="16">
      <c r="A93" s="203">
        <v>2019</v>
      </c>
      <c r="B93" s="204">
        <v>0.31211679996808755</v>
      </c>
      <c r="C93" s="204">
        <v>2.0624799999999999E-2</v>
      </c>
      <c r="D93" s="204">
        <v>9.6356307415483927E-2</v>
      </c>
      <c r="E93" s="205">
        <v>502371.38919333258</v>
      </c>
      <c r="F93" s="136">
        <v>3196117.1573659587</v>
      </c>
      <c r="G93" s="136">
        <v>2089.6706841935793</v>
      </c>
      <c r="H93" s="136">
        <v>8012.8885538781296</v>
      </c>
      <c r="I93" s="169">
        <v>0.29149199996808756</v>
      </c>
      <c r="J93" s="212">
        <v>0.21576049255260363</v>
      </c>
      <c r="K93" s="169">
        <v>4.8253684406804442E-2</v>
      </c>
    </row>
    <row r="94" spans="1:11" s="69" customFormat="1" ht="16">
      <c r="A94" s="208">
        <v>2020</v>
      </c>
      <c r="B94" s="204">
        <v>0.18023201827422478</v>
      </c>
      <c r="C94" s="204">
        <v>3.547410358565737E-3</v>
      </c>
      <c r="D94" s="204">
        <v>0.1133189764661412</v>
      </c>
      <c r="E94" s="205">
        <v>592914.79859087302</v>
      </c>
      <c r="F94" s="136">
        <v>4306128.6461191559</v>
      </c>
      <c r="G94" s="136">
        <v>2097.0836036246787</v>
      </c>
      <c r="H94" s="136">
        <v>8920.9008833408589</v>
      </c>
      <c r="I94" s="169">
        <v>0.17668460791565904</v>
      </c>
      <c r="J94" s="212">
        <v>6.6913041808083579E-2</v>
      </c>
      <c r="K94" s="169">
        <v>4.8442663414424603E-2</v>
      </c>
    </row>
    <row r="95" spans="1:11" ht="16">
      <c r="A95" s="208">
        <v>2021</v>
      </c>
      <c r="B95" s="204">
        <v>0.28468851751964158</v>
      </c>
      <c r="C95" s="204">
        <v>4.5019920318725102E-4</v>
      </c>
      <c r="D95" s="204">
        <v>-4.416034448604475E-2</v>
      </c>
      <c r="E95" s="205">
        <v>761710.83361716557</v>
      </c>
      <c r="F95" s="136">
        <v>5240127.9494624017</v>
      </c>
      <c r="G95" s="136">
        <v>2098.0277089920478</v>
      </c>
      <c r="H95" s="136">
        <v>8526.9508272066651</v>
      </c>
      <c r="I95" s="169">
        <v>0.28423831831645435</v>
      </c>
      <c r="J95" s="212">
        <v>0.3288488620056863</v>
      </c>
      <c r="K95" s="169">
        <v>5.1322006296357525E-2</v>
      </c>
    </row>
    <row r="96" spans="1:11" ht="16">
      <c r="A96" s="208">
        <v>2022</v>
      </c>
      <c r="B96" s="204">
        <v>-0.18037505927178585</v>
      </c>
      <c r="C96" s="204">
        <v>2.0247791164658632E-2</v>
      </c>
      <c r="D96" s="204">
        <v>-0.1782817153825067</v>
      </c>
      <c r="E96" s="205">
        <v>624317.19685550791</v>
      </c>
      <c r="F96" s="136">
        <v>4014986.0348780924</v>
      </c>
      <c r="G96" s="136">
        <v>2140.5081359013857</v>
      </c>
      <c r="H96" s="136">
        <v>7006.751406749976</v>
      </c>
      <c r="I96" s="169">
        <v>-0.20062285043644448</v>
      </c>
      <c r="J96" s="212">
        <v>-2.0933438892791478E-3</v>
      </c>
      <c r="K96" s="169">
        <v>5.0609420169760888E-2</v>
      </c>
    </row>
    <row r="97" spans="1:11" ht="16">
      <c r="A97" s="208">
        <v>2023</v>
      </c>
      <c r="B97" s="204">
        <v>0.26060684985024096</v>
      </c>
      <c r="C97" s="204">
        <v>5.0703614457831322E-2</v>
      </c>
      <c r="D97" s="204">
        <v>3.8800000000000001E-2</v>
      </c>
      <c r="E97" s="205">
        <v>787018.53483535454</v>
      </c>
      <c r="F97" s="136">
        <v>4222560.81288129</v>
      </c>
      <c r="G97" s="136">
        <v>2249.0396351679806</v>
      </c>
      <c r="H97" s="136">
        <v>7278.6133613318743</v>
      </c>
      <c r="I97" s="169">
        <v>0.20990323539240963</v>
      </c>
      <c r="J97" s="212">
        <v>0.22180684985024096</v>
      </c>
      <c r="K97" s="169">
        <v>5.2277478113130105E-2</v>
      </c>
    </row>
    <row r="98" spans="1:11" ht="16">
      <c r="A98" s="162">
        <v>2024</v>
      </c>
      <c r="B98" s="204">
        <v>0.24878611262526726</v>
      </c>
      <c r="C98" s="204">
        <v>4.9699999999999994E-2</v>
      </c>
      <c r="D98" s="204">
        <v>-1.6371801436629807E-2</v>
      </c>
      <c r="E98" s="205">
        <v>982817.81668107596</v>
      </c>
      <c r="F98" s="136">
        <v>4744891.585434705</v>
      </c>
      <c r="G98" s="136">
        <v>2360.8169050358292</v>
      </c>
      <c r="H98" s="136">
        <v>7159.4493486461479</v>
      </c>
      <c r="I98" s="210">
        <v>0.19908611262526726</v>
      </c>
      <c r="J98" s="213">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4"/>
  <sheetViews>
    <sheetView topLeftCell="A87" workbookViewId="0">
      <selection activeCell="G124" sqref="G124"/>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4" t="s">
        <v>138</v>
      </c>
      <c r="D2" s="244"/>
      <c r="E2" s="244"/>
      <c r="F2" s="244"/>
      <c r="G2" s="244"/>
      <c r="H2" s="244"/>
      <c r="I2" s="244"/>
      <c r="K2" s="244" t="s">
        <v>140</v>
      </c>
      <c r="L2" s="244"/>
      <c r="M2" s="244"/>
      <c r="N2" s="244"/>
      <c r="O2" s="244"/>
      <c r="P2" s="244"/>
      <c r="Q2" s="244"/>
    </row>
    <row r="3" spans="1:21" ht="15">
      <c r="A3" s="68" t="s">
        <v>150</v>
      </c>
      <c r="B3" t="s">
        <v>133</v>
      </c>
      <c r="C3" t="s">
        <v>33</v>
      </c>
      <c r="D3" t="s">
        <v>16</v>
      </c>
      <c r="E3" t="s">
        <v>17</v>
      </c>
      <c r="F3" t="s">
        <v>134</v>
      </c>
      <c r="G3" t="s">
        <v>137</v>
      </c>
      <c r="H3" t="s">
        <v>135</v>
      </c>
      <c r="I3" t="s">
        <v>136</v>
      </c>
      <c r="J3" t="s">
        <v>139</v>
      </c>
      <c r="K3" t="s">
        <v>229</v>
      </c>
      <c r="L3" t="s">
        <v>230</v>
      </c>
      <c r="M3" t="s">
        <v>231</v>
      </c>
      <c r="N3" t="s">
        <v>232</v>
      </c>
      <c r="O3" t="s">
        <v>233</v>
      </c>
      <c r="P3" t="s">
        <v>234</v>
      </c>
      <c r="Q3" t="s">
        <v>235</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259</v>
      </c>
      <c r="C1">
        <v>12</v>
      </c>
      <c r="G1" t="s">
        <v>130</v>
      </c>
      <c r="H1" t="s">
        <v>271</v>
      </c>
    </row>
    <row r="2" spans="1:8">
      <c r="A2" t="s">
        <v>159</v>
      </c>
      <c r="B2" t="s">
        <v>260</v>
      </c>
      <c r="C2">
        <v>11</v>
      </c>
      <c r="G2" t="s">
        <v>262</v>
      </c>
      <c r="H2">
        <v>9</v>
      </c>
    </row>
    <row r="3" spans="1:8">
      <c r="A3" t="s">
        <v>160</v>
      </c>
      <c r="B3" t="s">
        <v>261</v>
      </c>
      <c r="C3">
        <v>10</v>
      </c>
      <c r="G3" t="s">
        <v>266</v>
      </c>
      <c r="H3">
        <v>5</v>
      </c>
    </row>
    <row r="4" spans="1:8">
      <c r="B4" t="s">
        <v>262</v>
      </c>
      <c r="C4">
        <v>9</v>
      </c>
      <c r="G4" t="s">
        <v>270</v>
      </c>
      <c r="H4">
        <v>1</v>
      </c>
    </row>
    <row r="5" spans="1:8">
      <c r="B5" t="s">
        <v>263</v>
      </c>
      <c r="C5">
        <v>8</v>
      </c>
      <c r="G5" t="s">
        <v>260</v>
      </c>
      <c r="H5">
        <v>11</v>
      </c>
    </row>
    <row r="6" spans="1:8">
      <c r="B6" t="s">
        <v>264</v>
      </c>
      <c r="C6">
        <v>7</v>
      </c>
      <c r="G6" t="s">
        <v>259</v>
      </c>
      <c r="H6">
        <v>12</v>
      </c>
    </row>
    <row r="7" spans="1:8">
      <c r="B7" t="s">
        <v>265</v>
      </c>
      <c r="C7">
        <v>6</v>
      </c>
      <c r="G7" t="s">
        <v>265</v>
      </c>
      <c r="H7">
        <v>6</v>
      </c>
    </row>
    <row r="8" spans="1:8">
      <c r="B8" t="s">
        <v>266</v>
      </c>
      <c r="C8">
        <v>5</v>
      </c>
      <c r="G8" t="s">
        <v>264</v>
      </c>
      <c r="H8">
        <v>7</v>
      </c>
    </row>
    <row r="9" spans="1:8">
      <c r="B9" t="s">
        <v>267</v>
      </c>
      <c r="C9">
        <v>4</v>
      </c>
      <c r="G9" t="s">
        <v>261</v>
      </c>
      <c r="H9">
        <v>10</v>
      </c>
    </row>
    <row r="10" spans="1:8">
      <c r="B10" t="s">
        <v>268</v>
      </c>
      <c r="C10">
        <v>3</v>
      </c>
      <c r="G10" t="s">
        <v>263</v>
      </c>
      <c r="H10">
        <v>8</v>
      </c>
    </row>
    <row r="11" spans="1:8">
      <c r="B11" t="s">
        <v>269</v>
      </c>
      <c r="C11">
        <v>2</v>
      </c>
      <c r="G11" t="s">
        <v>269</v>
      </c>
      <c r="H11">
        <v>2</v>
      </c>
    </row>
    <row r="12" spans="1:8">
      <c r="B12" t="s">
        <v>270</v>
      </c>
      <c r="C12">
        <v>1</v>
      </c>
      <c r="G12" t="s">
        <v>268</v>
      </c>
      <c r="H12">
        <v>3</v>
      </c>
    </row>
    <row r="13" spans="1:8">
      <c r="G13" t="s">
        <v>267</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2025-10-05T18:37:58Z</dcterms:modified>
</cp:coreProperties>
</file>