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13_ncr:1_{4DE7BF97-AF82-1745-9D33-C1A23DFC3508}" xr6:coauthVersionLast="47" xr6:coauthVersionMax="47" xr10:uidLastSave="{00000000-0000-0000-0000-000000000000}"/>
  <bookViews>
    <workbookView xWindow="0" yWindow="760" windowWidth="28800" windowHeight="17500" tabRatio="500" xr2:uid="{00000000-000D-0000-FFFF-FFFF00000000}"/>
  </bookViews>
  <sheets>
    <sheet name="Inputs" sheetId="1" r:id="rId1"/>
    <sheet name="Valuation" sheetId="5" r:id="rId2"/>
    <sheet name="Input choices" sheetId="3" r:id="rId3"/>
  </sheets>
  <calcPr calcId="191029" iterate="1" iterateDelta="9.9999999999994451E-4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6" i="1" l="1"/>
  <c r="B34" i="1"/>
  <c r="B17" i="5"/>
  <c r="B20" i="1"/>
  <c r="C5" i="1" l="1"/>
  <c r="B5" i="1"/>
  <c r="B33" i="5" l="1"/>
  <c r="C33" i="5" s="1"/>
  <c r="D33" i="5" s="1"/>
  <c r="E33" i="5" s="1"/>
  <c r="F33" i="5" s="1"/>
  <c r="G33" i="5" s="1"/>
  <c r="H33" i="5" s="1"/>
  <c r="I33" i="5" s="1"/>
  <c r="J33" i="5" s="1"/>
  <c r="K33" i="5" s="1"/>
  <c r="L33" i="5" s="1"/>
  <c r="B32" i="5" l="1"/>
  <c r="B49" i="5"/>
  <c r="B21" i="5"/>
  <c r="C3" i="5"/>
  <c r="B4" i="5"/>
  <c r="C4" i="5" s="1"/>
  <c r="B5" i="5"/>
  <c r="C5" i="5" s="1"/>
  <c r="B8" i="5"/>
  <c r="C8" i="5" s="1"/>
  <c r="D8" i="5" s="1"/>
  <c r="E8" i="5" s="1"/>
  <c r="F8" i="5" s="1"/>
  <c r="G8" i="5" s="1"/>
  <c r="H8" i="5" s="1"/>
  <c r="I8" i="5" s="1"/>
  <c r="J8" i="5" s="1"/>
  <c r="K8" i="5" s="1"/>
  <c r="L8" i="5"/>
  <c r="M8" i="5" s="1"/>
  <c r="N8" i="5" s="1"/>
  <c r="O8" i="5" s="1"/>
  <c r="P8" i="5" s="1"/>
  <c r="Q8" i="5" s="1"/>
  <c r="R8" i="5" s="1"/>
  <c r="S8" i="5" s="1"/>
  <c r="T8" i="5" s="1"/>
  <c r="U8" i="5" s="1"/>
  <c r="V8" i="5" s="1"/>
  <c r="D3" i="5"/>
  <c r="E3" i="5"/>
  <c r="F3" i="5"/>
  <c r="G3" i="5"/>
  <c r="H3" i="5"/>
  <c r="I3" i="5"/>
  <c r="J3" i="5"/>
  <c r="K3" i="5"/>
  <c r="L3" i="5"/>
  <c r="M3" i="5"/>
  <c r="B31" i="5"/>
  <c r="B26" i="1"/>
  <c r="B44" i="5"/>
  <c r="B45" i="5"/>
  <c r="B47" i="5"/>
  <c r="M2" i="5"/>
  <c r="N2" i="5"/>
  <c r="N3" i="5" s="1"/>
  <c r="O2" i="5"/>
  <c r="P2" i="5" s="1"/>
  <c r="L30" i="5"/>
  <c r="K30" i="5"/>
  <c r="J30" i="5"/>
  <c r="I30" i="5"/>
  <c r="H30" i="5"/>
  <c r="G30" i="5"/>
  <c r="F30" i="5"/>
  <c r="E30" i="5"/>
  <c r="D30" i="5"/>
  <c r="C30" i="5"/>
  <c r="B30" i="5"/>
  <c r="G10" i="1"/>
  <c r="G5" i="1"/>
  <c r="G9" i="1"/>
  <c r="G4" i="1"/>
  <c r="B11" i="5"/>
  <c r="B13" i="5"/>
  <c r="C22" i="5" l="1"/>
  <c r="C31" i="5"/>
  <c r="C32" i="5"/>
  <c r="D4" i="5"/>
  <c r="Q2" i="5"/>
  <c r="P3" i="5"/>
  <c r="D5" i="5"/>
  <c r="O3" i="5"/>
  <c r="C21" i="5"/>
  <c r="B6" i="5"/>
  <c r="D32" i="5" l="1"/>
  <c r="C34" i="5"/>
  <c r="C36" i="5" s="1"/>
  <c r="D31" i="5"/>
  <c r="E31" i="5" s="1"/>
  <c r="D22" i="5"/>
  <c r="Q3" i="5"/>
  <c r="R2" i="5"/>
  <c r="C6" i="5"/>
  <c r="B7" i="5"/>
  <c r="B9" i="5" s="1"/>
  <c r="E5" i="5"/>
  <c r="E4" i="5"/>
  <c r="E32" i="5" l="1"/>
  <c r="D34" i="5"/>
  <c r="D36" i="5" s="1"/>
  <c r="F4" i="5"/>
  <c r="D6" i="5"/>
  <c r="C7" i="5"/>
  <c r="C9" i="5" s="1"/>
  <c r="C10" i="5" s="1"/>
  <c r="R3" i="5"/>
  <c r="S2" i="5"/>
  <c r="F31" i="5"/>
  <c r="D21" i="5"/>
  <c r="F5" i="5"/>
  <c r="F32" i="5" l="1"/>
  <c r="E34" i="5"/>
  <c r="E36" i="5" s="1"/>
  <c r="S3" i="5"/>
  <c r="T2" i="5"/>
  <c r="G5" i="5"/>
  <c r="E22" i="5"/>
  <c r="E6" i="5"/>
  <c r="D7" i="5"/>
  <c r="D9" i="5" s="1"/>
  <c r="D10" i="5" s="1"/>
  <c r="G31" i="5"/>
  <c r="G4" i="5"/>
  <c r="G32" i="5" l="1"/>
  <c r="F34" i="5"/>
  <c r="F36" i="5" s="1"/>
  <c r="H5" i="5"/>
  <c r="H31" i="5"/>
  <c r="F6" i="5"/>
  <c r="E7" i="5"/>
  <c r="E9" i="5" s="1"/>
  <c r="E10" i="5" s="1"/>
  <c r="H4" i="5"/>
  <c r="T3" i="5"/>
  <c r="U2" i="5"/>
  <c r="E21" i="5"/>
  <c r="H32" i="5" l="1"/>
  <c r="G34" i="5"/>
  <c r="G36" i="5" s="1"/>
  <c r="I5" i="5"/>
  <c r="F22" i="5"/>
  <c r="F21" i="5" s="1"/>
  <c r="I4" i="5"/>
  <c r="U3" i="5"/>
  <c r="V2" i="5"/>
  <c r="V3" i="5" s="1"/>
  <c r="I31" i="5"/>
  <c r="G6" i="5"/>
  <c r="F7" i="5"/>
  <c r="F9" i="5" s="1"/>
  <c r="F10" i="5" s="1"/>
  <c r="I32" i="5" l="1"/>
  <c r="H34" i="5"/>
  <c r="H36" i="5" s="1"/>
  <c r="G22" i="5"/>
  <c r="G21" i="5" s="1"/>
  <c r="J31" i="5"/>
  <c r="J5" i="5"/>
  <c r="H6" i="5"/>
  <c r="G7" i="5"/>
  <c r="G9" i="5" s="1"/>
  <c r="G10" i="5" s="1"/>
  <c r="J4" i="5"/>
  <c r="J32" i="5" l="1"/>
  <c r="I34" i="5"/>
  <c r="I36" i="5" s="1"/>
  <c r="K31" i="5"/>
  <c r="H22" i="5"/>
  <c r="H21" i="5" s="1"/>
  <c r="I6" i="5"/>
  <c r="H7" i="5"/>
  <c r="H9" i="5" s="1"/>
  <c r="H10" i="5" s="1"/>
  <c r="K5" i="5"/>
  <c r="K4" i="5"/>
  <c r="K32" i="5" l="1"/>
  <c r="J34" i="5"/>
  <c r="J36" i="5" s="1"/>
  <c r="J6" i="5"/>
  <c r="I7" i="5"/>
  <c r="I9" i="5" s="1"/>
  <c r="I10" i="5" s="1"/>
  <c r="I22" i="5"/>
  <c r="I21" i="5" s="1"/>
  <c r="L4" i="5"/>
  <c r="L31" i="5"/>
  <c r="L5" i="5"/>
  <c r="L32" i="5" l="1"/>
  <c r="L34" i="5" s="1"/>
  <c r="L35" i="5" s="1"/>
  <c r="L36" i="5" s="1"/>
  <c r="K34" i="5"/>
  <c r="K36" i="5" s="1"/>
  <c r="J22" i="5"/>
  <c r="M4" i="5"/>
  <c r="M5" i="5"/>
  <c r="K6" i="5"/>
  <c r="J7" i="5"/>
  <c r="J9" i="5" s="1"/>
  <c r="J10" i="5" s="1"/>
  <c r="B42" i="5" l="1"/>
  <c r="B37" i="5"/>
  <c r="G47" i="1" s="1"/>
  <c r="N4" i="5"/>
  <c r="L6" i="5"/>
  <c r="K7" i="5"/>
  <c r="K9" i="5" s="1"/>
  <c r="K10" i="5" s="1"/>
  <c r="N5" i="5"/>
  <c r="J21" i="5"/>
  <c r="M6" i="5" l="1"/>
  <c r="L7" i="5"/>
  <c r="L9" i="5" s="1"/>
  <c r="L10" i="5" s="1"/>
  <c r="K22" i="5"/>
  <c r="K21" i="5" s="1"/>
  <c r="O4" i="5"/>
  <c r="O5" i="5"/>
  <c r="M22" i="5" l="1"/>
  <c r="L22" i="5"/>
  <c r="L21" i="5" s="1"/>
  <c r="P5" i="5"/>
  <c r="P4" i="5"/>
  <c r="N6" i="5"/>
  <c r="M7" i="5"/>
  <c r="M9" i="5" s="1"/>
  <c r="M10" i="5" s="1"/>
  <c r="O6" i="5" l="1"/>
  <c r="N7" i="5"/>
  <c r="N9" i="5" s="1"/>
  <c r="N10" i="5" s="1"/>
  <c r="G8" i="1"/>
  <c r="G3" i="1"/>
  <c r="Q4" i="5"/>
  <c r="Q5" i="5"/>
  <c r="R5" i="5" l="1"/>
  <c r="R4" i="5"/>
  <c r="P6" i="5"/>
  <c r="O7" i="5"/>
  <c r="O9" i="5" s="1"/>
  <c r="O10" i="5" s="1"/>
  <c r="Q6" i="5" l="1"/>
  <c r="P7" i="5"/>
  <c r="P9" i="5" s="1"/>
  <c r="P10" i="5" s="1"/>
  <c r="S4" i="5"/>
  <c r="S5" i="5"/>
  <c r="T5" i="5" l="1"/>
  <c r="T4" i="5"/>
  <c r="R6" i="5"/>
  <c r="Q7" i="5"/>
  <c r="Q9" i="5" s="1"/>
  <c r="Q10" i="5" s="1"/>
  <c r="S6" i="5" l="1"/>
  <c r="R7" i="5"/>
  <c r="R9" i="5" s="1"/>
  <c r="R10" i="5" s="1"/>
  <c r="U4" i="5"/>
  <c r="U5" i="5"/>
  <c r="V4" i="5" l="1"/>
  <c r="V5" i="5"/>
  <c r="T6" i="5"/>
  <c r="S7" i="5"/>
  <c r="S9" i="5" s="1"/>
  <c r="S10" i="5" s="1"/>
  <c r="U6" i="5" l="1"/>
  <c r="T7" i="5"/>
  <c r="T9" i="5" s="1"/>
  <c r="T10" i="5" s="1"/>
  <c r="V6" i="5" l="1"/>
  <c r="V7" i="5" s="1"/>
  <c r="V9" i="5" s="1"/>
  <c r="V10" i="5" s="1"/>
  <c r="U7" i="5"/>
  <c r="U9" i="5" s="1"/>
  <c r="U10" i="5" s="1"/>
  <c r="B12" i="5" l="1"/>
  <c r="B18" i="5" s="1"/>
  <c r="B14" i="5" l="1"/>
  <c r="G45" i="1" s="1"/>
  <c r="B40" i="5"/>
  <c r="F45" i="1"/>
  <c r="B23" i="5"/>
  <c r="F46" i="1"/>
  <c r="C23" i="5" l="1"/>
  <c r="D23" i="5" s="1"/>
  <c r="C24" i="5" l="1"/>
  <c r="C26" i="5" s="1"/>
  <c r="E23" i="5"/>
  <c r="D24" i="5"/>
  <c r="D26" i="5" s="1"/>
  <c r="F23" i="5" l="1"/>
  <c r="E24" i="5"/>
  <c r="E26" i="5" s="1"/>
  <c r="G23" i="5" l="1"/>
  <c r="F24" i="5"/>
  <c r="F26" i="5" s="1"/>
  <c r="H23" i="5" l="1"/>
  <c r="G24" i="5"/>
  <c r="G26" i="5" s="1"/>
  <c r="I23" i="5" l="1"/>
  <c r="H24" i="5"/>
  <c r="H26" i="5" s="1"/>
  <c r="J23" i="5" l="1"/>
  <c r="I24" i="5"/>
  <c r="I26" i="5" s="1"/>
  <c r="K23" i="5" l="1"/>
  <c r="J24" i="5"/>
  <c r="J26" i="5" s="1"/>
  <c r="L23" i="5" l="1"/>
  <c r="L25" i="5" s="1"/>
  <c r="K24" i="5"/>
  <c r="K26" i="5" s="1"/>
  <c r="L24" i="5" l="1"/>
  <c r="L26" i="5" l="1"/>
  <c r="B41" i="5" s="1"/>
  <c r="B27" i="5" l="1"/>
  <c r="G46" i="1" s="1"/>
  <c r="B46" i="5"/>
  <c r="B43" i="5"/>
  <c r="G48" i="1" l="1"/>
  <c r="B48" i="5"/>
  <c r="B50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12" authorId="0" shapeId="0" xr:uid="{00000000-0006-0000-0100-000001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>The expected life of a user who does not renew is set to 25% of the projected life (an approximation). With 15 years and a 95% renewal rate for instance, the actual expected life is 3.41 years.</t>
        </r>
      </text>
    </comment>
  </commentList>
</comments>
</file>

<file path=xl/sharedStrings.xml><?xml version="1.0" encoding="utf-8"?>
<sst xmlns="http://schemas.openxmlformats.org/spreadsheetml/2006/main" count="162" uniqueCount="145">
  <si>
    <t>Most Recent</t>
  </si>
  <si>
    <t>Prior year</t>
  </si>
  <si>
    <t>Operating Information</t>
  </si>
  <si>
    <t>Macroeconomic Data</t>
  </si>
  <si>
    <t>Risk free Rate</t>
  </si>
  <si>
    <t>Cost of capital (existing users)</t>
  </si>
  <si>
    <t>Cost of capital (new users)</t>
  </si>
  <si>
    <t>Existing User Data</t>
  </si>
  <si>
    <t>Base Year</t>
  </si>
  <si>
    <t>Value per new user (in today's $) =</t>
  </si>
  <si>
    <t>Inflation Rate</t>
  </si>
  <si>
    <t xml:space="preserve">Present Value </t>
  </si>
  <si>
    <t>Yes or No</t>
  </si>
  <si>
    <t>Yes</t>
  </si>
  <si>
    <t>No</t>
  </si>
  <si>
    <t>All dollar values in millions</t>
  </si>
  <si>
    <t>Cost of capital</t>
  </si>
  <si>
    <t>Lowest decile of US companies (7%)</t>
  </si>
  <si>
    <t>Direct input</t>
  </si>
  <si>
    <t>Cost of capital for existing users (input choice)</t>
  </si>
  <si>
    <t>Cost of capital for new users (input choice)</t>
  </si>
  <si>
    <t>G&amp;A Data</t>
  </si>
  <si>
    <t>Notes/Comments</t>
  </si>
  <si>
    <t>Number of users , with growth over last year</t>
  </si>
  <si>
    <t>Do not input</t>
  </si>
  <si>
    <t>A1. Grow at same rate as total users</t>
  </si>
  <si>
    <t>A2. Grow at inflation rate</t>
  </si>
  <si>
    <t>A3. Grow at risk free rate</t>
  </si>
  <si>
    <t>A4. Direct Input</t>
  </si>
  <si>
    <t>B6. Direct input</t>
  </si>
  <si>
    <t>Value Added by New Users</t>
  </si>
  <si>
    <t>Value Drag of Corporate Expenses (Cost)</t>
  </si>
  <si>
    <t>After-tax Corporate Expenses</t>
  </si>
  <si>
    <t>Terminal Value (Corporate Exp)</t>
  </si>
  <si>
    <t>PV of Corporate Expenses</t>
  </si>
  <si>
    <t>Input cell</t>
  </si>
  <si>
    <t>Computed Value</t>
  </si>
  <si>
    <t>Value Drag of Corporate Expenses</t>
  </si>
  <si>
    <t>Valuation Output Summary</t>
  </si>
  <si>
    <t>Value per user</t>
  </si>
  <si>
    <t>Aggregate Value</t>
  </si>
  <si>
    <t>Category</t>
  </si>
  <si>
    <t xml:space="preserve"> - Debt</t>
  </si>
  <si>
    <t>Membership Survival</t>
  </si>
  <si>
    <t>Tax rate</t>
  </si>
  <si>
    <t>Effective tax rate (current)</t>
  </si>
  <si>
    <t>Effective tax rate (steady state)</t>
  </si>
  <si>
    <t xml:space="preserve">Life Indicator </t>
  </si>
  <si>
    <t>After-tax Operating Income</t>
  </si>
  <si>
    <t>Present Value (at Cost of Capital)</t>
  </si>
  <si>
    <t>Growth rate in # Members (Years 1-5)</t>
  </si>
  <si>
    <t>Growth rate in # Members (Years 6-10)</t>
  </si>
  <si>
    <t>Effective tax rate in most recent year</t>
  </si>
  <si>
    <t>Effective tax rate in steady state</t>
  </si>
  <si>
    <t xml:space="preserve"> - PV of Corporate Expenses</t>
  </si>
  <si>
    <t>Allocated Costs</t>
  </si>
  <si>
    <t>Annual Renewal Probability</t>
  </si>
  <si>
    <t>Annual Subscription Revenue/ Subscriber</t>
  </si>
  <si>
    <t>Cost of Capital (in euros)</t>
  </si>
  <si>
    <t>Life of subscriber =</t>
  </si>
  <si>
    <t>Value per Subscriber =</t>
  </si>
  <si>
    <t xml:space="preserve"> + Cash &amp; Cross Holdings</t>
  </si>
  <si>
    <t>Value of Equity</t>
  </si>
  <si>
    <t>Other Company Data</t>
  </si>
  <si>
    <t>Cash &amp; Marketable Securities</t>
  </si>
  <si>
    <t>Cross Holdings in Other Companies</t>
  </si>
  <si>
    <t>Debt Outstanding</t>
  </si>
  <si>
    <t>Revenue/Subscriber</t>
  </si>
  <si>
    <t>Operating Profit/Loss per Subscriber</t>
  </si>
  <si>
    <t>Total Subscribers</t>
  </si>
  <si>
    <t>New Subscribers</t>
  </si>
  <si>
    <t>Value per Subscriber</t>
  </si>
  <si>
    <t>Value added by new Subscribers</t>
  </si>
  <si>
    <t>Terminal Value (New Subscribers)</t>
  </si>
  <si>
    <t>Subscription Revenues/ # Users</t>
  </si>
  <si>
    <t>Growth rate in Subscription Charge</t>
  </si>
  <si>
    <t>Growth rate in Content Cost/Subscriber</t>
  </si>
  <si>
    <t>New User Information</t>
  </si>
  <si>
    <t>Content cost as % of subscription revenues (starting year)</t>
  </si>
  <si>
    <t>Typical subscriber life with company</t>
  </si>
  <si>
    <t>Annual Renewal probability (assumed to be constant over time)</t>
  </si>
  <si>
    <t>Growth Rate in Subscription Charge/Subscriber</t>
  </si>
  <si>
    <t>Growth Rate option for total other costs</t>
  </si>
  <si>
    <t>DO NOT INPUT</t>
  </si>
  <si>
    <t>Total Revenues from Advertising (most recent year)</t>
  </si>
  <si>
    <t>Growth rate in advertising revenues - Years 1-5</t>
  </si>
  <si>
    <t>Growth rate in advertising revenues - Years 6-10</t>
  </si>
  <si>
    <t>Cost of capital option (for existing subscribers)</t>
  </si>
  <si>
    <t>Cost of capital option (for new subscribers</t>
  </si>
  <si>
    <t>Cash and Marketable Securities</t>
  </si>
  <si>
    <t>Minority Cross Holdings</t>
  </si>
  <si>
    <t>Total Debt Outstanding</t>
  </si>
  <si>
    <t>Growth rate in # Members after year 10</t>
  </si>
  <si>
    <t>Value of Existing Subscribers</t>
  </si>
  <si>
    <t>Value of New Subscribers</t>
  </si>
  <si>
    <t>Equity Options oustanding (value)</t>
  </si>
  <si>
    <t xml:space="preserve"> - Value of Equity Options</t>
  </si>
  <si>
    <t>Value of Equity in common stock</t>
  </si>
  <si>
    <t>Value of Equity Options outstanding</t>
  </si>
  <si>
    <t>Total cost of acquiring new users in most recent year</t>
  </si>
  <si>
    <t>Customer Servicing Cost as % of revenues</t>
  </si>
  <si>
    <t>Lifetime of a Netflix Subscriber (in years)</t>
  </si>
  <si>
    <t>Growth rate in Service Cost/Subscriber</t>
  </si>
  <si>
    <t>Content Costs</t>
  </si>
  <si>
    <t>Content Cost Growth</t>
  </si>
  <si>
    <t>Valuing Netflix</t>
  </si>
  <si>
    <t>Number of Subscribers =</t>
  </si>
  <si>
    <t>Value of Existing Subscribers =</t>
  </si>
  <si>
    <t xml:space="preserve"> Number of Shares</t>
  </si>
  <si>
    <t>Value per Share</t>
  </si>
  <si>
    <t>Number of Shares outstanding</t>
  </si>
  <si>
    <t>Technology &amp; Content Costs</t>
  </si>
  <si>
    <t>Growth rate in content costs for next 10 years</t>
  </si>
  <si>
    <t>Number of  Subscribers</t>
  </si>
  <si>
    <t>Cost of Acquiring a New Subscriber</t>
  </si>
  <si>
    <t>Technology &amp; Development</t>
  </si>
  <si>
    <t>Value of Netflix</t>
  </si>
  <si>
    <t>Existing Subscribers</t>
  </si>
  <si>
    <t>Percentage of Content Costs directly attributed to subscribers</t>
  </si>
  <si>
    <t>Technology and Development Cost</t>
  </si>
  <si>
    <t>Technology &amp; Development Cost</t>
  </si>
  <si>
    <t>Cost/ Subscriber</t>
  </si>
  <si>
    <t>Content costs in income statement</t>
  </si>
  <si>
    <t>Selling and Marketing Cost + Capitalized Content Costs</t>
  </si>
  <si>
    <t>Growth Rate in # Subscribers - Years 1-5</t>
  </si>
  <si>
    <t>Growth Rate in # Subscribers - Years 6-10</t>
  </si>
  <si>
    <t>Growth Rate in # Subscribers after year 10</t>
  </si>
  <si>
    <t>Growth rate approach for technology &amp; development costs</t>
  </si>
  <si>
    <t>Growth rate in tech development costs for next 10 years</t>
  </si>
  <si>
    <t>Tech/Dev Cost Growth</t>
  </si>
  <si>
    <t>Value of Operating Assets</t>
  </si>
  <si>
    <t>Steady State</t>
  </si>
  <si>
    <t>Growth rate in G&amp;A costs for next 10 years</t>
  </si>
  <si>
    <t>G&amp;A Costs</t>
  </si>
  <si>
    <t>General &amp; Administrative Costs</t>
  </si>
  <si>
    <t>Median of US companies (9.5%)</t>
  </si>
  <si>
    <t>75th percentile of US companies (11%)</t>
  </si>
  <si>
    <t>Ninth decile of US companies (12.5%)</t>
  </si>
  <si>
    <t>b2. 25th percentile of Global companies (8.25%)</t>
  </si>
  <si>
    <t>B3. Median of Global companies (9.50%)</t>
  </si>
  <si>
    <t>B4. 75th percentile of Global companies (11.00%))</t>
  </si>
  <si>
    <t>B5. Ninth decile of Global companies (12.5%)</t>
  </si>
  <si>
    <t>B1. Lowest decile of Global  companies (7%)</t>
  </si>
  <si>
    <t>25th percentile of US companies (8.25%)</t>
  </si>
  <si>
    <t>Growth rate approach for non-subscriber related content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</si>
</sst>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&quot;$&quot;#,##0.00"/>
    <numFmt numFmtId="165" formatCode="&quot;$&quot;#,##0"/>
    <numFmt numFmtId="166" formatCode="0.000%"/>
    <numFmt numFmtId="167" formatCode="0.0000"/>
    <numFmt numFmtId="168" formatCode="0.0%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auto="1"/>
      </bottom>
      <diagonal/>
    </border>
  </borders>
  <cellStyleXfs count="20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0" borderId="0"/>
    <xf numFmtId="9" fontId="9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94">
    <xf numFmtId="0" fontId="0" fillId="0" borderId="0" xfId="0"/>
    <xf numFmtId="0" fontId="2" fillId="0" borderId="0" xfId="0" applyFont="1"/>
    <xf numFmtId="44" fontId="0" fillId="0" borderId="0" xfId="0" applyNumberFormat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0" fontId="0" fillId="0" borderId="2" xfId="0" applyNumberFormat="1" applyBorder="1"/>
    <xf numFmtId="10" fontId="0" fillId="2" borderId="2" xfId="0" applyNumberFormat="1" applyFill="1" applyBorder="1"/>
    <xf numFmtId="0" fontId="3" fillId="0" borderId="0" xfId="0" applyFont="1" applyAlignment="1">
      <alignment horizontal="center"/>
    </xf>
    <xf numFmtId="44" fontId="0" fillId="3" borderId="2" xfId="1" applyFont="1" applyFill="1" applyBorder="1"/>
    <xf numFmtId="44" fontId="0" fillId="3" borderId="2" xfId="0" applyNumberFormat="1" applyFill="1" applyBorder="1"/>
    <xf numFmtId="2" fontId="0" fillId="3" borderId="2" xfId="0" applyNumberFormat="1" applyFill="1" applyBorder="1"/>
    <xf numFmtId="0" fontId="0" fillId="3" borderId="2" xfId="0" applyFill="1" applyBorder="1" applyAlignment="1">
      <alignment horizontal="center"/>
    </xf>
    <xf numFmtId="2" fontId="0" fillId="3" borderId="2" xfId="0" applyNumberFormat="1" applyFill="1" applyBorder="1" applyAlignment="1">
      <alignment horizontal="center"/>
    </xf>
    <xf numFmtId="164" fontId="0" fillId="3" borderId="2" xfId="1" applyNumberFormat="1" applyFon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44" fontId="2" fillId="3" borderId="2" xfId="1" applyFont="1" applyFill="1" applyBorder="1" applyAlignment="1">
      <alignment horizontal="center"/>
    </xf>
    <xf numFmtId="0" fontId="0" fillId="3" borderId="4" xfId="0" applyFill="1" applyBorder="1"/>
    <xf numFmtId="2" fontId="0" fillId="2" borderId="2" xfId="0" applyNumberFormat="1" applyFill="1" applyBorder="1" applyAlignment="1">
      <alignment horizontal="center"/>
    </xf>
    <xf numFmtId="164" fontId="0" fillId="3" borderId="2" xfId="1" applyNumberFormat="1" applyFont="1" applyFill="1" applyBorder="1"/>
    <xf numFmtId="164" fontId="0" fillId="3" borderId="2" xfId="0" applyNumberFormat="1" applyFill="1" applyBorder="1"/>
    <xf numFmtId="2" fontId="0" fillId="2" borderId="2" xfId="0" applyNumberFormat="1" applyFill="1" applyBorder="1" applyAlignment="1" applyProtection="1">
      <alignment horizontal="center"/>
      <protection locked="0"/>
    </xf>
    <xf numFmtId="10" fontId="0" fillId="2" borderId="2" xfId="2" applyNumberFormat="1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10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1" applyNumberFormat="1" applyFont="1" applyFill="1" applyBorder="1" applyAlignment="1" applyProtection="1">
      <alignment horizontal="center"/>
      <protection locked="0"/>
    </xf>
    <xf numFmtId="9" fontId="0" fillId="2" borderId="2" xfId="0" applyNumberFormat="1" applyFill="1" applyBorder="1" applyAlignment="1" applyProtection="1">
      <alignment horizontal="center"/>
      <protection locked="0"/>
    </xf>
    <xf numFmtId="9" fontId="0" fillId="0" borderId="0" xfId="0" applyNumberFormat="1" applyAlignment="1" applyProtection="1">
      <alignment horizontal="center"/>
      <protection locked="0"/>
    </xf>
    <xf numFmtId="10" fontId="0" fillId="3" borderId="2" xfId="2" applyNumberFormat="1" applyFont="1" applyFill="1" applyBorder="1" applyAlignment="1" applyProtection="1">
      <alignment horizontal="center"/>
    </xf>
    <xf numFmtId="0" fontId="2" fillId="0" borderId="0" xfId="0" applyFont="1" applyAlignment="1">
      <alignment horizontal="center"/>
    </xf>
    <xf numFmtId="10" fontId="0" fillId="0" borderId="2" xfId="2" applyNumberFormat="1" applyFont="1" applyFill="1" applyBorder="1"/>
    <xf numFmtId="0" fontId="0" fillId="2" borderId="2" xfId="0" applyFill="1" applyBorder="1" applyAlignment="1" applyProtection="1">
      <alignment horizontal="center"/>
      <protection locked="0"/>
    </xf>
    <xf numFmtId="10" fontId="0" fillId="3" borderId="2" xfId="0" applyNumberFormat="1" applyFill="1" applyBorder="1" applyAlignment="1" applyProtection="1">
      <alignment horizontal="center"/>
      <protection locked="0"/>
    </xf>
    <xf numFmtId="44" fontId="2" fillId="3" borderId="0" xfId="1" applyFont="1" applyFill="1" applyBorder="1" applyAlignment="1">
      <alignment horizontal="center"/>
    </xf>
    <xf numFmtId="0" fontId="2" fillId="0" borderId="6" xfId="0" applyFont="1" applyBorder="1"/>
    <xf numFmtId="0" fontId="0" fillId="3" borderId="4" xfId="0" applyFill="1" applyBorder="1" applyAlignment="1">
      <alignment horizontal="center"/>
    </xf>
    <xf numFmtId="0" fontId="2" fillId="0" borderId="3" xfId="0" applyFont="1" applyBorder="1"/>
    <xf numFmtId="2" fontId="0" fillId="3" borderId="4" xfId="1" applyNumberFormat="1" applyFont="1" applyFill="1" applyBorder="1"/>
    <xf numFmtId="44" fontId="2" fillId="3" borderId="1" xfId="1" applyFont="1" applyFill="1" applyBorder="1"/>
    <xf numFmtId="44" fontId="2" fillId="3" borderId="1" xfId="0" applyNumberFormat="1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164" fontId="0" fillId="0" borderId="0" xfId="0" applyNumberFormat="1"/>
    <xf numFmtId="164" fontId="2" fillId="3" borderId="1" xfId="0" applyNumberFormat="1" applyFont="1" applyFill="1" applyBorder="1"/>
    <xf numFmtId="0" fontId="3" fillId="3" borderId="8" xfId="0" applyFont="1" applyFill="1" applyBorder="1"/>
    <xf numFmtId="0" fontId="3" fillId="3" borderId="9" xfId="0" applyFont="1" applyFill="1" applyBorder="1" applyAlignment="1">
      <alignment horizontal="center"/>
    </xf>
    <xf numFmtId="165" fontId="0" fillId="3" borderId="11" xfId="0" applyNumberFormat="1" applyFill="1" applyBorder="1" applyAlignment="1">
      <alignment horizontal="center"/>
    </xf>
    <xf numFmtId="0" fontId="2" fillId="3" borderId="13" xfId="0" applyFont="1" applyFill="1" applyBorder="1"/>
    <xf numFmtId="165" fontId="2" fillId="3" borderId="14" xfId="0" applyNumberFormat="1" applyFont="1" applyFill="1" applyBorder="1" applyAlignment="1">
      <alignment horizontal="center"/>
    </xf>
    <xf numFmtId="10" fontId="0" fillId="3" borderId="2" xfId="0" applyNumberFormat="1" applyFill="1" applyBorder="1"/>
    <xf numFmtId="0" fontId="2" fillId="4" borderId="0" xfId="0" applyFont="1" applyFill="1" applyAlignment="1">
      <alignment horizontal="center"/>
    </xf>
    <xf numFmtId="0" fontId="0" fillId="0" borderId="15" xfId="0" applyBorder="1"/>
    <xf numFmtId="0" fontId="0" fillId="4" borderId="2" xfId="0" applyFill="1" applyBorder="1"/>
    <xf numFmtId="0" fontId="3" fillId="0" borderId="7" xfId="0" applyFont="1" applyBorder="1"/>
    <xf numFmtId="0" fontId="0" fillId="0" borderId="10" xfId="0" applyBorder="1"/>
    <xf numFmtId="0" fontId="2" fillId="0" borderId="12" xfId="0" applyFont="1" applyBorder="1"/>
    <xf numFmtId="164" fontId="0" fillId="2" borderId="2" xfId="1" applyNumberFormat="1" applyFont="1" applyFill="1" applyBorder="1" applyAlignment="1" applyProtection="1">
      <alignment horizontal="center"/>
      <protection locked="0"/>
    </xf>
    <xf numFmtId="164" fontId="0" fillId="2" borderId="2" xfId="1" applyNumberFormat="1" applyFont="1" applyFill="1" applyBorder="1" applyAlignment="1">
      <alignment horizontal="center"/>
    </xf>
    <xf numFmtId="164" fontId="0" fillId="3" borderId="0" xfId="1" applyNumberFormat="1" applyFont="1" applyFill="1" applyBorder="1"/>
    <xf numFmtId="164" fontId="0" fillId="2" borderId="2" xfId="2" applyNumberFormat="1" applyFont="1" applyFill="1" applyBorder="1" applyAlignment="1" applyProtection="1">
      <alignment horizontal="center"/>
      <protection locked="0"/>
    </xf>
    <xf numFmtId="44" fontId="0" fillId="3" borderId="0" xfId="1" applyFont="1" applyFill="1"/>
    <xf numFmtId="166" fontId="0" fillId="3" borderId="0" xfId="0" applyNumberFormat="1" applyFill="1"/>
    <xf numFmtId="10" fontId="0" fillId="3" borderId="0" xfId="0" applyNumberFormat="1" applyFill="1"/>
    <xf numFmtId="0" fontId="0" fillId="4" borderId="0" xfId="0" applyFill="1"/>
    <xf numFmtId="164" fontId="0" fillId="0" borderId="2" xfId="2" applyNumberFormat="1" applyFont="1" applyFill="1" applyBorder="1" applyAlignment="1" applyProtection="1">
      <alignment horizontal="center"/>
      <protection locked="0"/>
    </xf>
    <xf numFmtId="0" fontId="2" fillId="0" borderId="2" xfId="0" applyFont="1" applyBorder="1"/>
    <xf numFmtId="167" fontId="0" fillId="0" borderId="2" xfId="0" applyNumberFormat="1" applyBorder="1"/>
    <xf numFmtId="168" fontId="0" fillId="2" borderId="2" xfId="0" applyNumberFormat="1" applyFill="1" applyBorder="1" applyAlignment="1" applyProtection="1">
      <alignment horizontal="center"/>
      <protection locked="0"/>
    </xf>
    <xf numFmtId="9" fontId="0" fillId="2" borderId="0" xfId="0" applyNumberFormat="1" applyFill="1" applyAlignment="1" applyProtection="1">
      <alignment horizontal="center"/>
      <protection locked="0"/>
    </xf>
    <xf numFmtId="164" fontId="0" fillId="0" borderId="0" xfId="0" applyNumberFormat="1" applyAlignment="1">
      <alignment horizontal="center"/>
    </xf>
    <xf numFmtId="167" fontId="0" fillId="3" borderId="2" xfId="0" applyNumberFormat="1" applyFill="1" applyBorder="1" applyAlignment="1">
      <alignment horizontal="center"/>
    </xf>
    <xf numFmtId="10" fontId="0" fillId="2" borderId="2" xfId="2" applyNumberFormat="1" applyFont="1" applyFill="1" applyBorder="1" applyAlignment="1">
      <alignment horizontal="center"/>
    </xf>
    <xf numFmtId="0" fontId="0" fillId="4" borderId="2" xfId="0" applyFill="1" applyBorder="1" applyAlignment="1">
      <alignment wrapText="1"/>
    </xf>
    <xf numFmtId="0" fontId="0" fillId="0" borderId="0" xfId="0" applyAlignment="1">
      <alignment wrapText="1"/>
    </xf>
    <xf numFmtId="0" fontId="0" fillId="4" borderId="2" xfId="0" applyFill="1" applyBorder="1" applyAlignment="1">
      <alignment horizontal="left"/>
    </xf>
    <xf numFmtId="44" fontId="0" fillId="2" borderId="2" xfId="1" applyFont="1" applyFill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/>
    <xf numFmtId="0" fontId="0" fillId="2" borderId="2" xfId="0" applyFill="1" applyBorder="1" applyAlignment="1">
      <alignment horizontal="center"/>
    </xf>
    <xf numFmtId="164" fontId="2" fillId="3" borderId="2" xfId="0" applyNumberFormat="1" applyFont="1" applyFill="1" applyBorder="1"/>
    <xf numFmtId="0" fontId="0" fillId="0" borderId="5" xfId="0" applyBorder="1"/>
    <xf numFmtId="9" fontId="0" fillId="2" borderId="2" xfId="2" applyFont="1" applyFill="1" applyBorder="1" applyAlignment="1" applyProtection="1">
      <alignment horizontal="center"/>
      <protection locked="0"/>
    </xf>
    <xf numFmtId="2" fontId="0" fillId="3" borderId="0" xfId="0" applyNumberFormat="1" applyFill="1" applyAlignment="1">
      <alignment horizontal="center"/>
    </xf>
    <xf numFmtId="10" fontId="0" fillId="0" borderId="5" xfId="0" applyNumberFormat="1" applyBorder="1"/>
    <xf numFmtId="10" fontId="0" fillId="0" borderId="0" xfId="2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4" fontId="0" fillId="0" borderId="0" xfId="0" applyNumberFormat="1" applyAlignment="1">
      <alignment horizontal="center"/>
    </xf>
  </cellXfs>
  <cellStyles count="20">
    <cellStyle name="Currency" xfId="1" builtinId="4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  <cellStyle name="Normal 2" xfId="17" xr:uid="{6F52AF4A-1859-D241-87F3-6B4F2C053831}"/>
    <cellStyle name="Percent" xfId="2" builtinId="5"/>
    <cellStyle name="Percent 10" xfId="19" xr:uid="{D1C557ED-4A20-BA46-B86E-33B750D1A5B4}"/>
    <cellStyle name="Percent 2" xfId="18" xr:uid="{4EBBF30C-E6FF-D54A-885C-D6D546F70083}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4"/>
  <sheetViews>
    <sheetView tabSelected="1" zoomScale="81" zoomScaleNormal="81" zoomScalePageLayoutView="75" workbookViewId="0">
      <selection activeCell="B33" sqref="B33"/>
    </sheetView>
  </sheetViews>
  <sheetFormatPr baseColWidth="10" defaultRowHeight="16" x14ac:dyDescent="0.2"/>
  <cols>
    <col min="1" max="1" width="56" customWidth="1"/>
    <col min="2" max="2" width="42.6640625" style="5" customWidth="1"/>
    <col min="3" max="3" width="21.6640625" style="5" customWidth="1"/>
    <col min="5" max="5" width="64" customWidth="1"/>
    <col min="6" max="6" width="45.33203125" customWidth="1"/>
    <col min="7" max="7" width="29.5" customWidth="1"/>
    <col min="8" max="8" width="33.83203125" customWidth="1"/>
  </cols>
  <sheetData>
    <row r="1" spans="1:7" x14ac:dyDescent="0.2">
      <c r="A1" s="42" t="s">
        <v>35</v>
      </c>
      <c r="B1" s="41" t="s">
        <v>36</v>
      </c>
    </row>
    <row r="2" spans="1:7" x14ac:dyDescent="0.2">
      <c r="A2" s="1" t="s">
        <v>2</v>
      </c>
      <c r="E2" s="51" t="s">
        <v>22</v>
      </c>
      <c r="F2" s="87" t="s">
        <v>129</v>
      </c>
      <c r="G2" s="87"/>
    </row>
    <row r="3" spans="1:7" x14ac:dyDescent="0.2">
      <c r="A3" s="8" t="s">
        <v>15</v>
      </c>
      <c r="B3" s="4" t="s">
        <v>0</v>
      </c>
      <c r="C3" s="4" t="s">
        <v>1</v>
      </c>
      <c r="E3" s="64"/>
      <c r="F3" s="52" t="s">
        <v>25</v>
      </c>
      <c r="G3" s="31">
        <f>(Valuation!L21/Valuation!B21)^(1/10)-1</f>
        <v>8.0000000000000071E-2</v>
      </c>
    </row>
    <row r="4" spans="1:7" x14ac:dyDescent="0.2">
      <c r="A4" s="3" t="s">
        <v>113</v>
      </c>
      <c r="B4" s="22">
        <v>238.39</v>
      </c>
      <c r="C4" s="19">
        <v>220.67</v>
      </c>
      <c r="E4" s="53" t="s">
        <v>23</v>
      </c>
      <c r="F4" s="52" t="s">
        <v>26</v>
      </c>
      <c r="G4" s="6">
        <f>B32</f>
        <v>0.03</v>
      </c>
    </row>
    <row r="5" spans="1:7" x14ac:dyDescent="0.2">
      <c r="A5" s="3" t="s">
        <v>57</v>
      </c>
      <c r="B5" s="57">
        <f>32126.4/B4</f>
        <v>134.76404211586058</v>
      </c>
      <c r="C5" s="58">
        <f>31616/C4</f>
        <v>143.27276023020801</v>
      </c>
      <c r="E5" s="53" t="s">
        <v>74</v>
      </c>
      <c r="F5" s="52" t="s">
        <v>27</v>
      </c>
      <c r="G5" s="6">
        <f>B31</f>
        <v>0.04</v>
      </c>
    </row>
    <row r="6" spans="1:7" x14ac:dyDescent="0.2">
      <c r="A6" s="3" t="s">
        <v>100</v>
      </c>
      <c r="B6" s="23">
        <v>0.16</v>
      </c>
      <c r="E6" s="53" t="s">
        <v>78</v>
      </c>
      <c r="F6" s="52" t="s">
        <v>28</v>
      </c>
      <c r="G6" s="7">
        <v>0.05</v>
      </c>
    </row>
    <row r="7" spans="1:7" x14ac:dyDescent="0.2">
      <c r="A7" s="3" t="s">
        <v>45</v>
      </c>
      <c r="B7" s="23">
        <v>0.2</v>
      </c>
      <c r="C7" s="72">
        <v>0.2</v>
      </c>
      <c r="E7" s="53" t="s">
        <v>52</v>
      </c>
      <c r="F7" s="87" t="s">
        <v>104</v>
      </c>
      <c r="G7" s="87"/>
    </row>
    <row r="8" spans="1:7" x14ac:dyDescent="0.2">
      <c r="A8" s="3" t="s">
        <v>46</v>
      </c>
      <c r="B8" s="23">
        <v>0.25</v>
      </c>
      <c r="E8" s="53" t="s">
        <v>53</v>
      </c>
      <c r="F8" s="52" t="s">
        <v>25</v>
      </c>
      <c r="G8" s="31">
        <f>(Valuation!L21/Valuation!B21)^(1/10)-1</f>
        <v>8.0000000000000071E-2</v>
      </c>
    </row>
    <row r="9" spans="1:7" x14ac:dyDescent="0.2">
      <c r="A9" s="66" t="s">
        <v>55</v>
      </c>
      <c r="B9" s="65"/>
      <c r="F9" s="52" t="s">
        <v>26</v>
      </c>
      <c r="G9" s="6">
        <f>B32</f>
        <v>0.03</v>
      </c>
    </row>
    <row r="10" spans="1:7" x14ac:dyDescent="0.2">
      <c r="A10" s="3" t="s">
        <v>120</v>
      </c>
      <c r="B10" s="60">
        <v>2711</v>
      </c>
      <c r="C10"/>
      <c r="E10" s="53" t="s">
        <v>119</v>
      </c>
      <c r="F10" s="52" t="s">
        <v>27</v>
      </c>
      <c r="G10" s="6">
        <f>B31</f>
        <v>0.04</v>
      </c>
    </row>
    <row r="11" spans="1:7" x14ac:dyDescent="0.2">
      <c r="A11" s="3" t="s">
        <v>134</v>
      </c>
      <c r="B11" s="60">
        <v>1572.9</v>
      </c>
      <c r="C11"/>
      <c r="E11" s="64"/>
      <c r="F11" s="52" t="s">
        <v>28</v>
      </c>
      <c r="G11" s="7">
        <v>0.05</v>
      </c>
    </row>
    <row r="12" spans="1:7" x14ac:dyDescent="0.2">
      <c r="A12" s="3" t="s">
        <v>103</v>
      </c>
      <c r="B12" s="60">
        <v>14026</v>
      </c>
      <c r="C12"/>
      <c r="E12" s="64" t="s">
        <v>122</v>
      </c>
      <c r="F12" s="52"/>
      <c r="G12" s="6"/>
    </row>
    <row r="13" spans="1:7" x14ac:dyDescent="0.2">
      <c r="A13" s="3" t="s">
        <v>118</v>
      </c>
      <c r="B13" s="83">
        <v>0.2</v>
      </c>
      <c r="C13"/>
      <c r="E13" s="64"/>
      <c r="F13" s="82"/>
      <c r="G13" s="85"/>
    </row>
    <row r="14" spans="1:7" x14ac:dyDescent="0.2">
      <c r="A14" s="1" t="s">
        <v>7</v>
      </c>
      <c r="B14" s="24"/>
      <c r="F14" s="88" t="s">
        <v>58</v>
      </c>
      <c r="G14" s="88"/>
    </row>
    <row r="15" spans="1:7" x14ac:dyDescent="0.2">
      <c r="A15" s="3" t="s">
        <v>101</v>
      </c>
      <c r="B15" s="26">
        <v>15</v>
      </c>
      <c r="E15" s="53" t="s">
        <v>79</v>
      </c>
      <c r="F15" s="52" t="s">
        <v>142</v>
      </c>
      <c r="G15" s="6">
        <v>7.0000000000000007E-2</v>
      </c>
    </row>
    <row r="16" spans="1:7" x14ac:dyDescent="0.2">
      <c r="A16" s="3" t="s">
        <v>56</v>
      </c>
      <c r="B16" s="68">
        <v>0.9</v>
      </c>
      <c r="E16" s="53" t="s">
        <v>80</v>
      </c>
      <c r="F16" s="52" t="s">
        <v>138</v>
      </c>
      <c r="G16" s="6">
        <v>8.2500000000000004E-2</v>
      </c>
    </row>
    <row r="17" spans="1:7" ht="17" x14ac:dyDescent="0.2">
      <c r="A17" s="3" t="s">
        <v>75</v>
      </c>
      <c r="B17" s="25">
        <v>0.05</v>
      </c>
      <c r="E17" s="73" t="s">
        <v>81</v>
      </c>
      <c r="F17" s="52" t="s">
        <v>139</v>
      </c>
      <c r="G17" s="6">
        <v>9.5000000000000001E-2</v>
      </c>
    </row>
    <row r="18" spans="1:7" ht="17" x14ac:dyDescent="0.2">
      <c r="A18" s="3" t="s">
        <v>102</v>
      </c>
      <c r="B18" s="23">
        <v>0.03</v>
      </c>
      <c r="E18" s="73" t="s">
        <v>76</v>
      </c>
      <c r="F18" s="52" t="s">
        <v>140</v>
      </c>
      <c r="G18" s="6">
        <v>0.11</v>
      </c>
    </row>
    <row r="19" spans="1:7" x14ac:dyDescent="0.2">
      <c r="A19" s="1" t="s">
        <v>77</v>
      </c>
      <c r="B19" s="28"/>
      <c r="C19" s="30"/>
      <c r="E19" s="74"/>
      <c r="F19" s="52" t="s">
        <v>141</v>
      </c>
      <c r="G19" s="6">
        <v>0.125</v>
      </c>
    </row>
    <row r="20" spans="1:7" x14ac:dyDescent="0.2">
      <c r="A20" s="3" t="s">
        <v>99</v>
      </c>
      <c r="B20" s="57">
        <f>2531</f>
        <v>2531</v>
      </c>
      <c r="E20" s="75" t="s">
        <v>123</v>
      </c>
      <c r="F20" s="52" t="s">
        <v>29</v>
      </c>
      <c r="G20" s="7">
        <v>0.1</v>
      </c>
    </row>
    <row r="21" spans="1:7" x14ac:dyDescent="0.2">
      <c r="A21" s="3" t="s">
        <v>50</v>
      </c>
      <c r="B21" s="27">
        <v>0.08</v>
      </c>
      <c r="E21" s="53" t="s">
        <v>124</v>
      </c>
    </row>
    <row r="22" spans="1:7" x14ac:dyDescent="0.2">
      <c r="A22" s="3" t="s">
        <v>51</v>
      </c>
      <c r="B22" s="27">
        <v>0.08</v>
      </c>
      <c r="C22" s="30"/>
      <c r="E22" s="53" t="s">
        <v>125</v>
      </c>
    </row>
    <row r="23" spans="1:7" x14ac:dyDescent="0.2">
      <c r="A23" t="s">
        <v>92</v>
      </c>
      <c r="B23" s="69">
        <v>0.04</v>
      </c>
      <c r="C23" s="30"/>
      <c r="E23" s="64" t="s">
        <v>126</v>
      </c>
    </row>
    <row r="24" spans="1:7" x14ac:dyDescent="0.2">
      <c r="A24" s="1" t="s">
        <v>21</v>
      </c>
      <c r="B24" s="24"/>
    </row>
    <row r="25" spans="1:7" x14ac:dyDescent="0.2">
      <c r="A25" t="s">
        <v>127</v>
      </c>
      <c r="B25" s="32" t="s">
        <v>27</v>
      </c>
      <c r="E25" s="53" t="s">
        <v>82</v>
      </c>
    </row>
    <row r="26" spans="1:7" x14ac:dyDescent="0.2">
      <c r="A26" s="3" t="s">
        <v>128</v>
      </c>
      <c r="B26" s="33">
        <f>VLOOKUP(B25,F3:G6,2)</f>
        <v>0.04</v>
      </c>
      <c r="E26" s="53" t="s">
        <v>83</v>
      </c>
    </row>
    <row r="27" spans="1:7" x14ac:dyDescent="0.2">
      <c r="A27" t="s">
        <v>144</v>
      </c>
      <c r="B27" s="32" t="s">
        <v>26</v>
      </c>
    </row>
    <row r="28" spans="1:7" x14ac:dyDescent="0.2">
      <c r="A28" s="3" t="s">
        <v>112</v>
      </c>
      <c r="B28" s="33">
        <v>0.03</v>
      </c>
      <c r="E28" s="53" t="s">
        <v>84</v>
      </c>
    </row>
    <row r="29" spans="1:7" x14ac:dyDescent="0.2">
      <c r="A29" t="s">
        <v>132</v>
      </c>
      <c r="B29" s="25">
        <v>0.03</v>
      </c>
      <c r="E29" s="53" t="s">
        <v>85</v>
      </c>
    </row>
    <row r="30" spans="1:7" x14ac:dyDescent="0.2">
      <c r="A30" s="1" t="s">
        <v>3</v>
      </c>
      <c r="B30" s="24"/>
      <c r="E30" s="53" t="s">
        <v>86</v>
      </c>
    </row>
    <row r="31" spans="1:7" x14ac:dyDescent="0.2">
      <c r="A31" s="3" t="s">
        <v>4</v>
      </c>
      <c r="B31" s="23">
        <v>0.04</v>
      </c>
    </row>
    <row r="32" spans="1:7" x14ac:dyDescent="0.2">
      <c r="A32" s="3" t="s">
        <v>10</v>
      </c>
      <c r="B32" s="23">
        <v>0.03</v>
      </c>
      <c r="E32" s="53" t="s">
        <v>4</v>
      </c>
    </row>
    <row r="33" spans="1:7" x14ac:dyDescent="0.2">
      <c r="A33" s="3" t="s">
        <v>19</v>
      </c>
      <c r="B33" s="23" t="s">
        <v>139</v>
      </c>
      <c r="E33" s="53" t="s">
        <v>10</v>
      </c>
    </row>
    <row r="34" spans="1:7" x14ac:dyDescent="0.2">
      <c r="A34" s="3" t="s">
        <v>5</v>
      </c>
      <c r="B34" s="29">
        <f>VLOOKUP(B33,F15:G20,2)</f>
        <v>9.5000000000000001E-2</v>
      </c>
      <c r="E34" s="53" t="s">
        <v>87</v>
      </c>
    </row>
    <row r="35" spans="1:7" x14ac:dyDescent="0.2">
      <c r="A35" s="3" t="s">
        <v>20</v>
      </c>
      <c r="B35" s="23" t="s">
        <v>140</v>
      </c>
      <c r="E35" s="53" t="s">
        <v>83</v>
      </c>
    </row>
    <row r="36" spans="1:7" x14ac:dyDescent="0.2">
      <c r="A36" s="3" t="s">
        <v>6</v>
      </c>
      <c r="B36" s="29">
        <f>VLOOKUP(B35,F15:G20,2)</f>
        <v>0.11</v>
      </c>
      <c r="C36" s="30" t="s">
        <v>24</v>
      </c>
      <c r="E36" s="53" t="s">
        <v>88</v>
      </c>
    </row>
    <row r="37" spans="1:7" x14ac:dyDescent="0.2">
      <c r="A37" s="1" t="s">
        <v>63</v>
      </c>
      <c r="E37" s="53" t="s">
        <v>83</v>
      </c>
    </row>
    <row r="38" spans="1:7" x14ac:dyDescent="0.2">
      <c r="A38" s="3" t="s">
        <v>64</v>
      </c>
      <c r="B38" s="58">
        <v>8577</v>
      </c>
    </row>
    <row r="39" spans="1:7" x14ac:dyDescent="0.2">
      <c r="A39" s="3" t="s">
        <v>65</v>
      </c>
      <c r="B39" s="58">
        <v>0</v>
      </c>
      <c r="E39" s="53" t="s">
        <v>89</v>
      </c>
    </row>
    <row r="40" spans="1:7" x14ac:dyDescent="0.2">
      <c r="A40" s="3" t="s">
        <v>66</v>
      </c>
      <c r="B40" s="58">
        <v>16998</v>
      </c>
      <c r="E40" s="53" t="s">
        <v>90</v>
      </c>
    </row>
    <row r="41" spans="1:7" x14ac:dyDescent="0.2">
      <c r="A41" t="s">
        <v>95</v>
      </c>
      <c r="B41" s="76"/>
      <c r="E41" s="53" t="s">
        <v>91</v>
      </c>
    </row>
    <row r="42" spans="1:7" ht="17" thickBot="1" x14ac:dyDescent="0.25">
      <c r="A42" t="s">
        <v>110</v>
      </c>
      <c r="B42" s="80">
        <v>443.1</v>
      </c>
      <c r="E42" s="64" t="s">
        <v>98</v>
      </c>
    </row>
    <row r="43" spans="1:7" ht="17" thickBot="1" x14ac:dyDescent="0.25">
      <c r="E43" s="89" t="s">
        <v>38</v>
      </c>
      <c r="F43" s="90"/>
      <c r="G43" s="91"/>
    </row>
    <row r="44" spans="1:7" x14ac:dyDescent="0.2">
      <c r="E44" s="54" t="s">
        <v>41</v>
      </c>
      <c r="F44" s="45" t="s">
        <v>39</v>
      </c>
      <c r="G44" s="46" t="s">
        <v>40</v>
      </c>
    </row>
    <row r="45" spans="1:7" x14ac:dyDescent="0.2">
      <c r="B45" s="70"/>
      <c r="E45" s="55" t="s">
        <v>117</v>
      </c>
      <c r="F45" s="10">
        <f>Valuation!B12</f>
        <v>454.53678109862398</v>
      </c>
      <c r="G45" s="47">
        <f>Valuation!B14</f>
        <v>108357.02324610096</v>
      </c>
    </row>
    <row r="46" spans="1:7" x14ac:dyDescent="0.2">
      <c r="E46" s="55" t="s">
        <v>70</v>
      </c>
      <c r="F46" s="10">
        <f>Valuation!B18</f>
        <v>320.4175964403185</v>
      </c>
      <c r="G46" s="47">
        <f>Valuation!B27</f>
        <v>221879.21922178328</v>
      </c>
    </row>
    <row r="47" spans="1:7" x14ac:dyDescent="0.2">
      <c r="B47" s="70"/>
      <c r="C47" s="70"/>
      <c r="E47" s="55" t="s">
        <v>111</v>
      </c>
      <c r="F47" s="16"/>
      <c r="G47" s="47">
        <f>Valuation!B37</f>
        <v>209261.60767665502</v>
      </c>
    </row>
    <row r="48" spans="1:7" ht="17" thickBot="1" x14ac:dyDescent="0.25">
      <c r="E48" s="56" t="s">
        <v>116</v>
      </c>
      <c r="F48" s="48"/>
      <c r="G48" s="49">
        <f>Valuation!B46</f>
        <v>112553.63479122918</v>
      </c>
    </row>
    <row r="49" spans="2:7" x14ac:dyDescent="0.2">
      <c r="G49" s="93"/>
    </row>
    <row r="50" spans="2:7" x14ac:dyDescent="0.2">
      <c r="G50" s="2"/>
    </row>
    <row r="51" spans="2:7" x14ac:dyDescent="0.2">
      <c r="B51" s="70"/>
    </row>
    <row r="53" spans="2:7" x14ac:dyDescent="0.2">
      <c r="B53" s="70"/>
    </row>
    <row r="54" spans="2:7" x14ac:dyDescent="0.2">
      <c r="B54" s="86"/>
    </row>
  </sheetData>
  <sheetProtection selectLockedCells="1"/>
  <mergeCells count="4">
    <mergeCell ref="F2:G2"/>
    <mergeCell ref="F14:G14"/>
    <mergeCell ref="E43:G43"/>
    <mergeCell ref="F7:G7"/>
  </mergeCells>
  <dataValidations count="2">
    <dataValidation type="list" allowBlank="1" showInputMessage="1" showErrorMessage="1" sqref="B25 B27" xr:uid="{00000000-0002-0000-0000-000000000000}">
      <formula1>$F$3:$F$6</formula1>
    </dataValidation>
    <dataValidation type="list" allowBlank="1" showInputMessage="1" showErrorMessage="1" sqref="B33 B35" xr:uid="{00000000-0002-0000-0000-000001000000}">
      <formula1>$F$15:$F$20</formula1>
    </dataValidation>
  </dataValidation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8F3F6-BC67-0541-801A-707CD2C689C6}">
  <dimension ref="A1:V57"/>
  <sheetViews>
    <sheetView topLeftCell="A21" workbookViewId="0">
      <selection activeCell="F55" sqref="F55"/>
    </sheetView>
  </sheetViews>
  <sheetFormatPr baseColWidth="10" defaultRowHeight="16" x14ac:dyDescent="0.2"/>
  <cols>
    <col min="1" max="1" width="33.83203125" customWidth="1"/>
    <col min="2" max="2" width="14.6640625" customWidth="1"/>
    <col min="3" max="3" width="14.1640625" customWidth="1"/>
    <col min="4" max="6" width="11.33203125" bestFit="1" customWidth="1"/>
    <col min="7" max="7" width="12.1640625" bestFit="1" customWidth="1"/>
    <col min="8" max="8" width="11.33203125" bestFit="1" customWidth="1"/>
    <col min="9" max="11" width="12.1640625" bestFit="1" customWidth="1"/>
    <col min="12" max="12" width="12.5" bestFit="1" customWidth="1"/>
    <col min="14" max="15" width="11.5" bestFit="1" customWidth="1"/>
  </cols>
  <sheetData>
    <row r="1" spans="1:22" x14ac:dyDescent="0.2">
      <c r="A1" s="1" t="s">
        <v>93</v>
      </c>
    </row>
    <row r="2" spans="1:22" x14ac:dyDescent="0.2">
      <c r="A2" s="3"/>
      <c r="B2" s="3" t="s">
        <v>8</v>
      </c>
      <c r="C2" s="12">
        <v>1</v>
      </c>
      <c r="D2" s="12">
        <v>2</v>
      </c>
      <c r="E2" s="12">
        <v>3</v>
      </c>
      <c r="F2" s="12">
        <v>4</v>
      </c>
      <c r="G2" s="12">
        <v>5</v>
      </c>
      <c r="H2" s="12">
        <v>6</v>
      </c>
      <c r="I2" s="12">
        <v>7</v>
      </c>
      <c r="J2" s="12">
        <v>8</v>
      </c>
      <c r="K2" s="12">
        <v>9</v>
      </c>
      <c r="L2" s="12">
        <v>10</v>
      </c>
      <c r="M2" s="12">
        <f t="shared" ref="M2:V2" si="0">L2+1</f>
        <v>11</v>
      </c>
      <c r="N2" s="12">
        <f t="shared" si="0"/>
        <v>12</v>
      </c>
      <c r="O2" s="12">
        <f t="shared" si="0"/>
        <v>13</v>
      </c>
      <c r="P2" s="12">
        <f t="shared" si="0"/>
        <v>14</v>
      </c>
      <c r="Q2" s="12">
        <f t="shared" si="0"/>
        <v>15</v>
      </c>
      <c r="R2" s="12">
        <f t="shared" si="0"/>
        <v>16</v>
      </c>
      <c r="S2" s="12">
        <f t="shared" si="0"/>
        <v>17</v>
      </c>
      <c r="T2" s="12">
        <f t="shared" si="0"/>
        <v>18</v>
      </c>
      <c r="U2" s="12">
        <f t="shared" si="0"/>
        <v>19</v>
      </c>
      <c r="V2" s="12">
        <f t="shared" si="0"/>
        <v>20</v>
      </c>
    </row>
    <row r="3" spans="1:22" x14ac:dyDescent="0.2">
      <c r="A3" s="3" t="s">
        <v>47</v>
      </c>
      <c r="B3" s="3"/>
      <c r="C3" s="12">
        <f>IF(C2&gt;Inputs!$B$15,0,1)</f>
        <v>1</v>
      </c>
      <c r="D3" s="12">
        <f>IF(D2&gt;Inputs!$B$15,0,1)</f>
        <v>1</v>
      </c>
      <c r="E3" s="12">
        <f>IF(E2&gt;Inputs!$B$15,0,1)</f>
        <v>1</v>
      </c>
      <c r="F3" s="12">
        <f>IF(F2&gt;Inputs!$B$15,0,1)</f>
        <v>1</v>
      </c>
      <c r="G3" s="12">
        <f>IF(G2&gt;Inputs!$B$15,0,1)</f>
        <v>1</v>
      </c>
      <c r="H3" s="12">
        <f>IF(H2&gt;Inputs!$B$15,0,1)</f>
        <v>1</v>
      </c>
      <c r="I3" s="12">
        <f>IF(I2&gt;Inputs!$B$15,0,1)</f>
        <v>1</v>
      </c>
      <c r="J3" s="12">
        <f>IF(J2&gt;Inputs!$B$15,0,1)</f>
        <v>1</v>
      </c>
      <c r="K3" s="12">
        <f>IF(K2&gt;Inputs!$B$15,0,1)</f>
        <v>1</v>
      </c>
      <c r="L3" s="12">
        <f>IF(L2&gt;Inputs!$B$15,0,1)</f>
        <v>1</v>
      </c>
      <c r="M3" s="12">
        <f>IF(M2&gt;Inputs!$B$15,0,1)</f>
        <v>1</v>
      </c>
      <c r="N3" s="12">
        <f>IF(N2&gt;Inputs!$B$15,0,1)</f>
        <v>1</v>
      </c>
      <c r="O3" s="12">
        <f>IF(O2&gt;Inputs!$B$15,0,1)</f>
        <v>1</v>
      </c>
      <c r="P3" s="12">
        <f>IF(P2&gt;Inputs!$B$15,0,1)</f>
        <v>1</v>
      </c>
      <c r="Q3" s="12">
        <f>IF(Q2&gt;Inputs!$B$15,0,1)</f>
        <v>1</v>
      </c>
      <c r="R3" s="12">
        <f>IF(R2&gt;Inputs!$B$15,0,1)</f>
        <v>0</v>
      </c>
      <c r="S3" s="12">
        <f>IF(S2&gt;Inputs!$B$15,0,1)</f>
        <v>0</v>
      </c>
      <c r="T3" s="12">
        <f>IF(T2&gt;Inputs!$B$15,0,1)</f>
        <v>0</v>
      </c>
      <c r="U3" s="12">
        <f>IF(U2&gt;Inputs!$B$15,0,1)</f>
        <v>0</v>
      </c>
      <c r="V3" s="12">
        <f>IF(V2&gt;Inputs!$B$15,0,1)</f>
        <v>0</v>
      </c>
    </row>
    <row r="4" spans="1:22" x14ac:dyDescent="0.2">
      <c r="A4" s="3" t="s">
        <v>43</v>
      </c>
      <c r="B4" s="67">
        <f>1</f>
        <v>1</v>
      </c>
      <c r="C4" s="71">
        <f>B4*Inputs!$B$16</f>
        <v>0.9</v>
      </c>
      <c r="D4" s="71">
        <f>C4*Inputs!$B$16</f>
        <v>0.81</v>
      </c>
      <c r="E4" s="71">
        <f>D4*Inputs!$B$16</f>
        <v>0.72900000000000009</v>
      </c>
      <c r="F4" s="71">
        <f>E4*Inputs!$B$16</f>
        <v>0.65610000000000013</v>
      </c>
      <c r="G4" s="71">
        <f>F4*Inputs!$B$16</f>
        <v>0.59049000000000018</v>
      </c>
      <c r="H4" s="71">
        <f>G4*Inputs!$B$16</f>
        <v>0.53144100000000016</v>
      </c>
      <c r="I4" s="71">
        <f>H4*Inputs!$B$16</f>
        <v>0.47829690000000014</v>
      </c>
      <c r="J4" s="71">
        <f>I4*Inputs!$B$16</f>
        <v>0.43046721000000016</v>
      </c>
      <c r="K4" s="71">
        <f>J4*Inputs!$B$16</f>
        <v>0.38742048900000015</v>
      </c>
      <c r="L4" s="71">
        <f>K4*Inputs!$B$16</f>
        <v>0.34867844010000015</v>
      </c>
      <c r="M4" s="71">
        <f>L4*Inputs!$B$16</f>
        <v>0.31381059609000017</v>
      </c>
      <c r="N4" s="71">
        <f>M4*Inputs!$B$16</f>
        <v>0.28242953648100017</v>
      </c>
      <c r="O4" s="71">
        <f>N4*Inputs!$B$16</f>
        <v>0.25418658283290013</v>
      </c>
      <c r="P4" s="71">
        <f>O4*Inputs!$B$16</f>
        <v>0.22876792454961012</v>
      </c>
      <c r="Q4" s="71">
        <f>P4*Inputs!$B$16</f>
        <v>0.2058911320946491</v>
      </c>
      <c r="R4" s="71">
        <f>Q4*Inputs!$B$16</f>
        <v>0.18530201888518419</v>
      </c>
      <c r="S4" s="71">
        <f>R4*Inputs!$B$16</f>
        <v>0.16677181699666577</v>
      </c>
      <c r="T4" s="71">
        <f>S4*Inputs!$B$16</f>
        <v>0.15009463529699921</v>
      </c>
      <c r="U4" s="71">
        <f>T4*Inputs!$B$16</f>
        <v>0.13508517176729928</v>
      </c>
      <c r="V4" s="71">
        <f>U4*Inputs!$B$16</f>
        <v>0.12157665459056936</v>
      </c>
    </row>
    <row r="5" spans="1:22" x14ac:dyDescent="0.2">
      <c r="A5" s="3" t="s">
        <v>67</v>
      </c>
      <c r="B5" s="10">
        <f>Inputs!B5</f>
        <v>134.76404211586058</v>
      </c>
      <c r="C5" s="9">
        <f>B5*(1+Inputs!$B$17)</f>
        <v>141.5022442216536</v>
      </c>
      <c r="D5" s="9">
        <f>C5*(1+Inputs!$B$17)</f>
        <v>148.57735643273628</v>
      </c>
      <c r="E5" s="9">
        <f>D5*(1+Inputs!$B$17)</f>
        <v>156.00622425437311</v>
      </c>
      <c r="F5" s="9">
        <f>E5*(1+Inputs!$B$17)</f>
        <v>163.80653546709178</v>
      </c>
      <c r="G5" s="9">
        <f>F5*(1+Inputs!$B$17)</f>
        <v>171.99686224044638</v>
      </c>
      <c r="H5" s="9">
        <f>G5*(1+Inputs!$B$17)</f>
        <v>180.59670535246869</v>
      </c>
      <c r="I5" s="9">
        <f>H5*(1+Inputs!$B$17)</f>
        <v>189.62654062009213</v>
      </c>
      <c r="J5" s="9">
        <f>I5*(1+Inputs!$B$17)</f>
        <v>199.10786765109674</v>
      </c>
      <c r="K5" s="9">
        <f>J5*(1+Inputs!$B$17)</f>
        <v>209.0632610336516</v>
      </c>
      <c r="L5" s="9">
        <f>K5*(1+Inputs!$B$17)</f>
        <v>219.51642408533419</v>
      </c>
      <c r="M5" s="9">
        <f>L5*(1+Inputs!$B$17)</f>
        <v>230.4922452896009</v>
      </c>
      <c r="N5" s="9">
        <f>M5*(1+Inputs!$B$17)</f>
        <v>242.01685755408096</v>
      </c>
      <c r="O5" s="9">
        <f>N5*(1+Inputs!$B$17)</f>
        <v>254.11770043178501</v>
      </c>
      <c r="P5" s="9">
        <f>O5*(1+Inputs!$B$17)</f>
        <v>266.82358545337428</v>
      </c>
      <c r="Q5" s="9">
        <f>P5*(1+Inputs!$B$17)</f>
        <v>280.16476472604302</v>
      </c>
      <c r="R5" s="9">
        <f>Q5*(1+Inputs!$B$17)</f>
        <v>294.17300296234521</v>
      </c>
      <c r="S5" s="9">
        <f>R5*(1+Inputs!$B$17)</f>
        <v>308.88165311046248</v>
      </c>
      <c r="T5" s="9">
        <f>S5*(1+Inputs!$B$17)</f>
        <v>324.3257357659856</v>
      </c>
      <c r="U5" s="9">
        <f>T5*(1+Inputs!$B$17)</f>
        <v>340.54202255428487</v>
      </c>
      <c r="V5" s="9">
        <f>U5*(1+Inputs!$B$17)</f>
        <v>357.56912368199914</v>
      </c>
    </row>
    <row r="6" spans="1:22" x14ac:dyDescent="0.2">
      <c r="A6" s="3" t="s">
        <v>121</v>
      </c>
      <c r="B6" s="10">
        <f>Inputs!B6*B5+(Inputs!B13*Inputs!B12)/Inputs!B4</f>
        <v>33.329518855656701</v>
      </c>
      <c r="C6" s="61">
        <f>B6*(1+Inputs!$B$18)</f>
        <v>34.329404421326402</v>
      </c>
      <c r="D6" s="61">
        <f>C6*(1+Inputs!$B$18)</f>
        <v>35.359286553966193</v>
      </c>
      <c r="E6" s="61">
        <f>D6*(1+Inputs!$B$18)</f>
        <v>36.420065150585181</v>
      </c>
      <c r="F6" s="61">
        <f>E6*(1+Inputs!$B$18)</f>
        <v>37.512667105102736</v>
      </c>
      <c r="G6" s="61">
        <f>F6*(1+Inputs!$B$18)</f>
        <v>38.63804711825582</v>
      </c>
      <c r="H6" s="61">
        <f>G6*(1+Inputs!$B$32)</f>
        <v>39.797188531803492</v>
      </c>
      <c r="I6" s="61">
        <f>H6*(1+Inputs!$B$32)</f>
        <v>40.9911041877576</v>
      </c>
      <c r="J6" s="61">
        <f>I6*(1+Inputs!$B$32)</f>
        <v>42.220837313390327</v>
      </c>
      <c r="K6" s="61">
        <f>J6*(1+Inputs!$B$32)</f>
        <v>43.487462432792036</v>
      </c>
      <c r="L6" s="61">
        <f>K6*(1+Inputs!$B$32)</f>
        <v>44.792086305775797</v>
      </c>
      <c r="M6" s="61">
        <f>L6*(1+Inputs!$B$32)</f>
        <v>46.135848894949071</v>
      </c>
      <c r="N6" s="61">
        <f>M6*(1+Inputs!$B$32)</f>
        <v>47.519924361797543</v>
      </c>
      <c r="O6" s="61">
        <f>N6*(1+Inputs!$B$32)</f>
        <v>48.945522092651473</v>
      </c>
      <c r="P6" s="61">
        <f>O6*(1+Inputs!$B$32)</f>
        <v>50.41388775543102</v>
      </c>
      <c r="Q6" s="61">
        <f>P6*(1+Inputs!$B$32)</f>
        <v>51.926304388093953</v>
      </c>
      <c r="R6" s="61">
        <f>Q6*(1+Inputs!$B$32)</f>
        <v>53.484093519736774</v>
      </c>
      <c r="S6" s="61">
        <f>R6*(1+Inputs!$B$32)</f>
        <v>55.088616325328879</v>
      </c>
      <c r="T6" s="61">
        <f>S6*(1+Inputs!$B$32)</f>
        <v>56.741274815088744</v>
      </c>
      <c r="U6" s="61">
        <f>T6*(1+Inputs!$B$32)</f>
        <v>58.443513059541409</v>
      </c>
      <c r="V6" s="61">
        <f>U6*(1+Inputs!$B$32)</f>
        <v>60.196818451327651</v>
      </c>
    </row>
    <row r="7" spans="1:22" x14ac:dyDescent="0.2">
      <c r="A7" s="3" t="s">
        <v>68</v>
      </c>
      <c r="B7" s="10">
        <f t="shared" ref="B7:V7" si="1">B5-B6</f>
        <v>101.43452326020387</v>
      </c>
      <c r="C7" s="10">
        <f t="shared" si="1"/>
        <v>107.1728398003272</v>
      </c>
      <c r="D7" s="10">
        <f t="shared" si="1"/>
        <v>113.21806987877008</v>
      </c>
      <c r="E7" s="10">
        <f t="shared" si="1"/>
        <v>119.58615910378794</v>
      </c>
      <c r="F7" s="10">
        <f t="shared" si="1"/>
        <v>126.29386836198904</v>
      </c>
      <c r="G7" s="10">
        <f t="shared" si="1"/>
        <v>133.35881512219055</v>
      </c>
      <c r="H7" s="10">
        <f t="shared" si="1"/>
        <v>140.79951682066519</v>
      </c>
      <c r="I7" s="10">
        <f t="shared" si="1"/>
        <v>148.63543643233453</v>
      </c>
      <c r="J7" s="10">
        <f t="shared" si="1"/>
        <v>156.88703033770642</v>
      </c>
      <c r="K7" s="10">
        <f t="shared" si="1"/>
        <v>165.57579860085957</v>
      </c>
      <c r="L7" s="10">
        <f t="shared" si="1"/>
        <v>174.7243377795584</v>
      </c>
      <c r="M7" s="10">
        <f t="shared" si="1"/>
        <v>184.35639639465182</v>
      </c>
      <c r="N7" s="10">
        <f t="shared" si="1"/>
        <v>194.49693319228342</v>
      </c>
      <c r="O7" s="10">
        <f t="shared" si="1"/>
        <v>205.17217833913355</v>
      </c>
      <c r="P7" s="10">
        <f t="shared" si="1"/>
        <v>216.40969769794327</v>
      </c>
      <c r="Q7" s="10">
        <f t="shared" si="1"/>
        <v>228.23846033794905</v>
      </c>
      <c r="R7" s="10">
        <f t="shared" si="1"/>
        <v>240.68890944260843</v>
      </c>
      <c r="S7" s="10">
        <f t="shared" si="1"/>
        <v>253.79303678513361</v>
      </c>
      <c r="T7" s="10">
        <f t="shared" si="1"/>
        <v>267.58446095089687</v>
      </c>
      <c r="U7" s="10">
        <f t="shared" si="1"/>
        <v>282.09850949474344</v>
      </c>
      <c r="V7" s="10">
        <f t="shared" si="1"/>
        <v>297.37230523067149</v>
      </c>
    </row>
    <row r="8" spans="1:22" x14ac:dyDescent="0.2">
      <c r="A8" s="3" t="s">
        <v>44</v>
      </c>
      <c r="B8" s="50">
        <f>Inputs!B7</f>
        <v>0.2</v>
      </c>
      <c r="C8" s="62">
        <f t="shared" ref="C8:K8" si="2">B8+($L$8-$B$8)/10</f>
        <v>0.20500000000000002</v>
      </c>
      <c r="D8" s="62">
        <f t="shared" si="2"/>
        <v>0.21000000000000002</v>
      </c>
      <c r="E8" s="62">
        <f t="shared" si="2"/>
        <v>0.21500000000000002</v>
      </c>
      <c r="F8" s="62">
        <f t="shared" si="2"/>
        <v>0.22000000000000003</v>
      </c>
      <c r="G8" s="62">
        <f t="shared" si="2"/>
        <v>0.22500000000000003</v>
      </c>
      <c r="H8" s="62">
        <f t="shared" si="2"/>
        <v>0.23000000000000004</v>
      </c>
      <c r="I8" s="62">
        <f t="shared" si="2"/>
        <v>0.23500000000000004</v>
      </c>
      <c r="J8" s="62">
        <f t="shared" si="2"/>
        <v>0.24000000000000005</v>
      </c>
      <c r="K8" s="62">
        <f t="shared" si="2"/>
        <v>0.24500000000000005</v>
      </c>
      <c r="L8" s="63">
        <f>Inputs!B8</f>
        <v>0.25</v>
      </c>
      <c r="M8" s="63">
        <f t="shared" ref="M8:V8" si="3">L8</f>
        <v>0.25</v>
      </c>
      <c r="N8" s="63">
        <f t="shared" si="3"/>
        <v>0.25</v>
      </c>
      <c r="O8" s="63">
        <f t="shared" si="3"/>
        <v>0.25</v>
      </c>
      <c r="P8" s="63">
        <f t="shared" si="3"/>
        <v>0.25</v>
      </c>
      <c r="Q8" s="63">
        <f t="shared" si="3"/>
        <v>0.25</v>
      </c>
      <c r="R8" s="63">
        <f t="shared" si="3"/>
        <v>0.25</v>
      </c>
      <c r="S8" s="63">
        <f t="shared" si="3"/>
        <v>0.25</v>
      </c>
      <c r="T8" s="63">
        <f t="shared" si="3"/>
        <v>0.25</v>
      </c>
      <c r="U8" s="63">
        <f t="shared" si="3"/>
        <v>0.25</v>
      </c>
      <c r="V8" s="63">
        <f t="shared" si="3"/>
        <v>0.25</v>
      </c>
    </row>
    <row r="9" spans="1:22" x14ac:dyDescent="0.2">
      <c r="A9" s="3" t="s">
        <v>48</v>
      </c>
      <c r="B9" s="20">
        <f>B7*(1-B8)</f>
        <v>81.1476186081631</v>
      </c>
      <c r="C9" s="20">
        <f t="shared" ref="C9:V9" si="4">C3*C4*C7*(1-C8)</f>
        <v>76.682166877134108</v>
      </c>
      <c r="D9" s="20">
        <f t="shared" si="4"/>
        <v>72.448242915424984</v>
      </c>
      <c r="E9" s="20">
        <f t="shared" si="4"/>
        <v>68.434973339529208</v>
      </c>
      <c r="F9" s="20">
        <f t="shared" si="4"/>
        <v>64.631897485194813</v>
      </c>
      <c r="G9" s="20">
        <f t="shared" si="4"/>
        <v>61.028961224664286</v>
      </c>
      <c r="H9" s="20">
        <f t="shared" si="4"/>
        <v>57.616509734392181</v>
      </c>
      <c r="I9" s="20">
        <f t="shared" si="4"/>
        <v>54.385279383935497</v>
      </c>
      <c r="J9" s="20">
        <f t="shared" si="4"/>
        <v>51.326388898339978</v>
      </c>
      <c r="K9" s="20">
        <f t="shared" si="4"/>
        <v>48.431329929685468</v>
      </c>
      <c r="L9" s="20">
        <f t="shared" si="4"/>
        <v>45.691957158361461</v>
      </c>
      <c r="M9" s="20">
        <f t="shared" si="4"/>
        <v>43.389742984207537</v>
      </c>
      <c r="N9" s="20">
        <f t="shared" si="4"/>
        <v>41.198759016354501</v>
      </c>
      <c r="O9" s="20">
        <f t="shared" si="4"/>
        <v>39.114011178305049</v>
      </c>
      <c r="P9" s="20">
        <f t="shared" si="4"/>
        <v>37.130698046075267</v>
      </c>
      <c r="Q9" s="20">
        <f t="shared" si="4"/>
        <v>35.244206239889998</v>
      </c>
      <c r="R9" s="20">
        <f t="shared" si="4"/>
        <v>0</v>
      </c>
      <c r="S9" s="20">
        <f t="shared" si="4"/>
        <v>0</v>
      </c>
      <c r="T9" s="20">
        <f t="shared" si="4"/>
        <v>0</v>
      </c>
      <c r="U9" s="20">
        <f t="shared" si="4"/>
        <v>0</v>
      </c>
      <c r="V9" s="20">
        <f t="shared" si="4"/>
        <v>0</v>
      </c>
    </row>
    <row r="10" spans="1:22" x14ac:dyDescent="0.2">
      <c r="A10" s="3" t="s">
        <v>49</v>
      </c>
      <c r="B10" s="20"/>
      <c r="C10" s="59">
        <f>C9/(1+Inputs!$B$34)^Valuation!C2</f>
        <v>70.029376143501466</v>
      </c>
      <c r="D10" s="59">
        <f>D9/(1+Inputs!$B$34)^Valuation!D2</f>
        <v>60.422629149037746</v>
      </c>
      <c r="E10" s="59">
        <f>E9/(1+Inputs!$B$34)^Valuation!E2</f>
        <v>52.123761012085041</v>
      </c>
      <c r="F10" s="59">
        <f>F9/(1+Inputs!$B$34)^Valuation!F2</f>
        <v>44.956286429771311</v>
      </c>
      <c r="G10" s="59">
        <f>G9/(1+Inputs!$B$34)^Valuation!G2</f>
        <v>38.767284553320742</v>
      </c>
      <c r="H10" s="59">
        <f>H9/(1+Inputs!$B$34)^Valuation!H2</f>
        <v>33.424293114399617</v>
      </c>
      <c r="I10" s="59">
        <f>I9/(1+Inputs!$B$34)^Valuation!I2</f>
        <v>28.812605282424549</v>
      </c>
      <c r="J10" s="59">
        <f>J9/(1+Inputs!$B$34)^Valuation!J2</f>
        <v>24.832918136580606</v>
      </c>
      <c r="K10" s="59">
        <f>K9/(1+Inputs!$B$34)^Valuation!K2</f>
        <v>21.399287936668991</v>
      </c>
      <c r="L10" s="59">
        <f>L9/(1+Inputs!$B$34)^Valuation!L2</f>
        <v>18.437352933289763</v>
      </c>
      <c r="M10" s="59">
        <f>M9/(1+Inputs!$B$34)^Valuation!M2</f>
        <v>15.989385253978101</v>
      </c>
      <c r="N10" s="59">
        <f>N9/(1+Inputs!$B$34)^Valuation!N2</f>
        <v>13.864834961038044</v>
      </c>
      <c r="O10" s="59">
        <f>O9/(1+Inputs!$B$34)^Valuation!O2</f>
        <v>12.021227224845683</v>
      </c>
      <c r="P10" s="59">
        <f>P9/(1+Inputs!$B$34)^Valuation!P2</f>
        <v>10.421625083867253</v>
      </c>
      <c r="Q10" s="59">
        <f>Q9/(1+Inputs!$B$34)^Valuation!Q2</f>
        <v>9.0339138838149822</v>
      </c>
      <c r="R10" s="59">
        <f>R9/(1+Inputs!$B$34)^Valuation!R2</f>
        <v>0</v>
      </c>
      <c r="S10" s="59">
        <f>S9/(1+Inputs!$B$34)^Valuation!S2</f>
        <v>0</v>
      </c>
      <c r="T10" s="59">
        <f>T9/(1+Inputs!$B$34)^Valuation!T2</f>
        <v>0</v>
      </c>
      <c r="U10" s="59">
        <f>U9/(1+Inputs!$B$34)^Valuation!U2</f>
        <v>0</v>
      </c>
      <c r="V10" s="59">
        <f>V9/(1+Inputs!$B$34)^Valuation!V2</f>
        <v>0</v>
      </c>
    </row>
    <row r="11" spans="1:22" x14ac:dyDescent="0.2">
      <c r="A11" s="3" t="s">
        <v>59</v>
      </c>
      <c r="B11" s="11">
        <f>Inputs!B15</f>
        <v>15</v>
      </c>
    </row>
    <row r="12" spans="1:22" x14ac:dyDescent="0.2">
      <c r="A12" s="3" t="s">
        <v>60</v>
      </c>
      <c r="B12" s="20">
        <f>SUM(C10:V10)</f>
        <v>454.53678109862398</v>
      </c>
    </row>
    <row r="13" spans="1:22" ht="17" thickBot="1" x14ac:dyDescent="0.25">
      <c r="A13" s="3" t="s">
        <v>106</v>
      </c>
      <c r="B13" s="38">
        <f>Inputs!B4</f>
        <v>238.39</v>
      </c>
      <c r="E13" s="2"/>
    </row>
    <row r="14" spans="1:22" ht="17" thickBot="1" x14ac:dyDescent="0.25">
      <c r="A14" s="37" t="s">
        <v>107</v>
      </c>
      <c r="B14" s="39">
        <f>B13*B12</f>
        <v>108357.02324610096</v>
      </c>
    </row>
    <row r="16" spans="1:22" x14ac:dyDescent="0.2">
      <c r="A16" s="1" t="s">
        <v>94</v>
      </c>
    </row>
    <row r="17" spans="1:14" x14ac:dyDescent="0.2">
      <c r="A17" s="3" t="s">
        <v>114</v>
      </c>
      <c r="B17" s="9">
        <f>(Inputs!B20+Inputs!B12*Inputs!B13)/(Inputs!B4-Inputs!C4*Inputs!B16)</f>
        <v>134.11918465830547</v>
      </c>
    </row>
    <row r="18" spans="1:14" x14ac:dyDescent="0.2">
      <c r="A18" s="3" t="s">
        <v>9</v>
      </c>
      <c r="B18" s="21">
        <f>B12-B17</f>
        <v>320.4175964403185</v>
      </c>
    </row>
    <row r="20" spans="1:14" s="79" customFormat="1" x14ac:dyDescent="0.2">
      <c r="A20" s="77"/>
      <c r="B20" s="78" t="s">
        <v>8</v>
      </c>
      <c r="C20" s="78">
        <v>1</v>
      </c>
      <c r="D20" s="78">
        <v>2</v>
      </c>
      <c r="E20" s="78">
        <v>3</v>
      </c>
      <c r="F20" s="78">
        <v>4</v>
      </c>
      <c r="G20" s="78">
        <v>5</v>
      </c>
      <c r="H20" s="78">
        <v>6</v>
      </c>
      <c r="I20" s="78">
        <v>7</v>
      </c>
      <c r="J20" s="78">
        <v>8</v>
      </c>
      <c r="K20" s="78">
        <v>9</v>
      </c>
      <c r="L20" s="78">
        <v>10</v>
      </c>
      <c r="M20" s="79" t="s">
        <v>131</v>
      </c>
    </row>
    <row r="21" spans="1:14" x14ac:dyDescent="0.2">
      <c r="A21" s="3" t="s">
        <v>69</v>
      </c>
      <c r="B21" s="13">
        <f>Inputs!B4</f>
        <v>238.39</v>
      </c>
      <c r="C21" s="13">
        <f>B21*Inputs!$B$16+C22</f>
        <v>257.46120000000002</v>
      </c>
      <c r="D21" s="13">
        <f>C21*Inputs!$B$16+D22</f>
        <v>278.05809600000003</v>
      </c>
      <c r="E21" s="13">
        <f>D21*Inputs!$B$16+E22</f>
        <v>300.30274368000005</v>
      </c>
      <c r="F21" s="13">
        <f>E21*Inputs!$B$16+F22</f>
        <v>324.32696317440008</v>
      </c>
      <c r="G21" s="13">
        <f>F21*Inputs!$B$16+G22</f>
        <v>350.27312022835213</v>
      </c>
      <c r="H21" s="13">
        <f>G21*Inputs!$B$16+H22</f>
        <v>378.29496984662035</v>
      </c>
      <c r="I21" s="13">
        <f>H21*Inputs!$B$16+I22</f>
        <v>408.55856743435004</v>
      </c>
      <c r="J21" s="13">
        <f>I21*Inputs!$B$16+J22</f>
        <v>441.24325282909808</v>
      </c>
      <c r="K21" s="13">
        <f>J21*Inputs!$B$16+K22</f>
        <v>476.54271305542596</v>
      </c>
      <c r="L21" s="13">
        <f>K21*Inputs!$B$16+L22</f>
        <v>514.66613009986008</v>
      </c>
      <c r="N21" s="2"/>
    </row>
    <row r="22" spans="1:14" x14ac:dyDescent="0.2">
      <c r="A22" s="3" t="s">
        <v>70</v>
      </c>
      <c r="B22" s="13">
        <v>0</v>
      </c>
      <c r="C22" s="13">
        <f>(B21)*(1+Inputs!$B$21)-(B21)+B21*(1-Inputs!$B$16)</f>
        <v>42.910200000000032</v>
      </c>
      <c r="D22" s="13">
        <f>(C21)*(1+Inputs!$B$21)-(C21)+C21*(1-Inputs!$B$16)</f>
        <v>46.343016000000013</v>
      </c>
      <c r="E22" s="13">
        <f>(D21)*(1+Inputs!$B$21)-(D21)+D21*(1-Inputs!$B$16)</f>
        <v>50.05045728000001</v>
      </c>
      <c r="F22" s="13">
        <f>(E21)*(1+Inputs!$B$21)-(E21)+E21*(1-Inputs!$B$16)</f>
        <v>54.054493862400022</v>
      </c>
      <c r="G22" s="13">
        <f>(F21)*(1+Inputs!$B$21)-(F21)+F21*(1-Inputs!$B$16)</f>
        <v>58.378853371392047</v>
      </c>
      <c r="H22" s="13">
        <f>(G21)*(1+Inputs!$B$22)-(G21)+G21*(1-Inputs!$B$16)</f>
        <v>63.049161641103424</v>
      </c>
      <c r="I22" s="13">
        <f>(H21)*(1+Inputs!$B$22)-(H21)+H21*(1-Inputs!$B$16)</f>
        <v>68.093094572391664</v>
      </c>
      <c r="J22" s="13">
        <f>(I21)*(1+Inputs!$B$22)-(I21)+I21*(1-Inputs!$B$16)</f>
        <v>73.540542138183042</v>
      </c>
      <c r="K22" s="13">
        <f>(J21)*(1+Inputs!$B$22)-(J21)+J21*(1-Inputs!$B$16)</f>
        <v>79.423785509237689</v>
      </c>
      <c r="L22" s="13">
        <f>(K21)*(1+Inputs!$B$22)-(K21)+K21*(1-Inputs!$B$16)</f>
        <v>85.7776883499767</v>
      </c>
      <c r="M22" s="84">
        <f>(K21)-(K21)+K21*(1-Inputs!$B$16)</f>
        <v>47.654271305542586</v>
      </c>
    </row>
    <row r="23" spans="1:14" x14ac:dyDescent="0.2">
      <c r="A23" s="3" t="s">
        <v>71</v>
      </c>
      <c r="B23" s="14">
        <f>B18</f>
        <v>320.4175964403185</v>
      </c>
      <c r="C23" s="14">
        <f>B23*(1+Inputs!$B$32)</f>
        <v>330.03012433352808</v>
      </c>
      <c r="D23" s="14">
        <f>C23*(1+Inputs!$B$32)</f>
        <v>339.93102806353392</v>
      </c>
      <c r="E23" s="14">
        <f>D23*(1+Inputs!$B$32)</f>
        <v>350.12895890543996</v>
      </c>
      <c r="F23" s="14">
        <f>E23*(1+Inputs!$B$32)</f>
        <v>360.63282767260318</v>
      </c>
      <c r="G23" s="14">
        <f>F23*(1+Inputs!$B$32)</f>
        <v>371.45181250278131</v>
      </c>
      <c r="H23" s="14">
        <f>G23*(1+Inputs!$B$32)</f>
        <v>382.59536687786476</v>
      </c>
      <c r="I23" s="14">
        <f>H23*(1+Inputs!$B$32)</f>
        <v>394.07322788420072</v>
      </c>
      <c r="J23" s="14">
        <f>I23*(1+Inputs!$B$32)</f>
        <v>405.89542472072674</v>
      </c>
      <c r="K23" s="14">
        <f>J23*(1+Inputs!$B$32)</f>
        <v>418.07228746234853</v>
      </c>
      <c r="L23" s="14">
        <f>K23*(1+Inputs!$B$32)</f>
        <v>430.61445608621898</v>
      </c>
    </row>
    <row r="24" spans="1:14" x14ac:dyDescent="0.2">
      <c r="A24" s="3" t="s">
        <v>72</v>
      </c>
      <c r="B24" s="12"/>
      <c r="C24" s="15">
        <f t="shared" ref="C24:L24" si="5">C22*C23</f>
        <v>14161.658641176567</v>
      </c>
      <c r="D24" s="15">
        <f t="shared" si="5"/>
        <v>15753.429072444806</v>
      </c>
      <c r="E24" s="15">
        <f t="shared" si="5"/>
        <v>17524.114500187603</v>
      </c>
      <c r="F24" s="15">
        <f t="shared" si="5"/>
        <v>19493.824970008693</v>
      </c>
      <c r="G24" s="15">
        <f t="shared" si="5"/>
        <v>21684.930896637681</v>
      </c>
      <c r="H24" s="15">
        <f t="shared" si="5"/>
        <v>24122.317129419764</v>
      </c>
      <c r="I24" s="15">
        <f t="shared" si="5"/>
        <v>26833.665574766532</v>
      </c>
      <c r="J24" s="15">
        <f t="shared" si="5"/>
        <v>29849.769585370308</v>
      </c>
      <c r="K24" s="15">
        <f t="shared" si="5"/>
        <v>33204.883686765934</v>
      </c>
      <c r="L24" s="15">
        <f t="shared" si="5"/>
        <v>36937.112613158417</v>
      </c>
    </row>
    <row r="25" spans="1:14" x14ac:dyDescent="0.2">
      <c r="A25" s="3" t="s">
        <v>73</v>
      </c>
      <c r="B25" s="12"/>
      <c r="C25" s="15"/>
      <c r="D25" s="15"/>
      <c r="E25" s="15"/>
      <c r="F25" s="15"/>
      <c r="G25" s="15"/>
      <c r="H25" s="15"/>
      <c r="I25" s="15"/>
      <c r="J25" s="15"/>
      <c r="K25" s="15"/>
      <c r="L25" s="15">
        <f>(M22*Valuation!L23*(1+Inputs!B32))/(Inputs!B36-Inputs!B32)</f>
        <v>264202.95827467472</v>
      </c>
    </row>
    <row r="26" spans="1:14" ht="17" thickBot="1" x14ac:dyDescent="0.25">
      <c r="A26" s="3" t="s">
        <v>11</v>
      </c>
      <c r="B26" s="36"/>
      <c r="C26" s="17">
        <f>C24/(1+Inputs!$B$36)^Valuation!C20</f>
        <v>12758.251028086997</v>
      </c>
      <c r="D26" s="17">
        <f>D24/(1+Inputs!$B$36)^Valuation!D20</f>
        <v>12785.836435715286</v>
      </c>
      <c r="E26" s="17">
        <f>E24/(1+Inputs!$B$36)^Valuation!E20</f>
        <v>12813.481487468183</v>
      </c>
      <c r="F26" s="17">
        <f>F24/(1+Inputs!$B$36)^Valuation!F20</f>
        <v>12841.186312305954</v>
      </c>
      <c r="G26" s="17">
        <f>G24/(1+Inputs!$B$36)^Valuation!G20</f>
        <v>12868.951039467702</v>
      </c>
      <c r="H26" s="17">
        <f>H24/(1+Inputs!$B$36)^Valuation!H20</f>
        <v>12896.775798471959</v>
      </c>
      <c r="I26" s="17">
        <f>I24/(1+Inputs!$B$36)^Valuation!I20</f>
        <v>12924.660719117299</v>
      </c>
      <c r="J26" s="17">
        <f>J24/(1+Inputs!$B$36)^Valuation!J20</f>
        <v>12952.605931482962</v>
      </c>
      <c r="K26" s="17">
        <f>K24/(1+Inputs!$B$36)^Valuation!K20</f>
        <v>12980.611565929412</v>
      </c>
      <c r="L26" s="17">
        <f>(L25+L24)/(1+Inputs!B36)^Valuation!L20</f>
        <v>106056.85890373754</v>
      </c>
    </row>
    <row r="27" spans="1:14" ht="17" thickBot="1" x14ac:dyDescent="0.25">
      <c r="A27" s="35" t="s">
        <v>30</v>
      </c>
      <c r="B27" s="40">
        <f>SUM(C26:L26)</f>
        <v>221879.21922178328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</row>
    <row r="29" spans="1:14" x14ac:dyDescent="0.2">
      <c r="A29" s="1" t="s">
        <v>31</v>
      </c>
    </row>
    <row r="30" spans="1:14" s="8" customFormat="1" x14ac:dyDescent="0.2">
      <c r="B30" s="8" t="str">
        <f>B20</f>
        <v>Base Year</v>
      </c>
      <c r="C30" s="8">
        <f t="shared" ref="C30:L30" si="6">C20</f>
        <v>1</v>
      </c>
      <c r="D30" s="8">
        <f t="shared" si="6"/>
        <v>2</v>
      </c>
      <c r="E30" s="8">
        <f t="shared" si="6"/>
        <v>3</v>
      </c>
      <c r="F30" s="8">
        <f t="shared" si="6"/>
        <v>4</v>
      </c>
      <c r="G30" s="8">
        <f t="shared" si="6"/>
        <v>5</v>
      </c>
      <c r="H30" s="8">
        <f t="shared" si="6"/>
        <v>6</v>
      </c>
      <c r="I30" s="8">
        <f t="shared" si="6"/>
        <v>7</v>
      </c>
      <c r="J30" s="8">
        <f t="shared" si="6"/>
        <v>8</v>
      </c>
      <c r="K30" s="8">
        <f t="shared" si="6"/>
        <v>9</v>
      </c>
      <c r="L30" s="8">
        <f t="shared" si="6"/>
        <v>10</v>
      </c>
    </row>
    <row r="31" spans="1:14" x14ac:dyDescent="0.2">
      <c r="A31" t="s">
        <v>115</v>
      </c>
      <c r="B31" s="20">
        <f>Inputs!B10</f>
        <v>2711</v>
      </c>
      <c r="C31" s="21">
        <f>B31*(1+Inputs!$B$26)</f>
        <v>2819.44</v>
      </c>
      <c r="D31" s="21">
        <f>C31*(1+Inputs!$B$26)</f>
        <v>2932.2175999999999</v>
      </c>
      <c r="E31" s="21">
        <f>D31*(1+Inputs!$B$26)</f>
        <v>3049.506304</v>
      </c>
      <c r="F31" s="21">
        <f>E31*(1+Inputs!$B$26)</f>
        <v>3171.48655616</v>
      </c>
      <c r="G31" s="21">
        <f>F31*(1+Inputs!$B$26)</f>
        <v>3298.3460184064002</v>
      </c>
      <c r="H31" s="21">
        <f>G31*(1+Inputs!$B$26)</f>
        <v>3430.2798591426563</v>
      </c>
      <c r="I31" s="21">
        <f>H31*(1+Inputs!$B$26)</f>
        <v>3567.4910535083627</v>
      </c>
      <c r="J31" s="21">
        <f>I31*(1+Inputs!$B$26)</f>
        <v>3710.1906956486973</v>
      </c>
      <c r="K31" s="21">
        <f>J31*(1+Inputs!$B$26)</f>
        <v>3858.5983234746454</v>
      </c>
      <c r="L31" s="21">
        <f>K31*(1+Inputs!$B$26)</f>
        <v>4012.9422564136312</v>
      </c>
    </row>
    <row r="32" spans="1:14" x14ac:dyDescent="0.2">
      <c r="A32" t="s">
        <v>103</v>
      </c>
      <c r="B32" s="20">
        <f>Inputs!B12*(1-Inputs!B13)</f>
        <v>11220.800000000001</v>
      </c>
      <c r="C32" s="21">
        <f>B32*(1+Inputs!$B$28)</f>
        <v>11557.424000000001</v>
      </c>
      <c r="D32" s="21">
        <f>C32*(1+Inputs!$B$28)</f>
        <v>11904.146720000001</v>
      </c>
      <c r="E32" s="21">
        <f>D32*(1+Inputs!$B$28)</f>
        <v>12261.271121600001</v>
      </c>
      <c r="F32" s="21">
        <f>E32*(1+Inputs!$B$28)</f>
        <v>12629.109255248</v>
      </c>
      <c r="G32" s="21">
        <f>F32*(1+Inputs!$B$28)</f>
        <v>13007.98253290544</v>
      </c>
      <c r="H32" s="21">
        <f>G32*(1+Inputs!$B$28)</f>
        <v>13398.222008892604</v>
      </c>
      <c r="I32" s="21">
        <f>H32*(1+Inputs!$B$28)</f>
        <v>13800.168669159382</v>
      </c>
      <c r="J32" s="21">
        <f>I32*(1+Inputs!$B$28)</f>
        <v>14214.173729234164</v>
      </c>
      <c r="K32" s="21">
        <f>J32*(1+Inputs!$B$28)</f>
        <v>14640.59894111119</v>
      </c>
      <c r="L32" s="21">
        <f>K32*(1+Inputs!$B$28)</f>
        <v>15079.816909344525</v>
      </c>
      <c r="N32" s="43"/>
    </row>
    <row r="33" spans="1:14" x14ac:dyDescent="0.2">
      <c r="A33" t="s">
        <v>133</v>
      </c>
      <c r="B33" s="20">
        <f>Inputs!B11</f>
        <v>1572.9</v>
      </c>
      <c r="C33" s="21">
        <f>B33*(1+Inputs!$B$29)</f>
        <v>1620.0870000000002</v>
      </c>
      <c r="D33" s="21">
        <f>C33*(1+Inputs!$B$29)</f>
        <v>1668.6896100000004</v>
      </c>
      <c r="E33" s="21">
        <f>D33*(1+Inputs!$B$29)</f>
        <v>1718.7502983000004</v>
      </c>
      <c r="F33" s="21">
        <f>E33*(1+Inputs!$B$29)</f>
        <v>1770.3128072490003</v>
      </c>
      <c r="G33" s="21">
        <f>F33*(1+Inputs!$B$29)</f>
        <v>1823.4221914664704</v>
      </c>
      <c r="H33" s="21">
        <f>G33*(1+Inputs!$B$29)</f>
        <v>1878.1248572104646</v>
      </c>
      <c r="I33" s="21">
        <f>H33*(1+Inputs!$B$29)</f>
        <v>1934.4686029267787</v>
      </c>
      <c r="J33" s="21">
        <f>I33*(1+Inputs!$B$29)</f>
        <v>1992.5026610145821</v>
      </c>
      <c r="K33" s="21">
        <f>J33*(1+Inputs!$B$29)</f>
        <v>2052.2777408450197</v>
      </c>
      <c r="L33" s="21">
        <f>K33*(1+Inputs!$B$29)</f>
        <v>2113.8460730703705</v>
      </c>
      <c r="N33" s="43"/>
    </row>
    <row r="34" spans="1:14" x14ac:dyDescent="0.2">
      <c r="A34" t="s">
        <v>32</v>
      </c>
      <c r="B34" s="16"/>
      <c r="C34" s="9">
        <f>(C31+C32+C33)*(1-C8)</f>
        <v>12717.576045</v>
      </c>
      <c r="D34" s="9">
        <f t="shared" ref="D34:L34" si="7">(D31+D32+D33)*(1-D8)</f>
        <v>13038.992604700003</v>
      </c>
      <c r="E34" s="9">
        <f t="shared" si="7"/>
        <v>13368.1792632615</v>
      </c>
      <c r="F34" s="9">
        <f t="shared" si="7"/>
        <v>13705.308722552461</v>
      </c>
      <c r="G34" s="9">
        <f t="shared" si="7"/>
        <v>14050.556825653191</v>
      </c>
      <c r="H34" s="9">
        <f t="shared" si="7"/>
        <v>14404.102578439206</v>
      </c>
      <c r="I34" s="9">
        <f t="shared" si="7"/>
        <v>14766.12816907981</v>
      </c>
      <c r="J34" s="9">
        <f t="shared" si="7"/>
        <v>15136.818985282058</v>
      </c>
      <c r="K34" s="9">
        <f t="shared" si="7"/>
        <v>15516.363629100291</v>
      </c>
      <c r="L34" s="9">
        <f t="shared" si="7"/>
        <v>15904.953929121395</v>
      </c>
    </row>
    <row r="35" spans="1:14" x14ac:dyDescent="0.2">
      <c r="A35" t="s">
        <v>33</v>
      </c>
      <c r="B35" s="16"/>
      <c r="C35" s="9"/>
      <c r="D35" s="9"/>
      <c r="E35" s="9"/>
      <c r="F35" s="9"/>
      <c r="G35" s="9"/>
      <c r="H35" s="9"/>
      <c r="I35" s="9"/>
      <c r="J35" s="9"/>
      <c r="K35" s="9"/>
      <c r="L35" s="9">
        <f>L34*(1+Inputs!B31)/(Inputs!B34-Inputs!B31)</f>
        <v>300748.21975065913</v>
      </c>
    </row>
    <row r="36" spans="1:14" ht="17" thickBot="1" x14ac:dyDescent="0.25">
      <c r="A36" t="s">
        <v>34</v>
      </c>
      <c r="B36" s="18"/>
      <c r="C36" s="21">
        <f>C34/(1+Inputs!$B$34)^Valuation!C20</f>
        <v>11614.224698630138</v>
      </c>
      <c r="D36" s="21">
        <f>D34/(1+Inputs!$B$34)^Valuation!D20</f>
        <v>10874.66283413607</v>
      </c>
      <c r="E36" s="21">
        <f>E34/(1+Inputs!$B$34)^Valuation!E20</f>
        <v>10181.925221595286</v>
      </c>
      <c r="F36" s="21">
        <f>F34/(1+Inputs!$B$34)^Valuation!F20</f>
        <v>9533.0604316645713</v>
      </c>
      <c r="G36" s="21">
        <f>G34/(1+Inputs!$B$34)^Valuation!G20</f>
        <v>8925.3024082697975</v>
      </c>
      <c r="H36" s="21">
        <f>H34/(1+Inputs!$B$34)^Valuation!H20</f>
        <v>8356.0588597099322</v>
      </c>
      <c r="I36" s="21">
        <f>I34/(1+Inputs!$B$34)^Valuation!I20</f>
        <v>7822.9003749690737</v>
      </c>
      <c r="J36" s="21">
        <f>J34/(1+Inputs!$B$34)^Valuation!J20</f>
        <v>7323.5502200293249</v>
      </c>
      <c r="K36" s="21">
        <f>K34/(1+Inputs!$B$34)^Valuation!K20</f>
        <v>6855.8747717901397</v>
      </c>
      <c r="L36" s="21">
        <f>(L34+L35)/(1+Inputs!$B$34)^Valuation!L20</f>
        <v>127774.04785586068</v>
      </c>
    </row>
    <row r="37" spans="1:14" ht="17" thickBot="1" x14ac:dyDescent="0.25">
      <c r="A37" t="s">
        <v>37</v>
      </c>
      <c r="B37" s="44">
        <f>SUM(C36:L36)</f>
        <v>209261.60767665502</v>
      </c>
      <c r="C37" s="43"/>
      <c r="D37" s="43"/>
      <c r="E37" s="43"/>
      <c r="F37" s="43"/>
      <c r="G37" s="43"/>
      <c r="H37" s="43"/>
      <c r="I37" s="43"/>
      <c r="J37" s="43"/>
      <c r="K37" s="43"/>
      <c r="L37" s="43"/>
    </row>
    <row r="39" spans="1:14" x14ac:dyDescent="0.2">
      <c r="A39" s="92" t="s">
        <v>105</v>
      </c>
      <c r="B39" s="92"/>
    </row>
    <row r="40" spans="1:14" x14ac:dyDescent="0.2">
      <c r="A40" s="3" t="s">
        <v>93</v>
      </c>
      <c r="B40" s="21">
        <f>B21*B12</f>
        <v>108357.02324610096</v>
      </c>
    </row>
    <row r="41" spans="1:14" x14ac:dyDescent="0.2">
      <c r="A41" s="3" t="s">
        <v>94</v>
      </c>
      <c r="B41" s="21">
        <f>SUM(C26:L26)</f>
        <v>221879.21922178328</v>
      </c>
    </row>
    <row r="42" spans="1:14" x14ac:dyDescent="0.2">
      <c r="A42" s="3" t="s">
        <v>54</v>
      </c>
      <c r="B42" s="21">
        <f>SUM(C36:L36)</f>
        <v>209261.60767665502</v>
      </c>
    </row>
    <row r="43" spans="1:14" x14ac:dyDescent="0.2">
      <c r="A43" s="3" t="s">
        <v>130</v>
      </c>
      <c r="B43" s="21">
        <f>SUM(B40:B41)-B42</f>
        <v>120974.63479122918</v>
      </c>
    </row>
    <row r="44" spans="1:14" x14ac:dyDescent="0.2">
      <c r="A44" s="3" t="s">
        <v>61</v>
      </c>
      <c r="B44" s="21">
        <f>Inputs!B38+Inputs!B39</f>
        <v>8577</v>
      </c>
    </row>
    <row r="45" spans="1:14" x14ac:dyDescent="0.2">
      <c r="A45" s="3" t="s">
        <v>42</v>
      </c>
      <c r="B45" s="21">
        <f>Inputs!B40</f>
        <v>16998</v>
      </c>
    </row>
    <row r="46" spans="1:14" x14ac:dyDescent="0.2">
      <c r="A46" s="66" t="s">
        <v>62</v>
      </c>
      <c r="B46" s="81">
        <f>B40+B41-B42+B44-B45</f>
        <v>112553.63479122918</v>
      </c>
    </row>
    <row r="47" spans="1:14" x14ac:dyDescent="0.2">
      <c r="A47" s="3" t="s">
        <v>96</v>
      </c>
      <c r="B47" s="9">
        <f>Inputs!B41</f>
        <v>0</v>
      </c>
    </row>
    <row r="48" spans="1:14" x14ac:dyDescent="0.2">
      <c r="A48" s="66" t="s">
        <v>97</v>
      </c>
      <c r="B48" s="81">
        <f>B46-B47</f>
        <v>112553.63479122918</v>
      </c>
    </row>
    <row r="49" spans="1:2" x14ac:dyDescent="0.2">
      <c r="A49" s="3" t="s">
        <v>108</v>
      </c>
      <c r="B49" s="16">
        <f>Inputs!B42</f>
        <v>443.1</v>
      </c>
    </row>
    <row r="50" spans="1:2" x14ac:dyDescent="0.2">
      <c r="A50" s="66" t="s">
        <v>109</v>
      </c>
      <c r="B50" s="9">
        <f>B48/B49</f>
        <v>254.01407084457048</v>
      </c>
    </row>
    <row r="57" spans="1:2" x14ac:dyDescent="0.2">
      <c r="B57" s="43"/>
    </row>
  </sheetData>
  <mergeCells count="1">
    <mergeCell ref="A39:B39"/>
  </mergeCells>
  <pageMargins left="0.7" right="0.7" top="0.75" bottom="0.75" header="0.3" footer="0.3"/>
  <pageSetup orientation="portrait" horizontalDpi="0" verticalDpi="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7"/>
  <sheetViews>
    <sheetView workbookViewId="0">
      <selection activeCell="B6" sqref="B6"/>
    </sheetView>
  </sheetViews>
  <sheetFormatPr baseColWidth="10" defaultRowHeight="16" x14ac:dyDescent="0.2"/>
  <cols>
    <col min="2" max="2" width="39.6640625" customWidth="1"/>
  </cols>
  <sheetData>
    <row r="1" spans="1:2" x14ac:dyDescent="0.2">
      <c r="A1" s="1" t="s">
        <v>12</v>
      </c>
      <c r="B1" s="1" t="s">
        <v>16</v>
      </c>
    </row>
    <row r="2" spans="1:2" x14ac:dyDescent="0.2">
      <c r="A2" t="s">
        <v>13</v>
      </c>
      <c r="B2" t="s">
        <v>17</v>
      </c>
    </row>
    <row r="3" spans="1:2" x14ac:dyDescent="0.2">
      <c r="A3" t="s">
        <v>14</v>
      </c>
      <c r="B3" t="s">
        <v>143</v>
      </c>
    </row>
    <row r="4" spans="1:2" x14ac:dyDescent="0.2">
      <c r="B4" t="s">
        <v>135</v>
      </c>
    </row>
    <row r="5" spans="1:2" x14ac:dyDescent="0.2">
      <c r="B5" t="s">
        <v>136</v>
      </c>
    </row>
    <row r="6" spans="1:2" x14ac:dyDescent="0.2">
      <c r="B6" t="s">
        <v>137</v>
      </c>
    </row>
    <row r="7" spans="1:2" x14ac:dyDescent="0.2">
      <c r="B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Inputs</vt:lpstr>
      <vt:lpstr>Valuation</vt:lpstr>
      <vt:lpstr>Input choices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2017-06-26T12:13:33Z</dcterms:created>
  <dcterms:modified xsi:type="dcterms:W3CDTF">2023-09-12T17:53:57Z</dcterms:modified>
</cp:coreProperties>
</file>