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9"/>
  <workbookPr/>
  <mc:AlternateContent xmlns:mc="http://schemas.openxmlformats.org/markup-compatibility/2006">
    <mc:Choice Requires="x15">
      <x15ac:absPath xmlns:x15ac="http://schemas.microsoft.com/office/spreadsheetml/2010/11/ac" url="/All My Stuff/Home Page 2002/pc/blog/"/>
    </mc:Choice>
  </mc:AlternateContent>
  <xr:revisionPtr revIDLastSave="0" documentId="13_ncr:1_{48BC6B5F-76C6-264D-9B15-8FAC8D98C724}" xr6:coauthVersionLast="31" xr6:coauthVersionMax="31" xr10:uidLastSave="{00000000-0000-0000-0000-000000000000}"/>
  <bookViews>
    <workbookView xWindow="3140" yWindow="460" windowWidth="20820" windowHeight="19720" tabRatio="500" activeTab="1" xr2:uid="{00000000-000D-0000-FFFF-FFFF00000000}"/>
  </bookViews>
  <sheets>
    <sheet name="Inputs" sheetId="1" r:id="rId1"/>
    <sheet name="Valuation" sheetId="5" r:id="rId2"/>
    <sheet name="Input choices" sheetId="3" r:id="rId3"/>
  </sheets>
  <calcPr calcId="179017" iterate="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2" i="5" l="1"/>
  <c r="C21" i="5"/>
  <c r="D22" i="5"/>
  <c r="D21" i="5"/>
  <c r="E22" i="5"/>
  <c r="E21" i="5"/>
  <c r="F22" i="5"/>
  <c r="F21" i="5"/>
  <c r="G22" i="5"/>
  <c r="G21" i="5"/>
  <c r="H22" i="5"/>
  <c r="H21" i="5"/>
  <c r="I22" i="5"/>
  <c r="I21" i="5"/>
  <c r="J22" i="5"/>
  <c r="J21" i="5"/>
  <c r="K22" i="5"/>
  <c r="K21" i="5"/>
  <c r="L22" i="5"/>
  <c r="B39" i="1"/>
  <c r="B57" i="5"/>
  <c r="B21" i="5"/>
  <c r="C3" i="5"/>
  <c r="B4" i="5"/>
  <c r="C4" i="5"/>
  <c r="B5" i="1"/>
  <c r="B5" i="5"/>
  <c r="C5" i="5"/>
  <c r="B6" i="5"/>
  <c r="C6" i="5"/>
  <c r="C7" i="5"/>
  <c r="B8" i="5"/>
  <c r="L8" i="5"/>
  <c r="C8" i="5"/>
  <c r="C9" i="5"/>
  <c r="B32" i="1"/>
  <c r="C10" i="5"/>
  <c r="D3" i="5"/>
  <c r="D4" i="5"/>
  <c r="D5" i="5"/>
  <c r="D6" i="5"/>
  <c r="D7" i="5"/>
  <c r="D8" i="5"/>
  <c r="D9" i="5"/>
  <c r="D10" i="5"/>
  <c r="E3" i="5"/>
  <c r="E4" i="5"/>
  <c r="E5" i="5"/>
  <c r="E6" i="5"/>
  <c r="E7" i="5"/>
  <c r="E8" i="5"/>
  <c r="E9" i="5"/>
  <c r="E10" i="5"/>
  <c r="F3" i="5"/>
  <c r="F4" i="5"/>
  <c r="F5" i="5"/>
  <c r="F6" i="5"/>
  <c r="F7" i="5"/>
  <c r="F8" i="5"/>
  <c r="F9" i="5"/>
  <c r="F10" i="5"/>
  <c r="G3" i="5"/>
  <c r="G4" i="5"/>
  <c r="G5" i="5"/>
  <c r="G6" i="5"/>
  <c r="G7" i="5"/>
  <c r="G8" i="5"/>
  <c r="G9" i="5"/>
  <c r="G10" i="5"/>
  <c r="H3" i="5"/>
  <c r="H4" i="5"/>
  <c r="H5" i="5"/>
  <c r="H6" i="5"/>
  <c r="H7" i="5"/>
  <c r="H8" i="5"/>
  <c r="H9" i="5"/>
  <c r="H10" i="5"/>
  <c r="I3" i="5"/>
  <c r="I4" i="5"/>
  <c r="I5" i="5"/>
  <c r="I6" i="5"/>
  <c r="I7" i="5"/>
  <c r="I8" i="5"/>
  <c r="I9" i="5"/>
  <c r="I10" i="5"/>
  <c r="J3" i="5"/>
  <c r="J4" i="5"/>
  <c r="J5" i="5"/>
  <c r="J6" i="5"/>
  <c r="J7" i="5"/>
  <c r="J8" i="5"/>
  <c r="J9" i="5"/>
  <c r="J10" i="5"/>
  <c r="K3" i="5"/>
  <c r="K4" i="5"/>
  <c r="K5" i="5"/>
  <c r="K6" i="5"/>
  <c r="K7" i="5"/>
  <c r="K8" i="5"/>
  <c r="K9" i="5"/>
  <c r="K10" i="5"/>
  <c r="L3" i="5"/>
  <c r="L4" i="5"/>
  <c r="L5" i="5"/>
  <c r="L6" i="5"/>
  <c r="L7" i="5"/>
  <c r="L9" i="5"/>
  <c r="L10" i="5"/>
  <c r="M3" i="5"/>
  <c r="M4" i="5"/>
  <c r="M5" i="5"/>
  <c r="M6" i="5"/>
  <c r="M7" i="5"/>
  <c r="M8" i="5"/>
  <c r="M9" i="5"/>
  <c r="M10" i="5"/>
  <c r="N3" i="5"/>
  <c r="N4" i="5"/>
  <c r="N5" i="5"/>
  <c r="N6" i="5"/>
  <c r="N7" i="5"/>
  <c r="N8" i="5"/>
  <c r="N9" i="5"/>
  <c r="N10" i="5"/>
  <c r="O3" i="5"/>
  <c r="O4" i="5"/>
  <c r="O5" i="5"/>
  <c r="O6" i="5"/>
  <c r="O7" i="5"/>
  <c r="O8" i="5"/>
  <c r="O9" i="5"/>
  <c r="O10" i="5"/>
  <c r="P3" i="5"/>
  <c r="P4" i="5"/>
  <c r="P5" i="5"/>
  <c r="P6" i="5"/>
  <c r="P7" i="5"/>
  <c r="P8" i="5"/>
  <c r="P9" i="5"/>
  <c r="P10" i="5"/>
  <c r="Q3" i="5"/>
  <c r="Q4" i="5"/>
  <c r="Q5" i="5"/>
  <c r="Q6" i="5"/>
  <c r="Q7" i="5"/>
  <c r="Q8" i="5"/>
  <c r="Q9" i="5"/>
  <c r="Q10" i="5"/>
  <c r="R3" i="5"/>
  <c r="R4" i="5"/>
  <c r="R5" i="5"/>
  <c r="R6" i="5"/>
  <c r="R7" i="5"/>
  <c r="R8" i="5"/>
  <c r="R9" i="5"/>
  <c r="R10" i="5"/>
  <c r="S3" i="5"/>
  <c r="S4" i="5"/>
  <c r="S5" i="5"/>
  <c r="S6" i="5"/>
  <c r="S7" i="5"/>
  <c r="S8" i="5"/>
  <c r="S9" i="5"/>
  <c r="S10" i="5"/>
  <c r="T3" i="5"/>
  <c r="T4" i="5"/>
  <c r="T5" i="5"/>
  <c r="T6" i="5"/>
  <c r="T7" i="5"/>
  <c r="T8" i="5"/>
  <c r="T9" i="5"/>
  <c r="T10" i="5"/>
  <c r="U3" i="5"/>
  <c r="U4" i="5"/>
  <c r="U5" i="5"/>
  <c r="U6" i="5"/>
  <c r="U7" i="5"/>
  <c r="U8" i="5"/>
  <c r="U9" i="5"/>
  <c r="U10" i="5"/>
  <c r="V3" i="5"/>
  <c r="V4" i="5"/>
  <c r="V5" i="5"/>
  <c r="V6" i="5"/>
  <c r="V7" i="5"/>
  <c r="V8" i="5"/>
  <c r="V9" i="5"/>
  <c r="V10" i="5"/>
  <c r="B12" i="5"/>
  <c r="B49" i="5"/>
  <c r="B17" i="1"/>
  <c r="B17" i="5"/>
  <c r="B18" i="5"/>
  <c r="B23" i="5"/>
  <c r="C23" i="5"/>
  <c r="C24" i="5"/>
  <c r="B34" i="1"/>
  <c r="C26" i="5"/>
  <c r="D23" i="5"/>
  <c r="D24" i="5"/>
  <c r="D26" i="5"/>
  <c r="E23" i="5"/>
  <c r="E24" i="5"/>
  <c r="E26" i="5"/>
  <c r="F23" i="5"/>
  <c r="F24" i="5"/>
  <c r="F26" i="5"/>
  <c r="G23" i="5"/>
  <c r="G24" i="5"/>
  <c r="G26" i="5"/>
  <c r="H23" i="5"/>
  <c r="H24" i="5"/>
  <c r="H26" i="5"/>
  <c r="I23" i="5"/>
  <c r="I24" i="5"/>
  <c r="I26" i="5"/>
  <c r="J23" i="5"/>
  <c r="J24" i="5"/>
  <c r="J26" i="5"/>
  <c r="K23" i="5"/>
  <c r="K24" i="5"/>
  <c r="K26" i="5"/>
  <c r="L21" i="5"/>
  <c r="L23" i="5"/>
  <c r="L25" i="5"/>
  <c r="L24" i="5"/>
  <c r="L26" i="5"/>
  <c r="B50" i="5"/>
  <c r="B25" i="1"/>
  <c r="B31" i="5"/>
  <c r="C31" i="5"/>
  <c r="C32" i="5"/>
  <c r="C33" i="5"/>
  <c r="C34" i="5"/>
  <c r="C36" i="5"/>
  <c r="D31" i="5"/>
  <c r="D32" i="5"/>
  <c r="D33" i="5"/>
  <c r="D34" i="5"/>
  <c r="D36" i="5"/>
  <c r="E31" i="5"/>
  <c r="E32" i="5"/>
  <c r="E33" i="5"/>
  <c r="E34" i="5"/>
  <c r="E36" i="5"/>
  <c r="F31" i="5"/>
  <c r="F32" i="5"/>
  <c r="F33" i="5"/>
  <c r="F34" i="5"/>
  <c r="F36" i="5"/>
  <c r="G31" i="5"/>
  <c r="G32" i="5"/>
  <c r="G33" i="5"/>
  <c r="G34" i="5"/>
  <c r="G36" i="5"/>
  <c r="H31" i="5"/>
  <c r="H32" i="5"/>
  <c r="H33" i="5"/>
  <c r="H34" i="5"/>
  <c r="H36" i="5"/>
  <c r="I31" i="5"/>
  <c r="I32" i="5"/>
  <c r="I33" i="5"/>
  <c r="I34" i="5"/>
  <c r="I36" i="5"/>
  <c r="J31" i="5"/>
  <c r="J32" i="5"/>
  <c r="J33" i="5"/>
  <c r="J34" i="5"/>
  <c r="J36" i="5"/>
  <c r="K31" i="5"/>
  <c r="K32" i="5"/>
  <c r="K33" i="5"/>
  <c r="K34" i="5"/>
  <c r="K36" i="5"/>
  <c r="L31" i="5"/>
  <c r="L32" i="5"/>
  <c r="L33" i="5"/>
  <c r="L34" i="5"/>
  <c r="L35" i="5"/>
  <c r="L36" i="5"/>
  <c r="B37" i="5"/>
  <c r="B51" i="5"/>
  <c r="B10" i="1"/>
  <c r="B41" i="5"/>
  <c r="B42" i="5"/>
  <c r="B23" i="1"/>
  <c r="C42" i="5"/>
  <c r="C43" i="5"/>
  <c r="C45" i="5"/>
  <c r="D42" i="5"/>
  <c r="D43" i="5"/>
  <c r="D45" i="5"/>
  <c r="E42" i="5"/>
  <c r="E43" i="5"/>
  <c r="E45" i="5"/>
  <c r="F42" i="5"/>
  <c r="F43" i="5"/>
  <c r="F45" i="5"/>
  <c r="G42" i="5"/>
  <c r="G43" i="5"/>
  <c r="G45" i="5"/>
  <c r="H42" i="5"/>
  <c r="H43" i="5"/>
  <c r="H45" i="5"/>
  <c r="I42" i="5"/>
  <c r="I43" i="5"/>
  <c r="I45" i="5"/>
  <c r="J42" i="5"/>
  <c r="J43" i="5"/>
  <c r="J45" i="5"/>
  <c r="K42" i="5"/>
  <c r="K43" i="5"/>
  <c r="K45" i="5"/>
  <c r="L42" i="5"/>
  <c r="L43" i="5"/>
  <c r="L44" i="5"/>
  <c r="L45" i="5"/>
  <c r="B52" i="5"/>
  <c r="B36" i="1"/>
  <c r="B37" i="1"/>
  <c r="B54" i="5"/>
  <c r="B55" i="5"/>
  <c r="B56" i="5"/>
  <c r="B58" i="5"/>
  <c r="M2" i="5"/>
  <c r="N2" i="5"/>
  <c r="O2" i="5"/>
  <c r="P2" i="5"/>
  <c r="Q2" i="5"/>
  <c r="R2" i="5"/>
  <c r="S2" i="5"/>
  <c r="T2" i="5"/>
  <c r="U2" i="5"/>
  <c r="V2" i="5"/>
  <c r="B7" i="5"/>
  <c r="B9" i="5"/>
  <c r="B11" i="5"/>
  <c r="B13" i="5"/>
  <c r="B14" i="5"/>
  <c r="B27" i="5"/>
  <c r="B30" i="5"/>
  <c r="C30" i="5"/>
  <c r="D30" i="5"/>
  <c r="E30" i="5"/>
  <c r="F30" i="5"/>
  <c r="G30" i="5"/>
  <c r="H30" i="5"/>
  <c r="I30" i="5"/>
  <c r="J30" i="5"/>
  <c r="K30" i="5"/>
  <c r="L30" i="5"/>
  <c r="B32" i="5"/>
  <c r="B33" i="5"/>
  <c r="B34" i="5"/>
  <c r="B40" i="5"/>
  <c r="C40" i="5"/>
  <c r="D40" i="5"/>
  <c r="E40" i="5"/>
  <c r="F40" i="5"/>
  <c r="G40" i="5"/>
  <c r="H40" i="5"/>
  <c r="I40" i="5"/>
  <c r="J40" i="5"/>
  <c r="K40" i="5"/>
  <c r="L40" i="5"/>
  <c r="B46" i="5"/>
  <c r="B53" i="5"/>
  <c r="G44" i="1"/>
  <c r="C5" i="1"/>
  <c r="G3" i="1"/>
  <c r="G5" i="1"/>
  <c r="G46" i="1"/>
  <c r="G42" i="1"/>
  <c r="G43" i="1"/>
  <c r="G45" i="1"/>
  <c r="F43" i="1"/>
  <c r="F42" i="1"/>
  <c r="G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12" authorId="0" shapeId="0" xr:uid="{00000000-0006-0000-0100-000001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>The expected life of a user who does not renew is set to 25% of the projected life (an approximation). With 15 years and a 95% renewal rate for instance, the actual expected life is 3.41 years.</t>
        </r>
      </text>
    </comment>
  </commentList>
</comments>
</file>

<file path=xl/sharedStrings.xml><?xml version="1.0" encoding="utf-8"?>
<sst xmlns="http://schemas.openxmlformats.org/spreadsheetml/2006/main" count="159" uniqueCount="145">
  <si>
    <t>Most Recent</t>
  </si>
  <si>
    <t>Prior year</t>
  </si>
  <si>
    <t>Operating Information</t>
  </si>
  <si>
    <t>Macroeconomic Data</t>
  </si>
  <si>
    <t>Risk free Rate</t>
  </si>
  <si>
    <t>Cost of capital (existing users)</t>
  </si>
  <si>
    <t>Cost of capital (new users)</t>
  </si>
  <si>
    <t>Existing User Data</t>
  </si>
  <si>
    <t>Base Year</t>
  </si>
  <si>
    <t>Value per new user (in today's $) =</t>
  </si>
  <si>
    <t>Inflation Rate</t>
  </si>
  <si>
    <t xml:space="preserve">Present Value </t>
  </si>
  <si>
    <t>Yes or No</t>
  </si>
  <si>
    <t>Yes</t>
  </si>
  <si>
    <t>No</t>
  </si>
  <si>
    <t>All dollar values in millions</t>
  </si>
  <si>
    <t>Cost of capital</t>
  </si>
  <si>
    <t>Lowest decile of US companies (7%)</t>
  </si>
  <si>
    <t>25th percentile of US companies (7.5%)</t>
  </si>
  <si>
    <t>Median of US companies (8%)</t>
  </si>
  <si>
    <t>75th percentile of US companies (10%)</t>
  </si>
  <si>
    <t>Ninth decile of US companies (12%)</t>
  </si>
  <si>
    <t>Direct input</t>
  </si>
  <si>
    <t>Cost of capital for existing users (input choice)</t>
  </si>
  <si>
    <t>Cost of capital for new users (input choice)</t>
  </si>
  <si>
    <t>G&amp;A Data</t>
  </si>
  <si>
    <t>Notes/Comments</t>
  </si>
  <si>
    <t>Number of users , with growth over last year</t>
  </si>
  <si>
    <t>Do not input</t>
  </si>
  <si>
    <t>Growth rate in corporate expenses for next 10 years</t>
  </si>
  <si>
    <t>Corporate Expense Growth</t>
  </si>
  <si>
    <t>A1. Grow at same rate as total users</t>
  </si>
  <si>
    <t>A2. Grow at inflation rate</t>
  </si>
  <si>
    <t>A3. Grow at risk free rate</t>
  </si>
  <si>
    <t>A4. Direct Input</t>
  </si>
  <si>
    <t>B6. Direct input</t>
  </si>
  <si>
    <t>Value Added by New Users</t>
  </si>
  <si>
    <t>Value Drag of Corporate Expenses (Cost)</t>
  </si>
  <si>
    <t>Corporate Expenses</t>
  </si>
  <si>
    <t>After-tax Corporate Expenses</t>
  </si>
  <si>
    <t>Terminal Value (Corporate Exp)</t>
  </si>
  <si>
    <t>PV of Corporate Expenses</t>
  </si>
  <si>
    <t>Input cell</t>
  </si>
  <si>
    <t>Computed Value</t>
  </si>
  <si>
    <t>Value Drag of Corporate Expenses</t>
  </si>
  <si>
    <t>Valuation Output Summary</t>
  </si>
  <si>
    <t>Value per user</t>
  </si>
  <si>
    <t>Aggregate Value</t>
  </si>
  <si>
    <t>Category</t>
  </si>
  <si>
    <t xml:space="preserve"> - Debt</t>
  </si>
  <si>
    <t>Membership Survival</t>
  </si>
  <si>
    <t>Tax rate</t>
  </si>
  <si>
    <t>Effective tax rate (current)</t>
  </si>
  <si>
    <t>Effective tax rate (steady state)</t>
  </si>
  <si>
    <t xml:space="preserve">Life Indicator </t>
  </si>
  <si>
    <t>After-tax Operating Income</t>
  </si>
  <si>
    <t>Present Value (at Cost of Capital)</t>
  </si>
  <si>
    <t>Growth rate in # Members (Years 1-5)</t>
  </si>
  <si>
    <t>Growth rate in # Members (Years 6-10)</t>
  </si>
  <si>
    <t>New Members</t>
  </si>
  <si>
    <t>Existing Members</t>
  </si>
  <si>
    <t>Effective tax rate in most recent year</t>
  </si>
  <si>
    <t>Effective tax rate in steady state</t>
  </si>
  <si>
    <t xml:space="preserve"> - PV of Corporate Expenses</t>
  </si>
  <si>
    <t>Allocated Costs</t>
  </si>
  <si>
    <t>Annual Renewal Probability</t>
  </si>
  <si>
    <t>R&amp;D, S,G&amp;A costs</t>
  </si>
  <si>
    <t>Number of Premium Subscribers</t>
  </si>
  <si>
    <t>Annual Subscription Revenue/ Subscriber</t>
  </si>
  <si>
    <t>Growth rate approach for R&amp;D, SG&amp;A</t>
  </si>
  <si>
    <t>Value of Spotify Premium</t>
  </si>
  <si>
    <t>Cost of Capital (in euros)</t>
  </si>
  <si>
    <t>Life of subscriber =</t>
  </si>
  <si>
    <t>Value per Subscriber =</t>
  </si>
  <si>
    <t>Advertising Revenues</t>
  </si>
  <si>
    <t>Advertising Revenues in most recent year</t>
  </si>
  <si>
    <t>Expected growth rate in revenues, years 1-5</t>
  </si>
  <si>
    <t>Expected growth rate in revenues, years 6-10</t>
  </si>
  <si>
    <t>Preimum Content Cost as % of revenues</t>
  </si>
  <si>
    <t>Value of Advertising Revenues</t>
  </si>
  <si>
    <t>Advertising Revenue</t>
  </si>
  <si>
    <t>Operating Income</t>
  </si>
  <si>
    <t xml:space="preserve"> - Content Costs</t>
  </si>
  <si>
    <t>PV of After-tax Operating Income</t>
  </si>
  <si>
    <t>Value of Advertising Business</t>
  </si>
  <si>
    <t>Terminal Value</t>
  </si>
  <si>
    <t xml:space="preserve"> + Cash &amp; Cross Holdings</t>
  </si>
  <si>
    <t>Value of Equity</t>
  </si>
  <si>
    <t>Value of Spotify Operating Assets</t>
  </si>
  <si>
    <t>Other Company Data</t>
  </si>
  <si>
    <t>Cash &amp; Marketable Securities</t>
  </si>
  <si>
    <t>Cross Holdings in Other Companies</t>
  </si>
  <si>
    <t>Debt Outstanding</t>
  </si>
  <si>
    <t>Revenue/Subscriber</t>
  </si>
  <si>
    <t>Content Cost/ Subscriber</t>
  </si>
  <si>
    <t>Operating Profit/Loss per Subscriber</t>
  </si>
  <si>
    <t>Number of Premium Subscribers =</t>
  </si>
  <si>
    <t>Value of Premium Subscribers</t>
  </si>
  <si>
    <t>Value of New Premium Subscribers</t>
  </si>
  <si>
    <t>Total Subscribers</t>
  </si>
  <si>
    <t>New Subscribers</t>
  </si>
  <si>
    <t>Value per Subscriber</t>
  </si>
  <si>
    <t>Value added by new Subscribers</t>
  </si>
  <si>
    <t>Terminal Value (New Subscribers)</t>
  </si>
  <si>
    <t>B1. Lowest decile of Global  companies (7%)</t>
  </si>
  <si>
    <t>b2. 25th percentile of Global companies (7.5%)</t>
  </si>
  <si>
    <t>B3. Median of Global companies (8.5%)</t>
  </si>
  <si>
    <t>B4. 75th percentile of Global companies (10%)</t>
  </si>
  <si>
    <t>B5. Ninth decile of Global companies (12%)</t>
  </si>
  <si>
    <t>Subscription Revenues/ # Users</t>
  </si>
  <si>
    <t>Growth rate in Subscription Charge</t>
  </si>
  <si>
    <t>Growth rate in Content Cost/Subscriber</t>
  </si>
  <si>
    <t>New User Information</t>
  </si>
  <si>
    <t>Content cost as % of subscription revenues (starting year)</t>
  </si>
  <si>
    <t>Typical subscriber life with company</t>
  </si>
  <si>
    <t>Annual Renewal probability (assumed to be constant over time)</t>
  </si>
  <si>
    <t>Growth Rate in Subscription Charge/Subscriber</t>
  </si>
  <si>
    <t>Growth Rate in # Premium Subscribers - Years 1-5</t>
  </si>
  <si>
    <t>Growth Rate in # Premium Subscribers - Years 6-10</t>
  </si>
  <si>
    <t>Total other Costs (other than content and marketing)</t>
  </si>
  <si>
    <t>Growth Rate option for total other costs</t>
  </si>
  <si>
    <t>DO NOT INPUT</t>
  </si>
  <si>
    <t>Total Revenues from Advertising (most recent year)</t>
  </si>
  <si>
    <t>Growth rate in advertising revenues - Years 1-5</t>
  </si>
  <si>
    <t>Growth rate in advertising revenues - Years 6-10</t>
  </si>
  <si>
    <t>Cost of capital option (for existing subscribers)</t>
  </si>
  <si>
    <t>Cost of capital option (for new subscribers</t>
  </si>
  <si>
    <t>Cash and Marketable Securities</t>
  </si>
  <si>
    <t>Minority Cross Holdings</t>
  </si>
  <si>
    <t>Total Debt Outstanding</t>
  </si>
  <si>
    <t>Value of Premium Subscribers =</t>
  </si>
  <si>
    <t>Growth rate in # Members after year 10</t>
  </si>
  <si>
    <t>Cost of acquiring New Subscriber =</t>
  </si>
  <si>
    <t>Total R&amp;D &amp; G&amp;A Costs</t>
  </si>
  <si>
    <t>Valuing Spotify</t>
  </si>
  <si>
    <t>Value of Existing Subscribers</t>
  </si>
  <si>
    <t>Value of New Subscribers</t>
  </si>
  <si>
    <t>Equity Options oustanding (value)</t>
  </si>
  <si>
    <t xml:space="preserve"> - Value of Equity Options</t>
  </si>
  <si>
    <t>Value of Equity in common stock</t>
  </si>
  <si>
    <t>Growth Rate in # Premium Subscribers after year 10</t>
  </si>
  <si>
    <t>Value of Equity Options outstanding</t>
  </si>
  <si>
    <t>Total cost of acquiring new users in most recent year</t>
  </si>
  <si>
    <t>Selling and Marketing Cost in most recent year</t>
  </si>
  <si>
    <t>Lifetime of a Spotify Subscriber (in 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</si>
</sst>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&quot;$&quot;#,##0.00"/>
    <numFmt numFmtId="165" formatCode="&quot;$&quot;#,##0"/>
    <numFmt numFmtId="166" formatCode="0.000%"/>
    <numFmt numFmtId="167" formatCode="0.0000"/>
    <numFmt numFmtId="168" formatCode="0.0%"/>
  </numFmts>
  <fonts count="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auto="1"/>
      </bottom>
      <diagonal/>
    </border>
  </borders>
  <cellStyleXfs count="1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05">
    <xf numFmtId="0" fontId="0" fillId="0" borderId="0" xfId="0"/>
    <xf numFmtId="0" fontId="2" fillId="0" borderId="0" xfId="0" applyFont="1"/>
    <xf numFmtId="0" fontId="0" fillId="0" borderId="0" xfId="0" applyFont="1"/>
    <xf numFmtId="44" fontId="0" fillId="0" borderId="0" xfId="0" applyNumberFormat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2" xfId="0" applyFill="1" applyBorder="1"/>
    <xf numFmtId="0" fontId="0" fillId="0" borderId="0" xfId="0" applyAlignment="1">
      <alignment horizontal="center"/>
    </xf>
    <xf numFmtId="0" fontId="0" fillId="0" borderId="2" xfId="0" applyFont="1" applyBorder="1"/>
    <xf numFmtId="10" fontId="0" fillId="0" borderId="2" xfId="0" applyNumberFormat="1" applyBorder="1"/>
    <xf numFmtId="10" fontId="0" fillId="2" borderId="2" xfId="0" applyNumberFormat="1" applyFill="1" applyBorder="1"/>
    <xf numFmtId="0" fontId="3" fillId="0" borderId="0" xfId="0" applyFont="1" applyAlignment="1">
      <alignment horizontal="center"/>
    </xf>
    <xf numFmtId="44" fontId="0" fillId="3" borderId="2" xfId="1" applyFont="1" applyFill="1" applyBorder="1"/>
    <xf numFmtId="44" fontId="0" fillId="3" borderId="2" xfId="0" applyNumberFormat="1" applyFill="1" applyBorder="1"/>
    <xf numFmtId="2" fontId="0" fillId="3" borderId="2" xfId="0" applyNumberFormat="1" applyFill="1" applyBorder="1"/>
    <xf numFmtId="0" fontId="0" fillId="3" borderId="2" xfId="0" applyFill="1" applyBorder="1" applyAlignment="1">
      <alignment horizontal="center"/>
    </xf>
    <xf numFmtId="2" fontId="0" fillId="3" borderId="2" xfId="0" applyNumberFormat="1" applyFill="1" applyBorder="1" applyAlignment="1">
      <alignment horizontal="center"/>
    </xf>
    <xf numFmtId="164" fontId="0" fillId="3" borderId="2" xfId="1" applyNumberFormat="1" applyFon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44" fontId="2" fillId="3" borderId="2" xfId="1" applyFont="1" applyFill="1" applyBorder="1" applyAlignment="1">
      <alignment horizontal="center"/>
    </xf>
    <xf numFmtId="0" fontId="0" fillId="3" borderId="4" xfId="0" applyFill="1" applyBorder="1"/>
    <xf numFmtId="2" fontId="0" fillId="2" borderId="2" xfId="0" applyNumberFormat="1" applyFill="1" applyBorder="1" applyAlignment="1">
      <alignment horizontal="center"/>
    </xf>
    <xf numFmtId="164" fontId="0" fillId="3" borderId="2" xfId="1" applyNumberFormat="1" applyFont="1" applyFill="1" applyBorder="1"/>
    <xf numFmtId="164" fontId="0" fillId="3" borderId="2" xfId="0" applyNumberFormat="1" applyFill="1" applyBorder="1"/>
    <xf numFmtId="2" fontId="0" fillId="2" borderId="2" xfId="0" applyNumberFormat="1" applyFill="1" applyBorder="1" applyAlignment="1" applyProtection="1">
      <alignment horizontal="center"/>
      <protection locked="0"/>
    </xf>
    <xf numFmtId="10" fontId="0" fillId="2" borderId="2" xfId="2" applyNumberFormat="1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10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1" applyNumberFormat="1" applyFont="1" applyFill="1" applyBorder="1" applyAlignment="1" applyProtection="1">
      <alignment horizontal="center"/>
      <protection locked="0"/>
    </xf>
    <xf numFmtId="9" fontId="0" fillId="2" borderId="2" xfId="0" applyNumberFormat="1" applyFill="1" applyBorder="1" applyAlignment="1" applyProtection="1">
      <alignment horizontal="center"/>
      <protection locked="0"/>
    </xf>
    <xf numFmtId="9" fontId="0" fillId="0" borderId="0" xfId="0" applyNumberFormat="1" applyAlignment="1" applyProtection="1">
      <alignment horizontal="center"/>
      <protection locked="0"/>
    </xf>
    <xf numFmtId="10" fontId="0" fillId="3" borderId="2" xfId="2" applyNumberFormat="1" applyFont="1" applyFill="1" applyBorder="1" applyAlignment="1" applyProtection="1">
      <alignment horizontal="center"/>
    </xf>
    <xf numFmtId="0" fontId="2" fillId="0" borderId="0" xfId="0" applyFont="1" applyAlignment="1">
      <alignment horizontal="center"/>
    </xf>
    <xf numFmtId="10" fontId="0" fillId="0" borderId="2" xfId="2" applyNumberFormat="1" applyFont="1" applyFill="1" applyBorder="1"/>
    <xf numFmtId="10" fontId="0" fillId="0" borderId="2" xfId="0" applyNumberFormat="1" applyFill="1" applyBorder="1"/>
    <xf numFmtId="0" fontId="0" fillId="2" borderId="2" xfId="0" applyFill="1" applyBorder="1" applyAlignment="1" applyProtection="1">
      <alignment horizontal="center"/>
      <protection locked="0"/>
    </xf>
    <xf numFmtId="10" fontId="0" fillId="3" borderId="2" xfId="0" applyNumberFormat="1" applyFont="1" applyFill="1" applyBorder="1" applyAlignment="1" applyProtection="1">
      <alignment horizontal="center"/>
      <protection locked="0"/>
    </xf>
    <xf numFmtId="44" fontId="2" fillId="3" borderId="0" xfId="1" applyFont="1" applyFill="1" applyBorder="1" applyAlignment="1">
      <alignment horizontal="center"/>
    </xf>
    <xf numFmtId="0" fontId="2" fillId="0" borderId="6" xfId="0" applyFont="1" applyFill="1" applyBorder="1"/>
    <xf numFmtId="0" fontId="0" fillId="3" borderId="4" xfId="0" applyFill="1" applyBorder="1" applyAlignment="1">
      <alignment horizontal="center"/>
    </xf>
    <xf numFmtId="0" fontId="2" fillId="0" borderId="3" xfId="0" applyFont="1" applyFill="1" applyBorder="1"/>
    <xf numFmtId="2" fontId="0" fillId="3" borderId="4" xfId="1" applyNumberFormat="1" applyFont="1" applyFill="1" applyBorder="1"/>
    <xf numFmtId="44" fontId="2" fillId="3" borderId="1" xfId="1" applyFont="1" applyFill="1" applyBorder="1"/>
    <xf numFmtId="44" fontId="2" fillId="3" borderId="1" xfId="0" applyNumberFormat="1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164" fontId="0" fillId="0" borderId="0" xfId="0" applyNumberFormat="1" applyFill="1" applyBorder="1"/>
    <xf numFmtId="164" fontId="2" fillId="3" borderId="1" xfId="0" applyNumberFormat="1" applyFont="1" applyFill="1" applyBorder="1"/>
    <xf numFmtId="0" fontId="3" fillId="3" borderId="8" xfId="0" applyFont="1" applyFill="1" applyBorder="1"/>
    <xf numFmtId="0" fontId="3" fillId="3" borderId="9" xfId="0" applyFont="1" applyFill="1" applyBorder="1" applyAlignment="1">
      <alignment horizontal="center"/>
    </xf>
    <xf numFmtId="165" fontId="0" fillId="3" borderId="11" xfId="0" applyNumberFormat="1" applyFill="1" applyBorder="1" applyAlignment="1">
      <alignment horizontal="center"/>
    </xf>
    <xf numFmtId="0" fontId="2" fillId="3" borderId="13" xfId="0" applyFont="1" applyFill="1" applyBorder="1"/>
    <xf numFmtId="165" fontId="2" fillId="3" borderId="14" xfId="0" applyNumberFormat="1" applyFont="1" applyFill="1" applyBorder="1" applyAlignment="1">
      <alignment horizontal="center"/>
    </xf>
    <xf numFmtId="10" fontId="0" fillId="3" borderId="2" xfId="0" applyNumberFormat="1" applyFill="1" applyBorder="1"/>
    <xf numFmtId="0" fontId="2" fillId="4" borderId="0" xfId="0" applyFont="1" applyFill="1" applyAlignment="1">
      <alignment horizontal="center"/>
    </xf>
    <xf numFmtId="0" fontId="0" fillId="0" borderId="15" xfId="0" applyBorder="1"/>
    <xf numFmtId="0" fontId="0" fillId="4" borderId="2" xfId="0" applyFill="1" applyBorder="1"/>
    <xf numFmtId="0" fontId="0" fillId="0" borderId="0" xfId="0" applyFill="1"/>
    <xf numFmtId="0" fontId="3" fillId="0" borderId="7" xfId="0" applyFont="1" applyFill="1" applyBorder="1"/>
    <xf numFmtId="0" fontId="0" fillId="0" borderId="10" xfId="0" applyFill="1" applyBorder="1"/>
    <xf numFmtId="0" fontId="2" fillId="0" borderId="12" xfId="0" applyFont="1" applyFill="1" applyBorder="1"/>
    <xf numFmtId="164" fontId="0" fillId="2" borderId="2" xfId="1" applyNumberFormat="1" applyFont="1" applyFill="1" applyBorder="1" applyAlignment="1" applyProtection="1">
      <alignment horizontal="center"/>
      <protection locked="0"/>
    </xf>
    <xf numFmtId="164" fontId="0" fillId="2" borderId="2" xfId="1" applyNumberFormat="1" applyFont="1" applyFill="1" applyBorder="1" applyAlignment="1">
      <alignment horizontal="center"/>
    </xf>
    <xf numFmtId="44" fontId="0" fillId="3" borderId="0" xfId="1" applyFont="1" applyFill="1"/>
    <xf numFmtId="164" fontId="0" fillId="3" borderId="0" xfId="1" applyNumberFormat="1" applyFont="1" applyFill="1" applyBorder="1"/>
    <xf numFmtId="164" fontId="0" fillId="2" borderId="2" xfId="2" applyNumberFormat="1" applyFont="1" applyFill="1" applyBorder="1" applyAlignment="1" applyProtection="1">
      <alignment horizontal="center"/>
      <protection locked="0"/>
    </xf>
    <xf numFmtId="44" fontId="0" fillId="3" borderId="0" xfId="1" applyNumberFormat="1" applyFont="1" applyFill="1"/>
    <xf numFmtId="166" fontId="0" fillId="3" borderId="0" xfId="0" applyNumberFormat="1" applyFill="1"/>
    <xf numFmtId="10" fontId="0" fillId="3" borderId="0" xfId="0" applyNumberFormat="1" applyFill="1"/>
    <xf numFmtId="0" fontId="0" fillId="4" borderId="0" xfId="0" applyFill="1" applyBorder="1"/>
    <xf numFmtId="44" fontId="0" fillId="0" borderId="0" xfId="1" applyFont="1"/>
    <xf numFmtId="164" fontId="0" fillId="0" borderId="2" xfId="2" applyNumberFormat="1" applyFont="1" applyFill="1" applyBorder="1" applyAlignment="1" applyProtection="1">
      <alignment horizontal="center"/>
      <protection locked="0"/>
    </xf>
    <xf numFmtId="0" fontId="2" fillId="0" borderId="2" xfId="0" applyFont="1" applyBorder="1"/>
    <xf numFmtId="167" fontId="0" fillId="0" borderId="2" xfId="0" applyNumberFormat="1" applyBorder="1"/>
    <xf numFmtId="0" fontId="2" fillId="0" borderId="0" xfId="0" applyFont="1" applyAlignment="1">
      <alignment horizontal="center"/>
    </xf>
    <xf numFmtId="168" fontId="0" fillId="2" borderId="2" xfId="0" applyNumberFormat="1" applyFill="1" applyBorder="1" applyAlignment="1" applyProtection="1">
      <alignment horizontal="center"/>
      <protection locked="0"/>
    </xf>
    <xf numFmtId="44" fontId="0" fillId="2" borderId="2" xfId="1" applyFont="1" applyFill="1" applyBorder="1" applyAlignment="1" applyProtection="1">
      <protection locked="0"/>
    </xf>
    <xf numFmtId="44" fontId="2" fillId="3" borderId="0" xfId="0" applyNumberFormat="1" applyFont="1" applyFill="1"/>
    <xf numFmtId="9" fontId="0" fillId="2" borderId="0" xfId="0" applyNumberFormat="1" applyFill="1" applyBorder="1" applyAlignment="1" applyProtection="1">
      <alignment horizontal="center"/>
      <protection locked="0"/>
    </xf>
    <xf numFmtId="164" fontId="0" fillId="0" borderId="0" xfId="0" applyNumberFormat="1" applyAlignment="1">
      <alignment horizontal="center"/>
    </xf>
    <xf numFmtId="167" fontId="0" fillId="3" borderId="2" xfId="0" applyNumberFormat="1" applyFill="1" applyBorder="1" applyAlignment="1">
      <alignment horizontal="center"/>
    </xf>
    <xf numFmtId="10" fontId="0" fillId="2" borderId="2" xfId="2" applyNumberFormat="1" applyFont="1" applyFill="1" applyBorder="1" applyAlignment="1">
      <alignment horizontal="center"/>
    </xf>
    <xf numFmtId="0" fontId="0" fillId="0" borderId="0" xfId="0" applyFill="1" applyBorder="1"/>
    <xf numFmtId="0" fontId="0" fillId="4" borderId="2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Border="1"/>
    <xf numFmtId="0" fontId="0" fillId="4" borderId="2" xfId="0" applyFill="1" applyBorder="1" applyAlignment="1">
      <alignment horizontal="left"/>
    </xf>
    <xf numFmtId="164" fontId="2" fillId="3" borderId="21" xfId="0" applyNumberFormat="1" applyFont="1" applyFill="1" applyBorder="1"/>
    <xf numFmtId="44" fontId="0" fillId="2" borderId="2" xfId="1" applyFont="1" applyFill="1" applyBorder="1" applyAlignment="1">
      <alignment horizontal="center"/>
    </xf>
    <xf numFmtId="0" fontId="0" fillId="0" borderId="16" xfId="0" applyBorder="1"/>
    <xf numFmtId="164" fontId="0" fillId="3" borderId="20" xfId="0" applyNumberFormat="1" applyFill="1" applyBorder="1"/>
    <xf numFmtId="0" fontId="0" fillId="0" borderId="10" xfId="0" applyBorder="1"/>
    <xf numFmtId="164" fontId="0" fillId="3" borderId="11" xfId="0" applyNumberFormat="1" applyFill="1" applyBorder="1"/>
    <xf numFmtId="0" fontId="0" fillId="0" borderId="23" xfId="0" applyBorder="1"/>
    <xf numFmtId="0" fontId="2" fillId="0" borderId="23" xfId="0" applyFont="1" applyBorder="1"/>
    <xf numFmtId="0" fontId="0" fillId="0" borderId="17" xfId="0" applyFill="1" applyBorder="1"/>
    <xf numFmtId="44" fontId="0" fillId="3" borderId="11" xfId="1" applyFont="1" applyFill="1" applyBorder="1"/>
    <xf numFmtId="0" fontId="2" fillId="0" borderId="18" xfId="0" applyFont="1" applyFill="1" applyBorder="1"/>
    <xf numFmtId="164" fontId="2" fillId="3" borderId="14" xfId="0" applyNumberFormat="1" applyFont="1" applyFill="1" applyBorder="1"/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2" xfId="0" applyFont="1" applyBorder="1" applyAlignment="1">
      <alignment horizontal="center"/>
    </xf>
  </cellXfs>
  <cellStyles count="17">
    <cellStyle name="Currency" xfId="1" builtinId="4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  <cellStyle name="Percent" xfId="2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zoomScale="75" zoomScaleNormal="75" zoomScalePageLayoutView="75" workbookViewId="0">
      <selection activeCell="B19" sqref="B19"/>
    </sheetView>
  </sheetViews>
  <sheetFormatPr baseColWidth="10" defaultRowHeight="16"/>
  <cols>
    <col min="1" max="1" width="56" customWidth="1"/>
    <col min="2" max="2" width="42.6640625" style="7" customWidth="1"/>
    <col min="3" max="3" width="21.6640625" style="7" customWidth="1"/>
    <col min="5" max="5" width="64" style="58" customWidth="1"/>
    <col min="6" max="6" width="45.33203125" customWidth="1"/>
    <col min="7" max="7" width="14.83203125" customWidth="1"/>
    <col min="8" max="8" width="33.83203125" customWidth="1"/>
  </cols>
  <sheetData>
    <row r="1" spans="1:7">
      <c r="A1" s="46" t="s">
        <v>42</v>
      </c>
      <c r="B1" s="45" t="s">
        <v>43</v>
      </c>
    </row>
    <row r="2" spans="1:7">
      <c r="A2" s="1" t="s">
        <v>2</v>
      </c>
      <c r="E2" s="55" t="s">
        <v>26</v>
      </c>
      <c r="F2" s="100" t="s">
        <v>30</v>
      </c>
      <c r="G2" s="100"/>
    </row>
    <row r="3" spans="1:7">
      <c r="A3" s="11" t="s">
        <v>15</v>
      </c>
      <c r="B3" s="5" t="s">
        <v>0</v>
      </c>
      <c r="C3" s="5" t="s">
        <v>1</v>
      </c>
      <c r="E3" s="70"/>
      <c r="F3" s="56" t="s">
        <v>31</v>
      </c>
      <c r="G3" s="34">
        <f>(Valuation!L21/Valuation!B21)^(1/10)-1</f>
        <v>0.1673393845372817</v>
      </c>
    </row>
    <row r="4" spans="1:7">
      <c r="A4" s="4" t="s">
        <v>67</v>
      </c>
      <c r="B4" s="25">
        <v>71</v>
      </c>
      <c r="C4" s="22">
        <v>48</v>
      </c>
      <c r="E4" s="57" t="s">
        <v>27</v>
      </c>
      <c r="F4" s="56" t="s">
        <v>32</v>
      </c>
      <c r="G4" s="35">
        <f>B30</f>
        <v>0.02</v>
      </c>
    </row>
    <row r="5" spans="1:7">
      <c r="A5" s="4" t="s">
        <v>68</v>
      </c>
      <c r="B5" s="62">
        <f>5.24*12/0.81</f>
        <v>77.629629629629633</v>
      </c>
      <c r="C5" s="63">
        <f>6*12/0.83</f>
        <v>86.746987951807228</v>
      </c>
      <c r="E5" s="57" t="s">
        <v>109</v>
      </c>
      <c r="F5" s="56" t="s">
        <v>33</v>
      </c>
      <c r="G5" s="35">
        <f>B29</f>
        <v>2.8500000000000001E-2</v>
      </c>
    </row>
    <row r="6" spans="1:7">
      <c r="A6" s="4" t="s">
        <v>78</v>
      </c>
      <c r="B6" s="26">
        <v>0.79239999999999999</v>
      </c>
      <c r="E6" s="57" t="s">
        <v>113</v>
      </c>
      <c r="F6" s="56" t="s">
        <v>34</v>
      </c>
      <c r="G6" s="10">
        <v>0.05</v>
      </c>
    </row>
    <row r="7" spans="1:7">
      <c r="A7" s="4" t="s">
        <v>52</v>
      </c>
      <c r="B7" s="26">
        <v>0.25</v>
      </c>
      <c r="C7" s="82">
        <v>0</v>
      </c>
      <c r="E7" s="57" t="s">
        <v>61</v>
      </c>
    </row>
    <row r="8" spans="1:7">
      <c r="A8" s="4" t="s">
        <v>53</v>
      </c>
      <c r="B8" s="26">
        <v>0.25</v>
      </c>
      <c r="E8" s="57" t="s">
        <v>62</v>
      </c>
    </row>
    <row r="9" spans="1:7">
      <c r="A9" s="73" t="s">
        <v>64</v>
      </c>
      <c r="B9" s="72"/>
      <c r="E9" s="83"/>
    </row>
    <row r="10" spans="1:7">
      <c r="A10" s="4" t="s">
        <v>66</v>
      </c>
      <c r="B10" s="66">
        <f>(396+264)/0.81</f>
        <v>814.81481481481478</v>
      </c>
      <c r="C10"/>
      <c r="E10" s="57" t="s">
        <v>119</v>
      </c>
    </row>
    <row r="11" spans="1:7">
      <c r="A11" s="1" t="s">
        <v>7</v>
      </c>
      <c r="B11" s="27"/>
      <c r="E11" s="83"/>
      <c r="F11" s="101" t="s">
        <v>71</v>
      </c>
      <c r="G11" s="101"/>
    </row>
    <row r="12" spans="1:7">
      <c r="A12" s="8" t="s">
        <v>144</v>
      </c>
      <c r="B12" s="29">
        <v>15</v>
      </c>
      <c r="E12" s="57" t="s">
        <v>114</v>
      </c>
      <c r="F12" s="56" t="s">
        <v>104</v>
      </c>
      <c r="G12" s="9">
        <v>7.0000000000000007E-2</v>
      </c>
    </row>
    <row r="13" spans="1:7">
      <c r="A13" s="4" t="s">
        <v>65</v>
      </c>
      <c r="B13" s="76">
        <v>0.94499999999999995</v>
      </c>
      <c r="E13" s="57" t="s">
        <v>115</v>
      </c>
      <c r="F13" s="56" t="s">
        <v>105</v>
      </c>
      <c r="G13" s="9">
        <v>7.4999999999999997E-2</v>
      </c>
    </row>
    <row r="14" spans="1:7">
      <c r="A14" s="4" t="s">
        <v>110</v>
      </c>
      <c r="B14" s="28">
        <v>0.03</v>
      </c>
      <c r="E14" s="84" t="s">
        <v>116</v>
      </c>
      <c r="F14" s="56" t="s">
        <v>106</v>
      </c>
      <c r="G14" s="9">
        <v>8.5000000000000006E-2</v>
      </c>
    </row>
    <row r="15" spans="1:7">
      <c r="A15" s="4" t="s">
        <v>111</v>
      </c>
      <c r="B15" s="26">
        <v>1.4999999999999999E-2</v>
      </c>
      <c r="E15" s="84" t="s">
        <v>111</v>
      </c>
      <c r="F15" s="56" t="s">
        <v>107</v>
      </c>
      <c r="G15" s="9">
        <v>0.1</v>
      </c>
    </row>
    <row r="16" spans="1:7">
      <c r="A16" s="1" t="s">
        <v>112</v>
      </c>
      <c r="B16" s="31"/>
      <c r="C16" s="33"/>
      <c r="E16" s="85"/>
      <c r="F16" s="56" t="s">
        <v>108</v>
      </c>
      <c r="G16" s="9">
        <v>0.12</v>
      </c>
    </row>
    <row r="17" spans="1:7">
      <c r="A17" s="4" t="s">
        <v>142</v>
      </c>
      <c r="B17" s="62">
        <f>567/0.81</f>
        <v>700</v>
      </c>
      <c r="E17" s="87" t="s">
        <v>143</v>
      </c>
      <c r="F17" s="56" t="s">
        <v>35</v>
      </c>
      <c r="G17" s="10">
        <v>9.2399999999999996E-2</v>
      </c>
    </row>
    <row r="18" spans="1:7">
      <c r="A18" s="4" t="s">
        <v>57</v>
      </c>
      <c r="B18" s="30">
        <v>0.25</v>
      </c>
      <c r="E18" s="57" t="s">
        <v>117</v>
      </c>
    </row>
    <row r="19" spans="1:7">
      <c r="A19" s="4" t="s">
        <v>58</v>
      </c>
      <c r="B19" s="30">
        <v>0.1</v>
      </c>
      <c r="C19" s="33"/>
      <c r="E19" s="57" t="s">
        <v>118</v>
      </c>
    </row>
    <row r="20" spans="1:7">
      <c r="A20" s="83" t="s">
        <v>131</v>
      </c>
      <c r="B20" s="79">
        <v>0.01</v>
      </c>
      <c r="C20" s="75"/>
      <c r="E20" s="70" t="s">
        <v>140</v>
      </c>
    </row>
    <row r="21" spans="1:7">
      <c r="A21" s="1" t="s">
        <v>25</v>
      </c>
      <c r="B21" s="27"/>
      <c r="E21" s="83"/>
    </row>
    <row r="22" spans="1:7">
      <c r="A22" s="2" t="s">
        <v>69</v>
      </c>
      <c r="B22" s="36" t="s">
        <v>34</v>
      </c>
      <c r="E22" s="57" t="s">
        <v>120</v>
      </c>
    </row>
    <row r="23" spans="1:7">
      <c r="A23" s="4" t="s">
        <v>29</v>
      </c>
      <c r="B23" s="37">
        <f>VLOOKUP(B22,F3:G6,2)</f>
        <v>0.05</v>
      </c>
      <c r="E23" s="57" t="s">
        <v>121</v>
      </c>
    </row>
    <row r="24" spans="1:7">
      <c r="A24" s="1" t="s">
        <v>74</v>
      </c>
      <c r="B24" s="27"/>
      <c r="C24" s="33" t="s">
        <v>28</v>
      </c>
      <c r="E24" s="83"/>
    </row>
    <row r="25" spans="1:7">
      <c r="A25" s="4" t="s">
        <v>75</v>
      </c>
      <c r="B25" s="77">
        <f>416/0.81</f>
        <v>513.58024691358025</v>
      </c>
      <c r="E25" s="57" t="s">
        <v>122</v>
      </c>
    </row>
    <row r="26" spans="1:7">
      <c r="A26" s="4" t="s">
        <v>76</v>
      </c>
      <c r="B26" s="30">
        <v>0.1</v>
      </c>
      <c r="E26" s="57" t="s">
        <v>123</v>
      </c>
    </row>
    <row r="27" spans="1:7">
      <c r="A27" s="4" t="s">
        <v>77</v>
      </c>
      <c r="B27" s="30">
        <v>0.05</v>
      </c>
      <c r="E27" s="57" t="s">
        <v>124</v>
      </c>
    </row>
    <row r="28" spans="1:7">
      <c r="A28" s="1" t="s">
        <v>3</v>
      </c>
      <c r="B28" s="27"/>
      <c r="E28" s="86"/>
    </row>
    <row r="29" spans="1:7">
      <c r="A29" s="4" t="s">
        <v>4</v>
      </c>
      <c r="B29" s="26">
        <v>2.8500000000000001E-2</v>
      </c>
      <c r="E29" s="57" t="s">
        <v>4</v>
      </c>
    </row>
    <row r="30" spans="1:7">
      <c r="A30" s="4" t="s">
        <v>10</v>
      </c>
      <c r="B30" s="26">
        <v>0.02</v>
      </c>
      <c r="E30" s="57" t="s">
        <v>10</v>
      </c>
    </row>
    <row r="31" spans="1:7">
      <c r="A31" s="4" t="s">
        <v>23</v>
      </c>
      <c r="B31" s="26" t="s">
        <v>106</v>
      </c>
      <c r="E31" s="57" t="s">
        <v>125</v>
      </c>
    </row>
    <row r="32" spans="1:7">
      <c r="A32" s="4" t="s">
        <v>5</v>
      </c>
      <c r="B32" s="32">
        <f>VLOOKUP(B31,F12:G17,2)</f>
        <v>8.5000000000000006E-2</v>
      </c>
      <c r="E32" s="57" t="s">
        <v>121</v>
      </c>
    </row>
    <row r="33" spans="1:7">
      <c r="A33" s="4" t="s">
        <v>24</v>
      </c>
      <c r="B33" s="26" t="s">
        <v>107</v>
      </c>
      <c r="E33" s="57" t="s">
        <v>126</v>
      </c>
    </row>
    <row r="34" spans="1:7">
      <c r="A34" s="4" t="s">
        <v>6</v>
      </c>
      <c r="B34" s="32">
        <f>VLOOKUP(B33,F12:G17,2)</f>
        <v>0.1</v>
      </c>
      <c r="C34" s="33" t="s">
        <v>28</v>
      </c>
      <c r="E34" s="57" t="s">
        <v>121</v>
      </c>
    </row>
    <row r="35" spans="1:7">
      <c r="A35" s="1" t="s">
        <v>89</v>
      </c>
      <c r="E35" s="83"/>
    </row>
    <row r="36" spans="1:7">
      <c r="A36" s="4" t="s">
        <v>90</v>
      </c>
      <c r="B36" s="63">
        <f>1509.81/0.81</f>
        <v>1863.9629629629628</v>
      </c>
      <c r="E36" s="57" t="s">
        <v>127</v>
      </c>
    </row>
    <row r="37" spans="1:7">
      <c r="A37" s="4" t="s">
        <v>91</v>
      </c>
      <c r="B37" s="63">
        <f>910/0.81</f>
        <v>1123.4567901234568</v>
      </c>
      <c r="E37" s="57" t="s">
        <v>128</v>
      </c>
    </row>
    <row r="38" spans="1:7">
      <c r="A38" s="4" t="s">
        <v>92</v>
      </c>
      <c r="B38" s="63">
        <v>0</v>
      </c>
      <c r="E38" s="57" t="s">
        <v>129</v>
      </c>
    </row>
    <row r="39" spans="1:7" ht="17" thickBot="1">
      <c r="A39" s="83" t="s">
        <v>137</v>
      </c>
      <c r="B39" s="89">
        <f>1344.28/0.81</f>
        <v>1659.6049382716049</v>
      </c>
      <c r="E39" s="70" t="s">
        <v>141</v>
      </c>
    </row>
    <row r="40" spans="1:7" ht="17" thickBot="1">
      <c r="E40" s="102" t="s">
        <v>45</v>
      </c>
      <c r="F40" s="103"/>
      <c r="G40" s="104"/>
    </row>
    <row r="41" spans="1:7">
      <c r="E41" s="59" t="s">
        <v>48</v>
      </c>
      <c r="F41" s="49" t="s">
        <v>46</v>
      </c>
      <c r="G41" s="50" t="s">
        <v>47</v>
      </c>
    </row>
    <row r="42" spans="1:7">
      <c r="E42" s="60" t="s">
        <v>60</v>
      </c>
      <c r="F42" s="13">
        <f>Valuation!B12</f>
        <v>108.6518498039496</v>
      </c>
      <c r="G42" s="51">
        <f>Valuation!B14</f>
        <v>7714.2813360804221</v>
      </c>
    </row>
    <row r="43" spans="1:7">
      <c r="B43" s="80"/>
      <c r="E43" s="60" t="s">
        <v>59</v>
      </c>
      <c r="F43" s="13">
        <f>Valuation!B18</f>
        <v>81.350757760267854</v>
      </c>
      <c r="G43" s="51">
        <f>Valuation!B27</f>
        <v>20764.561067856434</v>
      </c>
    </row>
    <row r="44" spans="1:7">
      <c r="E44" s="60" t="s">
        <v>74</v>
      </c>
      <c r="F44" s="13"/>
      <c r="G44" s="51">
        <f>Valuation!B51</f>
        <v>2921.7027479065096</v>
      </c>
    </row>
    <row r="45" spans="1:7">
      <c r="E45" s="60" t="s">
        <v>38</v>
      </c>
      <c r="F45" s="19"/>
      <c r="G45" s="51">
        <f>Valuation!B46</f>
        <v>13139.745331571445</v>
      </c>
    </row>
    <row r="46" spans="1:7" ht="17" thickBot="1">
      <c r="E46" s="61" t="s">
        <v>70</v>
      </c>
      <c r="F46" s="52"/>
      <c r="G46" s="53">
        <f>Valuation!B56</f>
        <v>21248.219573358339</v>
      </c>
    </row>
  </sheetData>
  <sheetProtection selectLockedCells="1"/>
  <mergeCells count="3">
    <mergeCell ref="F2:G2"/>
    <mergeCell ref="F11:G11"/>
    <mergeCell ref="E40:G40"/>
  </mergeCells>
  <dataValidations count="2">
    <dataValidation type="list" allowBlank="1" showInputMessage="1" showErrorMessage="1" sqref="B22" xr:uid="{00000000-0002-0000-0000-000000000000}">
      <formula1>$F$3:$F$6</formula1>
    </dataValidation>
    <dataValidation type="list" allowBlank="1" showInputMessage="1" showErrorMessage="1" sqref="B31 B33" xr:uid="{00000000-0002-0000-0000-000001000000}">
      <formula1>$F$12:$F$17</formula1>
    </dataValidation>
  </dataValidation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8F3F6-BC67-0541-801A-707CD2C689C6}">
  <dimension ref="A1:V58"/>
  <sheetViews>
    <sheetView tabSelected="1" topLeftCell="A38" workbookViewId="0">
      <selection activeCell="B58" sqref="A48:B58"/>
    </sheetView>
  </sheetViews>
  <sheetFormatPr baseColWidth="10" defaultRowHeight="16"/>
  <cols>
    <col min="1" max="1" width="33.83203125" customWidth="1"/>
    <col min="2" max="2" width="14.6640625" customWidth="1"/>
    <col min="3" max="3" width="14.1640625" customWidth="1"/>
    <col min="4" max="6" width="11.33203125" bestFit="1" customWidth="1"/>
    <col min="7" max="7" width="12.1640625" bestFit="1" customWidth="1"/>
    <col min="8" max="8" width="11.33203125" bestFit="1" customWidth="1"/>
    <col min="9" max="11" width="12.1640625" bestFit="1" customWidth="1"/>
    <col min="12" max="12" width="12.5" bestFit="1" customWidth="1"/>
    <col min="14" max="15" width="11.5" bestFit="1" customWidth="1"/>
  </cols>
  <sheetData>
    <row r="1" spans="1:22">
      <c r="A1" s="1" t="s">
        <v>97</v>
      </c>
    </row>
    <row r="2" spans="1:22">
      <c r="A2" s="4"/>
      <c r="B2" s="4" t="s">
        <v>8</v>
      </c>
      <c r="C2" s="15">
        <v>1</v>
      </c>
      <c r="D2" s="15">
        <v>2</v>
      </c>
      <c r="E2" s="15">
        <v>3</v>
      </c>
      <c r="F2" s="15">
        <v>4</v>
      </c>
      <c r="G2" s="15">
        <v>5</v>
      </c>
      <c r="H2" s="15">
        <v>6</v>
      </c>
      <c r="I2" s="15">
        <v>7</v>
      </c>
      <c r="J2" s="15">
        <v>8</v>
      </c>
      <c r="K2" s="15">
        <v>9</v>
      </c>
      <c r="L2" s="15">
        <v>10</v>
      </c>
      <c r="M2" s="15">
        <f t="shared" ref="M2:V2" si="0">L2+1</f>
        <v>11</v>
      </c>
      <c r="N2" s="15">
        <f t="shared" si="0"/>
        <v>12</v>
      </c>
      <c r="O2" s="15">
        <f t="shared" si="0"/>
        <v>13</v>
      </c>
      <c r="P2" s="15">
        <f t="shared" si="0"/>
        <v>14</v>
      </c>
      <c r="Q2" s="15">
        <f t="shared" si="0"/>
        <v>15</v>
      </c>
      <c r="R2" s="15">
        <f t="shared" si="0"/>
        <v>16</v>
      </c>
      <c r="S2" s="15">
        <f t="shared" si="0"/>
        <v>17</v>
      </c>
      <c r="T2" s="15">
        <f t="shared" si="0"/>
        <v>18</v>
      </c>
      <c r="U2" s="15">
        <f t="shared" si="0"/>
        <v>19</v>
      </c>
      <c r="V2" s="15">
        <f t="shared" si="0"/>
        <v>20</v>
      </c>
    </row>
    <row r="3" spans="1:22">
      <c r="A3" s="4" t="s">
        <v>54</v>
      </c>
      <c r="B3" s="4"/>
      <c r="C3" s="15">
        <f>IF(C2&gt;Inputs!$B$12,0,1)</f>
        <v>1</v>
      </c>
      <c r="D3" s="15">
        <f>IF(D2&gt;Inputs!$B$12,0,1)</f>
        <v>1</v>
      </c>
      <c r="E3" s="15">
        <f>IF(E2&gt;Inputs!$B$12,0,1)</f>
        <v>1</v>
      </c>
      <c r="F3" s="15">
        <f>IF(F2&gt;Inputs!$B$12,0,1)</f>
        <v>1</v>
      </c>
      <c r="G3" s="15">
        <f>IF(G2&gt;Inputs!$B$12,0,1)</f>
        <v>1</v>
      </c>
      <c r="H3" s="15">
        <f>IF(H2&gt;Inputs!$B$12,0,1)</f>
        <v>1</v>
      </c>
      <c r="I3" s="15">
        <f>IF(I2&gt;Inputs!$B$12,0,1)</f>
        <v>1</v>
      </c>
      <c r="J3" s="15">
        <f>IF(J2&gt;Inputs!$B$12,0,1)</f>
        <v>1</v>
      </c>
      <c r="K3" s="15">
        <f>IF(K2&gt;Inputs!$B$12,0,1)</f>
        <v>1</v>
      </c>
      <c r="L3" s="15">
        <f>IF(L2&gt;Inputs!$B$12,0,1)</f>
        <v>1</v>
      </c>
      <c r="M3" s="15">
        <f>IF(M2&gt;Inputs!$B$12,0,1)</f>
        <v>1</v>
      </c>
      <c r="N3" s="15">
        <f>IF(N2&gt;Inputs!$B$12,0,1)</f>
        <v>1</v>
      </c>
      <c r="O3" s="15">
        <f>IF(O2&gt;Inputs!$B$12,0,1)</f>
        <v>1</v>
      </c>
      <c r="P3" s="15">
        <f>IF(P2&gt;Inputs!$B$12,0,1)</f>
        <v>1</v>
      </c>
      <c r="Q3" s="15">
        <f>IF(Q2&gt;Inputs!$B$12,0,1)</f>
        <v>1</v>
      </c>
      <c r="R3" s="15">
        <f>IF(R2&gt;Inputs!$B$12,0,1)</f>
        <v>0</v>
      </c>
      <c r="S3" s="15">
        <f>IF(S2&gt;Inputs!$B$12,0,1)</f>
        <v>0</v>
      </c>
      <c r="T3" s="15">
        <f>IF(T2&gt;Inputs!$B$12,0,1)</f>
        <v>0</v>
      </c>
      <c r="U3" s="15">
        <f>IF(U2&gt;Inputs!$B$12,0,1)</f>
        <v>0</v>
      </c>
      <c r="V3" s="15">
        <f>IF(V2&gt;Inputs!$B$12,0,1)</f>
        <v>0</v>
      </c>
    </row>
    <row r="4" spans="1:22">
      <c r="A4" s="4" t="s">
        <v>50</v>
      </c>
      <c r="B4" s="74">
        <f>1</f>
        <v>1</v>
      </c>
      <c r="C4" s="81">
        <f>B4*Inputs!$B$13</f>
        <v>0.94499999999999995</v>
      </c>
      <c r="D4" s="81">
        <f>C4*Inputs!$B$13</f>
        <v>0.89302499999999996</v>
      </c>
      <c r="E4" s="81">
        <f>D4*Inputs!$B$13</f>
        <v>0.84390862499999997</v>
      </c>
      <c r="F4" s="81">
        <f>E4*Inputs!$B$13</f>
        <v>0.79749365062499988</v>
      </c>
      <c r="G4" s="81">
        <f>F4*Inputs!$B$13</f>
        <v>0.75363149984062483</v>
      </c>
      <c r="H4" s="81">
        <f>G4*Inputs!$B$13</f>
        <v>0.71218176734939043</v>
      </c>
      <c r="I4" s="81">
        <f>H4*Inputs!$B$13</f>
        <v>0.67301177014517388</v>
      </c>
      <c r="J4" s="81">
        <f>I4*Inputs!$B$13</f>
        <v>0.63599612278718931</v>
      </c>
      <c r="K4" s="81">
        <f>J4*Inputs!$B$13</f>
        <v>0.60101633603389382</v>
      </c>
      <c r="L4" s="81">
        <f>K4*Inputs!$B$13</f>
        <v>0.56796043755202963</v>
      </c>
      <c r="M4" s="81">
        <f>L4*Inputs!$B$13</f>
        <v>0.53672261348666794</v>
      </c>
      <c r="N4" s="81">
        <f>M4*Inputs!$B$13</f>
        <v>0.50720286974490114</v>
      </c>
      <c r="O4" s="81">
        <f>N4*Inputs!$B$13</f>
        <v>0.47930671190893154</v>
      </c>
      <c r="P4" s="81">
        <f>O4*Inputs!$B$13</f>
        <v>0.45294484275394026</v>
      </c>
      <c r="Q4" s="81">
        <f>P4*Inputs!$B$13</f>
        <v>0.42803287640247351</v>
      </c>
      <c r="R4" s="81">
        <f>Q4*Inputs!$B$13</f>
        <v>0.40449106820033742</v>
      </c>
      <c r="S4" s="81">
        <f>R4*Inputs!$B$13</f>
        <v>0.38224405944931883</v>
      </c>
      <c r="T4" s="81">
        <f>S4*Inputs!$B$13</f>
        <v>0.36122063617960626</v>
      </c>
      <c r="U4" s="81">
        <f>T4*Inputs!$B$13</f>
        <v>0.3413535011897279</v>
      </c>
      <c r="V4" s="81">
        <f>U4*Inputs!$B$13</f>
        <v>0.32257905862429287</v>
      </c>
    </row>
    <row r="5" spans="1:22">
      <c r="A5" s="4" t="s">
        <v>93</v>
      </c>
      <c r="B5" s="13">
        <f>Inputs!B5</f>
        <v>77.629629629629633</v>
      </c>
      <c r="C5" s="12">
        <f>B5*(1+Inputs!$B$14)</f>
        <v>79.958518518518531</v>
      </c>
      <c r="D5" s="12">
        <f>C5*(1+Inputs!$B$14)</f>
        <v>82.357274074074084</v>
      </c>
      <c r="E5" s="12">
        <f>D5*(1+Inputs!$B$14)</f>
        <v>84.827992296296316</v>
      </c>
      <c r="F5" s="12">
        <f>E5*(1+Inputs!$B$14)</f>
        <v>87.372832065185207</v>
      </c>
      <c r="G5" s="12">
        <f>F5*(1+Inputs!$B$14)</f>
        <v>89.994017027140771</v>
      </c>
      <c r="H5" s="12">
        <f>G5*(1+Inputs!$B$14)</f>
        <v>92.693837537954991</v>
      </c>
      <c r="I5" s="12">
        <f>H5*(1+Inputs!$B$14)</f>
        <v>95.474652664093639</v>
      </c>
      <c r="J5" s="12">
        <f>I5*(1+Inputs!$B$14)</f>
        <v>98.338892244016449</v>
      </c>
      <c r="K5" s="12">
        <f>J5*(1+Inputs!$B$14)</f>
        <v>101.28905901133695</v>
      </c>
      <c r="L5" s="12">
        <f>K5*(1+Inputs!$B$14)</f>
        <v>104.32773078167706</v>
      </c>
      <c r="M5" s="12">
        <f>L5*(1+Inputs!$B$14)</f>
        <v>107.45756270512737</v>
      </c>
      <c r="N5" s="12">
        <f>M5*(1+Inputs!$B$14)</f>
        <v>110.6812895862812</v>
      </c>
      <c r="O5" s="12">
        <f>N5*(1+Inputs!$B$14)</f>
        <v>114.00172827386963</v>
      </c>
      <c r="P5" s="12">
        <f>O5*(1+Inputs!$B$14)</f>
        <v>117.42178012208572</v>
      </c>
      <c r="Q5" s="12">
        <f>P5*(1+Inputs!$B$14)</f>
        <v>120.94443352574829</v>
      </c>
      <c r="R5" s="12">
        <f>Q5*(1+Inputs!$B$14)</f>
        <v>124.57276653152074</v>
      </c>
      <c r="S5" s="12">
        <f>R5*(1+Inputs!$B$14)</f>
        <v>128.30994952746636</v>
      </c>
      <c r="T5" s="12">
        <f>S5*(1+Inputs!$B$14)</f>
        <v>132.15924801329035</v>
      </c>
      <c r="U5" s="12">
        <f>T5*(1+Inputs!$B$14)</f>
        <v>136.12402545368906</v>
      </c>
      <c r="V5" s="12">
        <f>U5*(1+Inputs!$B$14)</f>
        <v>140.20774621729973</v>
      </c>
    </row>
    <row r="6" spans="1:22">
      <c r="A6" s="4" t="s">
        <v>94</v>
      </c>
      <c r="B6" s="13">
        <f>Inputs!B6*B5</f>
        <v>61.513718518518523</v>
      </c>
      <c r="C6" s="67">
        <f>B6*(1+Inputs!$B$15)</f>
        <v>62.436424296296295</v>
      </c>
      <c r="D6" s="67">
        <f>C6*(1+Inputs!$B$15)</f>
        <v>63.372970660740734</v>
      </c>
      <c r="E6" s="67">
        <f>D6*(1+Inputs!$B$15)</f>
        <v>64.323565220651844</v>
      </c>
      <c r="F6" s="67">
        <f>E6*(1+Inputs!$B$15)</f>
        <v>65.288418698961621</v>
      </c>
      <c r="G6" s="67">
        <f>F6*(1+Inputs!$B$15)</f>
        <v>66.267744979446036</v>
      </c>
      <c r="H6" s="67">
        <f>G6*(1+Inputs!$B$30)</f>
        <v>67.593099879034952</v>
      </c>
      <c r="I6" s="67">
        <f>H6*(1+Inputs!$B$30)</f>
        <v>68.94496187661565</v>
      </c>
      <c r="J6" s="67">
        <f>I6*(1+Inputs!$B$30)</f>
        <v>70.323861114147959</v>
      </c>
      <c r="K6" s="67">
        <f>J6*(1+Inputs!$B$30)</f>
        <v>71.730338336430918</v>
      </c>
      <c r="L6" s="67">
        <f>K6*(1+Inputs!$B$30)</f>
        <v>73.164945103159539</v>
      </c>
      <c r="M6" s="67">
        <f>L6*(1+Inputs!$B$30)</f>
        <v>74.628244005222726</v>
      </c>
      <c r="N6" s="67">
        <f>M6*(1+Inputs!$B$30)</f>
        <v>76.120808885327179</v>
      </c>
      <c r="O6" s="67">
        <f>N6*(1+Inputs!$B$30)</f>
        <v>77.643225063033725</v>
      </c>
      <c r="P6" s="67">
        <f>O6*(1+Inputs!$B$30)</f>
        <v>79.196089564294397</v>
      </c>
      <c r="Q6" s="67">
        <f>P6*(1+Inputs!$B$30)</f>
        <v>80.780011355580285</v>
      </c>
      <c r="R6" s="67">
        <f>Q6*(1+Inputs!$B$30)</f>
        <v>82.395611582691899</v>
      </c>
      <c r="S6" s="67">
        <f>R6*(1+Inputs!$B$30)</f>
        <v>84.043523814345733</v>
      </c>
      <c r="T6" s="67">
        <f>S6*(1+Inputs!$B$30)</f>
        <v>85.724394290632645</v>
      </c>
      <c r="U6" s="67">
        <f>T6*(1+Inputs!$B$30)</f>
        <v>87.438882176445304</v>
      </c>
      <c r="V6" s="67">
        <f>U6*(1+Inputs!$B$30)</f>
        <v>89.187659819974215</v>
      </c>
    </row>
    <row r="7" spans="1:22">
      <c r="A7" s="4" t="s">
        <v>95</v>
      </c>
      <c r="B7" s="13">
        <f t="shared" ref="B7:V7" si="1">B5-B6</f>
        <v>16.11591111111111</v>
      </c>
      <c r="C7" s="13">
        <f t="shared" si="1"/>
        <v>17.522094222222236</v>
      </c>
      <c r="D7" s="13">
        <f t="shared" si="1"/>
        <v>18.98430341333335</v>
      </c>
      <c r="E7" s="13">
        <f t="shared" si="1"/>
        <v>20.504427075644472</v>
      </c>
      <c r="F7" s="13">
        <f t="shared" si="1"/>
        <v>22.084413366223586</v>
      </c>
      <c r="G7" s="13">
        <f t="shared" si="1"/>
        <v>23.726272047694735</v>
      </c>
      <c r="H7" s="13">
        <f t="shared" si="1"/>
        <v>25.100737658920039</v>
      </c>
      <c r="I7" s="13">
        <f t="shared" si="1"/>
        <v>26.529690787477989</v>
      </c>
      <c r="J7" s="13">
        <f t="shared" si="1"/>
        <v>28.01503112986849</v>
      </c>
      <c r="K7" s="13">
        <f t="shared" si="1"/>
        <v>29.558720674906027</v>
      </c>
      <c r="L7" s="13">
        <f t="shared" si="1"/>
        <v>31.162785678517523</v>
      </c>
      <c r="M7" s="13">
        <f t="shared" si="1"/>
        <v>32.829318699904647</v>
      </c>
      <c r="N7" s="13">
        <f t="shared" si="1"/>
        <v>34.560480700954017</v>
      </c>
      <c r="O7" s="13">
        <f t="shared" si="1"/>
        <v>36.358503210835906</v>
      </c>
      <c r="P7" s="13">
        <f t="shared" si="1"/>
        <v>38.225690557791324</v>
      </c>
      <c r="Q7" s="13">
        <f t="shared" si="1"/>
        <v>40.16442217016801</v>
      </c>
      <c r="R7" s="13">
        <f t="shared" si="1"/>
        <v>42.177154948828843</v>
      </c>
      <c r="S7" s="13">
        <f t="shared" si="1"/>
        <v>44.266425713120626</v>
      </c>
      <c r="T7" s="13">
        <f t="shared" si="1"/>
        <v>46.434853722657706</v>
      </c>
      <c r="U7" s="13">
        <f t="shared" si="1"/>
        <v>48.685143277243753</v>
      </c>
      <c r="V7" s="13">
        <f t="shared" si="1"/>
        <v>51.020086397325514</v>
      </c>
    </row>
    <row r="8" spans="1:22">
      <c r="A8" s="4" t="s">
        <v>51</v>
      </c>
      <c r="B8" s="54">
        <f>Inputs!B7</f>
        <v>0.25</v>
      </c>
      <c r="C8" s="68">
        <f t="shared" ref="C8:K8" si="2">B8+($L$8-$B$8)/10</f>
        <v>0.25</v>
      </c>
      <c r="D8" s="68">
        <f t="shared" si="2"/>
        <v>0.25</v>
      </c>
      <c r="E8" s="68">
        <f t="shared" si="2"/>
        <v>0.25</v>
      </c>
      <c r="F8" s="68">
        <f t="shared" si="2"/>
        <v>0.25</v>
      </c>
      <c r="G8" s="68">
        <f t="shared" si="2"/>
        <v>0.25</v>
      </c>
      <c r="H8" s="68">
        <f t="shared" si="2"/>
        <v>0.25</v>
      </c>
      <c r="I8" s="68">
        <f t="shared" si="2"/>
        <v>0.25</v>
      </c>
      <c r="J8" s="68">
        <f t="shared" si="2"/>
        <v>0.25</v>
      </c>
      <c r="K8" s="68">
        <f t="shared" si="2"/>
        <v>0.25</v>
      </c>
      <c r="L8" s="69">
        <f>Inputs!B8</f>
        <v>0.25</v>
      </c>
      <c r="M8" s="69">
        <f t="shared" ref="M8:V8" si="3">L8</f>
        <v>0.25</v>
      </c>
      <c r="N8" s="69">
        <f t="shared" si="3"/>
        <v>0.25</v>
      </c>
      <c r="O8" s="69">
        <f t="shared" si="3"/>
        <v>0.25</v>
      </c>
      <c r="P8" s="69">
        <f t="shared" si="3"/>
        <v>0.25</v>
      </c>
      <c r="Q8" s="69">
        <f t="shared" si="3"/>
        <v>0.25</v>
      </c>
      <c r="R8" s="69">
        <f t="shared" si="3"/>
        <v>0.25</v>
      </c>
      <c r="S8" s="69">
        <f t="shared" si="3"/>
        <v>0.25</v>
      </c>
      <c r="T8" s="69">
        <f t="shared" si="3"/>
        <v>0.25</v>
      </c>
      <c r="U8" s="69">
        <f t="shared" si="3"/>
        <v>0.25</v>
      </c>
      <c r="V8" s="69">
        <f t="shared" si="3"/>
        <v>0.25</v>
      </c>
    </row>
    <row r="9" spans="1:22">
      <c r="A9" s="4" t="s">
        <v>55</v>
      </c>
      <c r="B9" s="23">
        <f>B7*(1-B8)</f>
        <v>12.086933333333333</v>
      </c>
      <c r="C9" s="23">
        <f t="shared" ref="C9:V9" si="4">C3*C4*C7*(1-C8)</f>
        <v>12.418784280000009</v>
      </c>
      <c r="D9" s="23">
        <f t="shared" si="4"/>
        <v>12.715093166769012</v>
      </c>
      <c r="E9" s="23">
        <f t="shared" si="4"/>
        <v>12.977897144864922</v>
      </c>
      <c r="F9" s="23">
        <f t="shared" si="4"/>
        <v>13.209134578005893</v>
      </c>
      <c r="G9" s="23">
        <f t="shared" si="4"/>
        <v>13.410649491698155</v>
      </c>
      <c r="H9" s="23">
        <f t="shared" si="4"/>
        <v>13.407215780777307</v>
      </c>
      <c r="I9" s="23">
        <f t="shared" si="4"/>
        <v>13.391095618713504</v>
      </c>
      <c r="J9" s="23">
        <f t="shared" si="4"/>
        <v>13.363088383769078</v>
      </c>
      <c r="K9" s="23">
        <f t="shared" si="4"/>
        <v>13.323955498410996</v>
      </c>
      <c r="L9" s="23">
        <f t="shared" si="4"/>
        <v>13.274422041983202</v>
      </c>
      <c r="M9" s="23">
        <f t="shared" si="4"/>
        <v>13.215178298699673</v>
      </c>
      <c r="N9" s="23">
        <f t="shared" si="4"/>
        <v>13.146881243465362</v>
      </c>
      <c r="O9" s="23">
        <f t="shared" si="4"/>
        <v>13.070155967937065</v>
      </c>
      <c r="P9" s="23">
        <f t="shared" si="4"/>
        <v>12.985597049144678</v>
      </c>
      <c r="Q9" s="23">
        <f t="shared" si="4"/>
        <v>12.893769862905216</v>
      </c>
      <c r="R9" s="23">
        <f t="shared" si="4"/>
        <v>0</v>
      </c>
      <c r="S9" s="23">
        <f t="shared" si="4"/>
        <v>0</v>
      </c>
      <c r="T9" s="23">
        <f t="shared" si="4"/>
        <v>0</v>
      </c>
      <c r="U9" s="23">
        <f t="shared" si="4"/>
        <v>0</v>
      </c>
      <c r="V9" s="23">
        <f t="shared" si="4"/>
        <v>0</v>
      </c>
    </row>
    <row r="10" spans="1:22">
      <c r="A10" s="4" t="s">
        <v>56</v>
      </c>
      <c r="B10" s="23"/>
      <c r="C10" s="65">
        <f>C9/(1+Inputs!$B$32)^Valuation!C2</f>
        <v>11.445884129032267</v>
      </c>
      <c r="D10" s="65">
        <f>D9/(1+Inputs!$B$32)^Valuation!D2</f>
        <v>10.800903112632685</v>
      </c>
      <c r="E10" s="65">
        <f>E9/(1+Inputs!$B$32)^Valuation!E2</f>
        <v>10.160500775315786</v>
      </c>
      <c r="F10" s="65">
        <f>F9/(1+Inputs!$B$32)^Valuation!F2</f>
        <v>9.5313718289236746</v>
      </c>
      <c r="G10" s="65">
        <f>G9/(1+Inputs!$B$32)^Valuation!G2</f>
        <v>8.9186910677792515</v>
      </c>
      <c r="H10" s="65">
        <f>H9/(1+Inputs!$B$32)^Valuation!H2</f>
        <v>8.2178870912870465</v>
      </c>
      <c r="I10" s="65">
        <f>I9/(1+Inputs!$B$32)^Valuation!I2</f>
        <v>7.5649827807286165</v>
      </c>
      <c r="J10" s="65">
        <f>J9/(1+Inputs!$B$32)^Valuation!J2</f>
        <v>6.9577518485679528</v>
      </c>
      <c r="K10" s="65">
        <f>K9/(1+Inputs!$B$32)^Valuation!K2</f>
        <v>6.3938954384893965</v>
      </c>
      <c r="L10" s="65">
        <f>L9/(1+Inputs!$B$32)^Valuation!L2</f>
        <v>5.8710832622134514</v>
      </c>
      <c r="M10" s="65">
        <f>M9/(1+Inputs!$B$32)^Valuation!M2</f>
        <v>5.3869867452783007</v>
      </c>
      <c r="N10" s="65">
        <f>N9/(1+Inputs!$B$32)^Valuation!N2</f>
        <v>4.939305423522991</v>
      </c>
      <c r="O10" s="65">
        <f>O9/(1+Inputs!$B$32)^Valuation!O2</f>
        <v>4.5257876574154654</v>
      </c>
      <c r="P10" s="65">
        <f>P9/(1+Inputs!$B$32)^Valuation!P2</f>
        <v>4.1442465799671231</v>
      </c>
      <c r="Q10" s="65">
        <f>Q9/(1+Inputs!$B$32)^Valuation!Q2</f>
        <v>3.7925720627955939</v>
      </c>
      <c r="R10" s="65">
        <f>R9/(1+Inputs!$B$32)^Valuation!R2</f>
        <v>0</v>
      </c>
      <c r="S10" s="65">
        <f>S9/(1+Inputs!$B$32)^Valuation!S2</f>
        <v>0</v>
      </c>
      <c r="T10" s="65">
        <f>T9/(1+Inputs!$B$32)^Valuation!T2</f>
        <v>0</v>
      </c>
      <c r="U10" s="65">
        <f>U9/(1+Inputs!$B$32)^Valuation!U2</f>
        <v>0</v>
      </c>
      <c r="V10" s="65">
        <f>V9/(1+Inputs!$B$32)^Valuation!V2</f>
        <v>0</v>
      </c>
    </row>
    <row r="11" spans="1:22">
      <c r="A11" s="4" t="s">
        <v>72</v>
      </c>
      <c r="B11" s="14">
        <f>Inputs!B12</f>
        <v>15</v>
      </c>
    </row>
    <row r="12" spans="1:22">
      <c r="A12" s="4" t="s">
        <v>73</v>
      </c>
      <c r="B12" s="23">
        <f>SUM(C10:V10)</f>
        <v>108.6518498039496</v>
      </c>
    </row>
    <row r="13" spans="1:22" ht="17" thickBot="1">
      <c r="A13" s="6" t="s">
        <v>96</v>
      </c>
      <c r="B13" s="42">
        <f>Inputs!B4</f>
        <v>71</v>
      </c>
      <c r="E13" s="3"/>
    </row>
    <row r="14" spans="1:22" ht="17" thickBot="1">
      <c r="A14" s="41" t="s">
        <v>130</v>
      </c>
      <c r="B14" s="43">
        <f>B13*B12</f>
        <v>7714.2813360804221</v>
      </c>
    </row>
    <row r="16" spans="1:22">
      <c r="A16" s="1" t="s">
        <v>98</v>
      </c>
    </row>
    <row r="17" spans="1:14">
      <c r="A17" s="4" t="s">
        <v>132</v>
      </c>
      <c r="B17" s="12">
        <f>Inputs!B17/(Inputs!B4-Inputs!C4*Inputs!B13)</f>
        <v>27.301092043681745</v>
      </c>
    </row>
    <row r="18" spans="1:14">
      <c r="A18" s="4" t="s">
        <v>9</v>
      </c>
      <c r="B18" s="24">
        <f>B12-B17</f>
        <v>81.350757760267854</v>
      </c>
    </row>
    <row r="20" spans="1:14">
      <c r="A20" s="4"/>
      <c r="B20" s="15" t="s">
        <v>8</v>
      </c>
      <c r="C20" s="15">
        <v>1</v>
      </c>
      <c r="D20" s="15">
        <v>2</v>
      </c>
      <c r="E20" s="15">
        <v>3</v>
      </c>
      <c r="F20" s="15">
        <v>4</v>
      </c>
      <c r="G20" s="15">
        <v>5</v>
      </c>
      <c r="H20" s="15">
        <v>6</v>
      </c>
      <c r="I20" s="15">
        <v>7</v>
      </c>
      <c r="J20" s="15">
        <v>8</v>
      </c>
      <c r="K20" s="15">
        <v>9</v>
      </c>
      <c r="L20" s="15">
        <v>10</v>
      </c>
    </row>
    <row r="21" spans="1:14">
      <c r="A21" s="4" t="s">
        <v>99</v>
      </c>
      <c r="B21" s="16">
        <f>Inputs!B4</f>
        <v>71</v>
      </c>
      <c r="C21" s="16">
        <f>B21*Inputs!$B$13+C22</f>
        <v>84.844999999999999</v>
      </c>
      <c r="D21" s="16">
        <f>C21*Inputs!$B$13+D22</f>
        <v>106.05625000000001</v>
      </c>
      <c r="E21" s="16">
        <f>D21*Inputs!$B$13+E22</f>
        <v>132.5703125</v>
      </c>
      <c r="F21" s="16">
        <f>E21*Inputs!$B$13+F22</f>
        <v>165.712890625</v>
      </c>
      <c r="G21" s="16">
        <f>F21*Inputs!$B$13+G22</f>
        <v>207.14111328125</v>
      </c>
      <c r="H21" s="16">
        <f>G21*Inputs!$B$13+H22</f>
        <v>227.85522460937506</v>
      </c>
      <c r="I21" s="16">
        <f>H21*Inputs!$B$13+I22</f>
        <v>250.64074707031259</v>
      </c>
      <c r="J21" s="16">
        <f>I21*Inputs!$B$13+J22</f>
        <v>275.70482177734385</v>
      </c>
      <c r="K21" s="16">
        <f>J21*Inputs!$B$13+K22</f>
        <v>303.27530395507824</v>
      </c>
      <c r="L21" s="16">
        <f>K21*Inputs!$B$13+L22</f>
        <v>333.60283435058608</v>
      </c>
      <c r="N21" s="3"/>
    </row>
    <row r="22" spans="1:14">
      <c r="A22" s="4" t="s">
        <v>100</v>
      </c>
      <c r="B22" s="16">
        <v>0</v>
      </c>
      <c r="C22" s="16">
        <f>B21*(1+Inputs!$B$18)-B21</f>
        <v>17.75</v>
      </c>
      <c r="D22" s="16">
        <f>(C21)*(1+Inputs!$B$18)-(C21)+C21*(1-Inputs!$B$13)</f>
        <v>25.877725000000012</v>
      </c>
      <c r="E22" s="16">
        <f>(D21)*(1+Inputs!$B$18)-(D21)+D21*(1-Inputs!$B$13)</f>
        <v>32.347156249999998</v>
      </c>
      <c r="F22" s="16">
        <f>(E21)*(1+Inputs!$B$18)-(E21)+E21*(1-Inputs!$B$13)</f>
        <v>40.433945312500008</v>
      </c>
      <c r="G22" s="16">
        <f>(F21)*(1+Inputs!$B$18)-(F21)+F21*(1-Inputs!$B$13)</f>
        <v>50.542431640625011</v>
      </c>
      <c r="H22" s="16">
        <f>(G21)*(1+Inputs!$B$19)-(G21)+G21*(1-Inputs!$B$13)</f>
        <v>32.106872558593793</v>
      </c>
      <c r="I22" s="16">
        <f>(H21)*(1+Inputs!$B$19)-(H21)+H21*(1-Inputs!$B$13)</f>
        <v>35.317559814453169</v>
      </c>
      <c r="J22" s="16">
        <f>(I21)*(1+Inputs!$B$19)-(I21)+I21*(1-Inputs!$B$13)</f>
        <v>38.84931579589847</v>
      </c>
      <c r="K22" s="16">
        <f>(J21)*(1+Inputs!$B$19)-(J21)+J21*(1-Inputs!$B$13)</f>
        <v>42.734247375488316</v>
      </c>
      <c r="L22" s="16">
        <f>(K21)*(1+Inputs!$B$19)-(K21)+K21*(1-Inputs!$B$13)</f>
        <v>47.007672113037152</v>
      </c>
    </row>
    <row r="23" spans="1:14">
      <c r="A23" s="4" t="s">
        <v>101</v>
      </c>
      <c r="B23" s="17">
        <f>B18</f>
        <v>81.350757760267854</v>
      </c>
      <c r="C23" s="17">
        <f>B23*(1+Inputs!$B$30)</f>
        <v>82.97777291547321</v>
      </c>
      <c r="D23" s="17">
        <f>C23*(1+Inputs!$B$30)</f>
        <v>84.63732837378268</v>
      </c>
      <c r="E23" s="17">
        <f>D23*(1+Inputs!$B$30)</f>
        <v>86.330074941258331</v>
      </c>
      <c r="F23" s="17">
        <f>E23*(1+Inputs!$B$30)</f>
        <v>88.056676440083493</v>
      </c>
      <c r="G23" s="17">
        <f>F23*(1+Inputs!$B$30)</f>
        <v>89.817809968885157</v>
      </c>
      <c r="H23" s="17">
        <f>G23*(1+Inputs!$B$30)</f>
        <v>91.614166168262855</v>
      </c>
      <c r="I23" s="17">
        <f>H23*(1+Inputs!$B$30)</f>
        <v>93.446449491628115</v>
      </c>
      <c r="J23" s="17">
        <f>I23*(1+Inputs!$B$30)</f>
        <v>95.315378481460684</v>
      </c>
      <c r="K23" s="17">
        <f>J23*(1+Inputs!$B$30)</f>
        <v>97.221686051089904</v>
      </c>
      <c r="L23" s="17">
        <f>K23*(1+Inputs!$B$30)</f>
        <v>99.166119772111699</v>
      </c>
    </row>
    <row r="24" spans="1:14">
      <c r="A24" s="4" t="s">
        <v>102</v>
      </c>
      <c r="B24" s="15"/>
      <c r="C24" s="18">
        <f t="shared" ref="C24:L24" si="5">C22*C23</f>
        <v>1472.8554692496496</v>
      </c>
      <c r="D24" s="18">
        <f t="shared" si="5"/>
        <v>2190.2215083914466</v>
      </c>
      <c r="E24" s="18">
        <f t="shared" si="5"/>
        <v>2792.5324231990926</v>
      </c>
      <c r="F24" s="18">
        <f t="shared" si="5"/>
        <v>3560.4788395788437</v>
      </c>
      <c r="G24" s="18">
        <f t="shared" si="5"/>
        <v>4539.6105204630258</v>
      </c>
      <c r="H24" s="18">
        <f t="shared" si="5"/>
        <v>2941.4443577262505</v>
      </c>
      <c r="I24" s="18">
        <f t="shared" si="5"/>
        <v>3300.3005693688528</v>
      </c>
      <c r="J24" s="18">
        <f t="shared" si="5"/>
        <v>3702.9372388318516</v>
      </c>
      <c r="K24" s="18">
        <f t="shared" si="5"/>
        <v>4154.6955819693376</v>
      </c>
      <c r="L24" s="18">
        <f t="shared" si="5"/>
        <v>4661.5684429695975</v>
      </c>
    </row>
    <row r="25" spans="1:14">
      <c r="A25" s="4" t="s">
        <v>103</v>
      </c>
      <c r="B25" s="15"/>
      <c r="C25" s="18"/>
      <c r="D25" s="18"/>
      <c r="E25" s="18"/>
      <c r="F25" s="18"/>
      <c r="G25" s="18"/>
      <c r="H25" s="18"/>
      <c r="I25" s="18"/>
      <c r="J25" s="18"/>
      <c r="K25" s="18"/>
      <c r="L25" s="18">
        <f>(L21*Inputs!B20*Valuation!L23*(1+Inputs!B30))/(Inputs!B34-Inputs!B30)</f>
        <v>4217.9675750095848</v>
      </c>
    </row>
    <row r="26" spans="1:14" ht="17" thickBot="1">
      <c r="A26" s="4" t="s">
        <v>11</v>
      </c>
      <c r="B26" s="40"/>
      <c r="C26" s="20">
        <f>C24/(1+Inputs!$B$34)^Valuation!C20</f>
        <v>1338.9595174996814</v>
      </c>
      <c r="D26" s="20">
        <f>D24/(1+Inputs!$B$34)^Valuation!D20</f>
        <v>1810.10042015822</v>
      </c>
      <c r="E26" s="20">
        <f>E24/(1+Inputs!$B$34)^Valuation!E20</f>
        <v>2098.070941547026</v>
      </c>
      <c r="F26" s="20">
        <f>F24/(1+Inputs!$B$34)^Valuation!F20</f>
        <v>2431.8549549749628</v>
      </c>
      <c r="G26" s="20">
        <f>G24/(1+Inputs!$B$34)^Valuation!G20</f>
        <v>2818.740970539161</v>
      </c>
      <c r="H26" s="20">
        <f>H24/(1+Inputs!$B$34)^Valuation!H20</f>
        <v>1660.368656640245</v>
      </c>
      <c r="I26" s="20">
        <f>I24/(1+Inputs!$B$34)^Valuation!I20</f>
        <v>1693.5760297730496</v>
      </c>
      <c r="J26" s="20">
        <f>J24/(1+Inputs!$B$34)^Valuation!J20</f>
        <v>1727.4475503685101</v>
      </c>
      <c r="K26" s="20">
        <f>K24/(1+Inputs!$B$34)^Valuation!K20</f>
        <v>1761.9965013758801</v>
      </c>
      <c r="L26" s="20">
        <f>(L25+L24)/(1+Inputs!B34)^Valuation!L20</f>
        <v>3423.4455249796974</v>
      </c>
    </row>
    <row r="27" spans="1:14" ht="17" thickBot="1">
      <c r="A27" s="39" t="s">
        <v>36</v>
      </c>
      <c r="B27" s="44">
        <f>SUM(C26:L26)</f>
        <v>20764.561067856434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</row>
    <row r="29" spans="1:14">
      <c r="A29" s="1" t="s">
        <v>79</v>
      </c>
    </row>
    <row r="30" spans="1:14">
      <c r="B30" t="str">
        <f t="shared" ref="B30:L30" si="6">B20</f>
        <v>Base Year</v>
      </c>
      <c r="C30">
        <f t="shared" si="6"/>
        <v>1</v>
      </c>
      <c r="D30">
        <f t="shared" si="6"/>
        <v>2</v>
      </c>
      <c r="E30">
        <f t="shared" si="6"/>
        <v>3</v>
      </c>
      <c r="F30">
        <f t="shared" si="6"/>
        <v>4</v>
      </c>
      <c r="G30">
        <f t="shared" si="6"/>
        <v>5</v>
      </c>
      <c r="H30">
        <f t="shared" si="6"/>
        <v>6</v>
      </c>
      <c r="I30">
        <f t="shared" si="6"/>
        <v>7</v>
      </c>
      <c r="J30">
        <f t="shared" si="6"/>
        <v>8</v>
      </c>
      <c r="K30">
        <f t="shared" si="6"/>
        <v>9</v>
      </c>
      <c r="L30">
        <f t="shared" si="6"/>
        <v>10</v>
      </c>
    </row>
    <row r="31" spans="1:14">
      <c r="A31" t="s">
        <v>80</v>
      </c>
      <c r="B31" s="12">
        <f>Inputs!B25</f>
        <v>513.58024691358025</v>
      </c>
      <c r="C31" s="12">
        <f>$B$31*(1+Inputs!$B$26)^Valuation!C30</f>
        <v>564.93827160493834</v>
      </c>
      <c r="D31" s="12">
        <f>$B$31*(1+Inputs!$B$26)^Valuation!D30</f>
        <v>621.43209876543222</v>
      </c>
      <c r="E31" s="12">
        <f>$B$31*(1+Inputs!$B$26)^Valuation!E30</f>
        <v>683.57530864197554</v>
      </c>
      <c r="F31" s="12">
        <f>$B$31*(1+Inputs!$B$26)^Valuation!F30</f>
        <v>751.93283950617308</v>
      </c>
      <c r="G31" s="12">
        <f>$B$31*(1+Inputs!$B$26)^Valuation!G30</f>
        <v>827.12612345679042</v>
      </c>
      <c r="H31" s="12">
        <f>G31*(1+Inputs!$B$27)</f>
        <v>868.48242962963002</v>
      </c>
      <c r="I31" s="12">
        <f>H31*(1+Inputs!$B$27)</f>
        <v>911.90655111111153</v>
      </c>
      <c r="J31" s="12">
        <f>I31*(1+Inputs!$B$27)</f>
        <v>957.50187866666715</v>
      </c>
      <c r="K31" s="12">
        <f>J31*(1+Inputs!$B$27)</f>
        <v>1005.3769726000005</v>
      </c>
      <c r="L31" s="12">
        <f>K31*(1+Inputs!$B$27)</f>
        <v>1055.6458212300006</v>
      </c>
    </row>
    <row r="32" spans="1:14">
      <c r="A32" t="s">
        <v>82</v>
      </c>
      <c r="B32" s="12">
        <f t="shared" ref="B32:L32" si="7">B31*(B6/B5)</f>
        <v>406.960987654321</v>
      </c>
      <c r="C32" s="12">
        <f t="shared" si="7"/>
        <v>441.13780846218384</v>
      </c>
      <c r="D32" s="12">
        <f t="shared" si="7"/>
        <v>478.18481859031868</v>
      </c>
      <c r="E32" s="12">
        <f t="shared" si="7"/>
        <v>518.34305820979694</v>
      </c>
      <c r="F32" s="12">
        <f t="shared" si="7"/>
        <v>561.87381018566816</v>
      </c>
      <c r="G32" s="12">
        <f t="shared" si="7"/>
        <v>609.06030007019262</v>
      </c>
      <c r="H32" s="12">
        <f t="shared" si="7"/>
        <v>633.30444793706454</v>
      </c>
      <c r="I32" s="12">
        <f t="shared" si="7"/>
        <v>658.51365411708355</v>
      </c>
      <c r="J32" s="12">
        <f t="shared" si="7"/>
        <v>684.72633355281209</v>
      </c>
      <c r="K32" s="12">
        <f t="shared" si="7"/>
        <v>711.98243032530263</v>
      </c>
      <c r="L32" s="12">
        <f t="shared" si="7"/>
        <v>740.32347852271755</v>
      </c>
    </row>
    <row r="33" spans="1:12">
      <c r="A33" t="s">
        <v>81</v>
      </c>
      <c r="B33" s="13">
        <f t="shared" ref="B33:L33" si="8">B31-B32</f>
        <v>106.61925925925925</v>
      </c>
      <c r="C33" s="13">
        <f t="shared" si="8"/>
        <v>123.8004631427545</v>
      </c>
      <c r="D33" s="13">
        <f t="shared" si="8"/>
        <v>143.24728017511353</v>
      </c>
      <c r="E33" s="13">
        <f t="shared" si="8"/>
        <v>165.2322504321786</v>
      </c>
      <c r="F33" s="13">
        <f t="shared" si="8"/>
        <v>190.05902932050492</v>
      </c>
      <c r="G33" s="13">
        <f t="shared" si="8"/>
        <v>218.0658233865978</v>
      </c>
      <c r="H33" s="13">
        <f t="shared" si="8"/>
        <v>235.17798169256548</v>
      </c>
      <c r="I33" s="13">
        <f t="shared" si="8"/>
        <v>253.39289699402798</v>
      </c>
      <c r="J33" s="13">
        <f t="shared" si="8"/>
        <v>272.77554511385506</v>
      </c>
      <c r="K33" s="13">
        <f t="shared" si="8"/>
        <v>293.39454227469787</v>
      </c>
      <c r="L33" s="13">
        <f t="shared" si="8"/>
        <v>315.32234270728304</v>
      </c>
    </row>
    <row r="34" spans="1:12">
      <c r="A34" t="s">
        <v>55</v>
      </c>
      <c r="B34" s="12">
        <f t="shared" ref="B34:L34" si="9">B33*(1-B8)</f>
        <v>79.964444444444439</v>
      </c>
      <c r="C34" s="12">
        <f t="shared" si="9"/>
        <v>92.850347357065871</v>
      </c>
      <c r="D34" s="12">
        <f t="shared" si="9"/>
        <v>107.43546013133515</v>
      </c>
      <c r="E34" s="12">
        <f t="shared" si="9"/>
        <v>123.92418782413395</v>
      </c>
      <c r="F34" s="12">
        <f t="shared" si="9"/>
        <v>142.54427199037869</v>
      </c>
      <c r="G34" s="12">
        <f t="shared" si="9"/>
        <v>163.54936753994835</v>
      </c>
      <c r="H34" s="12">
        <f t="shared" si="9"/>
        <v>176.38348626942411</v>
      </c>
      <c r="I34" s="12">
        <f t="shared" si="9"/>
        <v>190.04467274552098</v>
      </c>
      <c r="J34" s="12">
        <f t="shared" si="9"/>
        <v>204.58165883539129</v>
      </c>
      <c r="K34" s="12">
        <f t="shared" si="9"/>
        <v>220.0459067060234</v>
      </c>
      <c r="L34" s="12">
        <f t="shared" si="9"/>
        <v>236.49175703046228</v>
      </c>
    </row>
    <row r="35" spans="1:12">
      <c r="A35" t="s">
        <v>85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>
        <f>L34*(1+Inputs!B29)/(Inputs!B32-Inputs!B29)</f>
        <v>4304.987116917353</v>
      </c>
    </row>
    <row r="36" spans="1:12">
      <c r="A36" t="s">
        <v>83</v>
      </c>
      <c r="B36" s="19"/>
      <c r="C36" s="12">
        <f>C34/(1+Inputs!$B$32)^Valuation!C30</f>
        <v>85.576357011120621</v>
      </c>
      <c r="D36" s="12">
        <f>D34/(1+Inputs!$B$32)^Valuation!D30</f>
        <v>91.261619598067611</v>
      </c>
      <c r="E36" s="12">
        <f>E34/(1+Inputs!$B$32)^Valuation!E30</f>
        <v>97.021250238965237</v>
      </c>
      <c r="F36" s="12">
        <f>F34/(1+Inputs!$B$32)^Valuation!F30</f>
        <v>102.85628103795396</v>
      </c>
      <c r="G36" s="12">
        <f>G34/(1+Inputs!$B$32)^Valuation!G30</f>
        <v>108.76775836416098</v>
      </c>
      <c r="H36" s="12">
        <f>H34/(1+Inputs!$B$32)^Valuation!H30</f>
        <v>108.11339196971359</v>
      </c>
      <c r="I36" s="12">
        <f>I34/(1+Inputs!$B$32)^Valuation!I30</f>
        <v>107.36124345792634</v>
      </c>
      <c r="J36" s="12">
        <f>J34/(1+Inputs!$B$32)^Valuation!J30</f>
        <v>106.51941931881184</v>
      </c>
      <c r="K36" s="12">
        <f>K34/(1+Inputs!$B$32)^Valuation!K30</f>
        <v>105.5955582644882</v>
      </c>
      <c r="L36" s="12">
        <f>(L34+L35)/(1+Inputs!$B$32)^Valuation!L30</f>
        <v>2008.6298686453013</v>
      </c>
    </row>
    <row r="37" spans="1:12">
      <c r="A37" t="s">
        <v>84</v>
      </c>
      <c r="B37" s="78">
        <f>SUM(C36:L36)</f>
        <v>2921.7027479065096</v>
      </c>
    </row>
    <row r="39" spans="1:12">
      <c r="A39" s="1" t="s">
        <v>37</v>
      </c>
    </row>
    <row r="40" spans="1:12">
      <c r="B40" t="str">
        <f t="shared" ref="B40:L40" si="10">B30</f>
        <v>Base Year</v>
      </c>
      <c r="C40">
        <f t="shared" si="10"/>
        <v>1</v>
      </c>
      <c r="D40">
        <f t="shared" si="10"/>
        <v>2</v>
      </c>
      <c r="E40">
        <f t="shared" si="10"/>
        <v>3</v>
      </c>
      <c r="F40">
        <f t="shared" si="10"/>
        <v>4</v>
      </c>
      <c r="G40">
        <f t="shared" si="10"/>
        <v>5</v>
      </c>
      <c r="H40">
        <f t="shared" si="10"/>
        <v>6</v>
      </c>
      <c r="I40">
        <f t="shared" si="10"/>
        <v>7</v>
      </c>
      <c r="J40">
        <f t="shared" si="10"/>
        <v>8</v>
      </c>
      <c r="K40">
        <f t="shared" si="10"/>
        <v>9</v>
      </c>
      <c r="L40">
        <f t="shared" si="10"/>
        <v>10</v>
      </c>
    </row>
    <row r="41" spans="1:12">
      <c r="A41" s="2" t="s">
        <v>133</v>
      </c>
      <c r="B41" s="64">
        <f>Inputs!B10</f>
        <v>814.81481481481478</v>
      </c>
      <c r="C41" s="71"/>
      <c r="D41" s="71"/>
      <c r="E41" s="71"/>
      <c r="F41" s="71"/>
      <c r="G41" s="71"/>
      <c r="H41" s="71"/>
      <c r="I41" s="71"/>
      <c r="J41" s="71"/>
      <c r="K41" s="71"/>
      <c r="L41" s="71"/>
    </row>
    <row r="42" spans="1:12">
      <c r="A42" t="s">
        <v>38</v>
      </c>
      <c r="B42" s="23">
        <f>B41</f>
        <v>814.81481481481478</v>
      </c>
      <c r="C42" s="24">
        <f>B42*(1+Inputs!$B$23)</f>
        <v>855.55555555555554</v>
      </c>
      <c r="D42" s="24">
        <f>C42*(1+Inputs!$B$23)</f>
        <v>898.33333333333337</v>
      </c>
      <c r="E42" s="24">
        <f>D42*(1+Inputs!$B$23)</f>
        <v>943.25000000000011</v>
      </c>
      <c r="F42" s="24">
        <f>E42*(1+Inputs!$B$23)</f>
        <v>990.41250000000014</v>
      </c>
      <c r="G42" s="24">
        <f>F42*(1+Inputs!$B$23)</f>
        <v>1039.9331250000002</v>
      </c>
      <c r="H42" s="24">
        <f>G42*(1+Inputs!$B$23)</f>
        <v>1091.9297812500004</v>
      </c>
      <c r="I42" s="24">
        <f>H42*(1+Inputs!$B$23)</f>
        <v>1146.5262703125004</v>
      </c>
      <c r="J42" s="24">
        <f>I42*(1+Inputs!$B$23)</f>
        <v>1203.8525838281255</v>
      </c>
      <c r="K42" s="24">
        <f>J42*(1+Inputs!$B$23)</f>
        <v>1264.0452130195317</v>
      </c>
      <c r="L42" s="24">
        <f>K42*(1+Inputs!$B$23)</f>
        <v>1327.2474736705083</v>
      </c>
    </row>
    <row r="43" spans="1:12">
      <c r="A43" t="s">
        <v>39</v>
      </c>
      <c r="B43" s="19"/>
      <c r="C43" s="12">
        <f t="shared" ref="C43:L43" si="11">C42*(1-C8)</f>
        <v>641.66666666666663</v>
      </c>
      <c r="D43" s="12">
        <f t="shared" si="11"/>
        <v>673.75</v>
      </c>
      <c r="E43" s="12">
        <f t="shared" si="11"/>
        <v>707.43750000000011</v>
      </c>
      <c r="F43" s="12">
        <f t="shared" si="11"/>
        <v>742.80937500000005</v>
      </c>
      <c r="G43" s="12">
        <f t="shared" si="11"/>
        <v>779.94984375000013</v>
      </c>
      <c r="H43" s="12">
        <f t="shared" si="11"/>
        <v>818.94733593750027</v>
      </c>
      <c r="I43" s="12">
        <f t="shared" si="11"/>
        <v>859.8947027343753</v>
      </c>
      <c r="J43" s="12">
        <f t="shared" si="11"/>
        <v>902.88943787109406</v>
      </c>
      <c r="K43" s="12">
        <f t="shared" si="11"/>
        <v>948.0339097646488</v>
      </c>
      <c r="L43" s="12">
        <f t="shared" si="11"/>
        <v>995.43560525288126</v>
      </c>
    </row>
    <row r="44" spans="1:12">
      <c r="A44" t="s">
        <v>40</v>
      </c>
      <c r="B44" s="19"/>
      <c r="C44" s="12"/>
      <c r="D44" s="12"/>
      <c r="E44" s="12"/>
      <c r="F44" s="12"/>
      <c r="G44" s="12"/>
      <c r="H44" s="12"/>
      <c r="I44" s="12"/>
      <c r="J44" s="12"/>
      <c r="K44" s="12"/>
      <c r="L44" s="12">
        <f>L43*(1+Inputs!B29)/(Inputs!B32-Inputs!B29)</f>
        <v>18120.451681461738</v>
      </c>
    </row>
    <row r="45" spans="1:12" ht="17" thickBot="1">
      <c r="A45" t="s">
        <v>41</v>
      </c>
      <c r="B45" s="21"/>
      <c r="C45" s="24">
        <f>C43/(1+Inputs!$B$32)^Valuation!C20</f>
        <v>591.39784946236557</v>
      </c>
      <c r="D45" s="24">
        <f>D43/(1+Inputs!$B$32)^Valuation!D20</f>
        <v>572.3204994797087</v>
      </c>
      <c r="E45" s="24">
        <f>E43/(1+Inputs!$B$32)^Valuation!E20</f>
        <v>553.85854788358904</v>
      </c>
      <c r="F45" s="24">
        <f>F43/(1+Inputs!$B$32)^Valuation!F20</f>
        <v>535.99214311315075</v>
      </c>
      <c r="G45" s="24">
        <f>G43/(1+Inputs!$B$32)^Valuation!G20</f>
        <v>518.70207398046853</v>
      </c>
      <c r="H45" s="24">
        <f>H43/(1+Inputs!$B$32)^Valuation!H20</f>
        <v>501.96974901335676</v>
      </c>
      <c r="I45" s="24">
        <f>I43/(1+Inputs!$B$32)^Valuation!I20</f>
        <v>485.77717646453874</v>
      </c>
      <c r="J45" s="24">
        <f>J43/(1+Inputs!$B$32)^Valuation!J20</f>
        <v>470.10694496568271</v>
      </c>
      <c r="K45" s="24">
        <f>K43/(1+Inputs!$B$32)^Valuation!K20</f>
        <v>454.94220480549944</v>
      </c>
      <c r="L45" s="24">
        <f>(L43+L44)/(1+Inputs!$B$32)^Valuation!L20</f>
        <v>8454.6781424030851</v>
      </c>
    </row>
    <row r="46" spans="1:12" ht="17" thickBot="1">
      <c r="A46" t="s">
        <v>44</v>
      </c>
      <c r="B46" s="48">
        <f>SUM(C45:L45)</f>
        <v>13139.745331571445</v>
      </c>
      <c r="C46" s="47"/>
      <c r="D46" s="47"/>
      <c r="E46" s="47"/>
      <c r="F46" s="47"/>
      <c r="G46" s="47"/>
      <c r="H46" s="47"/>
      <c r="I46" s="47"/>
      <c r="J46" s="47"/>
      <c r="K46" s="47"/>
      <c r="L46" s="47"/>
    </row>
    <row r="47" spans="1:12" ht="17" thickBot="1"/>
    <row r="48" spans="1:12" ht="17" thickBot="1">
      <c r="A48" s="102" t="s">
        <v>134</v>
      </c>
      <c r="B48" s="104"/>
    </row>
    <row r="49" spans="1:2">
      <c r="A49" s="90" t="s">
        <v>135</v>
      </c>
      <c r="B49" s="91">
        <f>B21*B12</f>
        <v>7714.2813360804221</v>
      </c>
    </row>
    <row r="50" spans="1:2">
      <c r="A50" s="92" t="s">
        <v>136</v>
      </c>
      <c r="B50" s="93">
        <f>SUM(C26:L26)</f>
        <v>20764.561067856434</v>
      </c>
    </row>
    <row r="51" spans="1:2">
      <c r="A51" s="92" t="s">
        <v>84</v>
      </c>
      <c r="B51" s="93">
        <f>SUM(B37)</f>
        <v>2921.7027479065096</v>
      </c>
    </row>
    <row r="52" spans="1:2">
      <c r="A52" s="92" t="s">
        <v>63</v>
      </c>
      <c r="B52" s="93">
        <f>SUM(C45:L45)</f>
        <v>13139.745331571445</v>
      </c>
    </row>
    <row r="53" spans="1:2">
      <c r="A53" s="94" t="s">
        <v>88</v>
      </c>
      <c r="B53" s="93">
        <f>SUM(B49:B51)-B52</f>
        <v>18260.799820271921</v>
      </c>
    </row>
    <row r="54" spans="1:2">
      <c r="A54" s="94" t="s">
        <v>86</v>
      </c>
      <c r="B54" s="93">
        <f>Inputs!B36+Inputs!B37</f>
        <v>2987.4197530864194</v>
      </c>
    </row>
    <row r="55" spans="1:2">
      <c r="A55" s="94" t="s">
        <v>49</v>
      </c>
      <c r="B55" s="93">
        <f>Inputs!B38</f>
        <v>0</v>
      </c>
    </row>
    <row r="56" spans="1:2">
      <c r="A56" s="95" t="s">
        <v>87</v>
      </c>
      <c r="B56" s="88">
        <f>B49+B50+B51-B52+B54-B55</f>
        <v>21248.219573358339</v>
      </c>
    </row>
    <row r="57" spans="1:2">
      <c r="A57" s="96" t="s">
        <v>138</v>
      </c>
      <c r="B57" s="97">
        <f>Inputs!B39</f>
        <v>1659.6049382716049</v>
      </c>
    </row>
    <row r="58" spans="1:2" ht="17" thickBot="1">
      <c r="A58" s="98" t="s">
        <v>139</v>
      </c>
      <c r="B58" s="99">
        <f>B56-B57</f>
        <v>19588.614635086735</v>
      </c>
    </row>
  </sheetData>
  <mergeCells count="1">
    <mergeCell ref="A48:B48"/>
  </mergeCells>
  <pageMargins left="0.7" right="0.7" top="0.75" bottom="0.75" header="0.3" footer="0.3"/>
  <pageSetup orientation="portrait" horizontalDpi="0" verticalDpi="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7"/>
  <sheetViews>
    <sheetView workbookViewId="0">
      <selection activeCell="B2" sqref="B2:B7"/>
    </sheetView>
  </sheetViews>
  <sheetFormatPr baseColWidth="10" defaultRowHeight="16"/>
  <cols>
    <col min="2" max="2" width="39.6640625" customWidth="1"/>
  </cols>
  <sheetData>
    <row r="1" spans="1:2">
      <c r="A1" s="1" t="s">
        <v>12</v>
      </c>
      <c r="B1" s="1" t="s">
        <v>16</v>
      </c>
    </row>
    <row r="2" spans="1:2">
      <c r="A2" t="s">
        <v>13</v>
      </c>
      <c r="B2" t="s">
        <v>17</v>
      </c>
    </row>
    <row r="3" spans="1:2">
      <c r="A3" t="s">
        <v>14</v>
      </c>
      <c r="B3" t="s">
        <v>18</v>
      </c>
    </row>
    <row r="4" spans="1:2">
      <c r="B4" t="s">
        <v>19</v>
      </c>
    </row>
    <row r="5" spans="1:2">
      <c r="B5" t="s">
        <v>20</v>
      </c>
    </row>
    <row r="6" spans="1:2">
      <c r="B6" t="s">
        <v>21</v>
      </c>
    </row>
    <row r="7" spans="1:2">
      <c r="B7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Inputs</vt:lpstr>
      <vt:lpstr>Valuation</vt:lpstr>
      <vt:lpstr>Input choices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2017-06-26T12:13:33Z</dcterms:created>
  <dcterms:modified xsi:type="dcterms:W3CDTF">2018-03-24T17:29:06Z</dcterms:modified>
</cp:coreProperties>
</file>