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25600" windowHeight="16060" tabRatio="500" activeTab="1"/>
  </bookViews>
  <sheets>
    <sheet name="Vale Cost of Capital" sheetId="5" r:id="rId1"/>
    <sheet name="Vale's Business Risk" sheetId="1" r:id="rId2"/>
    <sheet name="Vale's Financial Leverage" sheetId="2" r:id="rId3"/>
    <sheet name="Vale Operating Leases" sheetId="3" r:id="rId4"/>
    <sheet name="Vale Equity Risk Premium" sheetId="4" r:id="rId5"/>
  </sheets>
  <calcPr calcId="140000" iterate="1" iterateDelta="9.9999999999994494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" i="5" l="1"/>
  <c r="G2" i="1"/>
  <c r="G3" i="1"/>
  <c r="G4" i="1"/>
  <c r="G5" i="1"/>
  <c r="G6" i="1"/>
  <c r="H2" i="1"/>
  <c r="H3" i="1"/>
  <c r="H4" i="1"/>
  <c r="H5" i="1"/>
  <c r="D6" i="1"/>
  <c r="B2" i="5"/>
  <c r="B23" i="3"/>
  <c r="C23" i="3"/>
  <c r="B24" i="3"/>
  <c r="C24" i="3"/>
  <c r="B25" i="3"/>
  <c r="C25" i="3"/>
  <c r="B26" i="3"/>
  <c r="C26" i="3"/>
  <c r="B27" i="3"/>
  <c r="C27" i="3"/>
  <c r="D19" i="3"/>
  <c r="B28" i="3"/>
  <c r="C28" i="3"/>
  <c r="C29" i="3"/>
  <c r="B7" i="2"/>
  <c r="B8" i="2"/>
  <c r="B14" i="2"/>
  <c r="B3" i="5"/>
  <c r="B5" i="5"/>
  <c r="B9" i="5"/>
  <c r="B15" i="2"/>
  <c r="B15" i="5"/>
  <c r="B16" i="5"/>
  <c r="B12" i="2"/>
  <c r="B13" i="5"/>
  <c r="B12" i="5"/>
  <c r="B6" i="2"/>
  <c r="B5" i="2"/>
  <c r="C12" i="3"/>
  <c r="B11" i="5"/>
  <c r="C10" i="4"/>
  <c r="B10" i="4"/>
  <c r="E2" i="1"/>
  <c r="E3" i="1"/>
  <c r="H6" i="1"/>
  <c r="E6" i="1"/>
</calcChain>
</file>

<file path=xl/sharedStrings.xml><?xml version="1.0" encoding="utf-8"?>
<sst xmlns="http://schemas.openxmlformats.org/spreadsheetml/2006/main" count="88" uniqueCount="84">
  <si>
    <t>Business</t>
  </si>
  <si>
    <t>Sample</t>
  </si>
  <si>
    <t>Sample size</t>
  </si>
  <si>
    <t>Unlevered beta of business</t>
  </si>
  <si>
    <t>Revenues</t>
  </si>
  <si>
    <t>Peer Group EV/Sales</t>
  </si>
  <si>
    <t>Value of Business</t>
  </si>
  <si>
    <t>Proportion of Vale</t>
  </si>
  <si>
    <t>Metals &amp; Mining</t>
  </si>
  <si>
    <t>Global firms in metals &amp; mining, Market cap&gt;$1 billion</t>
  </si>
  <si>
    <t>Iron Ore</t>
  </si>
  <si>
    <t>Global firms in iron ore</t>
  </si>
  <si>
    <t>Fertilizers</t>
  </si>
  <si>
    <t>Global specialty chemical firms</t>
  </si>
  <si>
    <t>Logistics</t>
  </si>
  <si>
    <t>Global transportation firms</t>
  </si>
  <si>
    <t>Vale Operations</t>
  </si>
  <si>
    <t>Book value of Debt</t>
  </si>
  <si>
    <t>Interest expense</t>
  </si>
  <si>
    <t>Average maturity of debt</t>
  </si>
  <si>
    <t>Pre-tax cost of debt</t>
  </si>
  <si>
    <t>Market value of Debt</t>
  </si>
  <si>
    <t>Lease debt (if any)</t>
  </si>
  <si>
    <t xml:space="preserve">Market value of Equity </t>
  </si>
  <si>
    <t xml:space="preserve">Market D/E ratio </t>
  </si>
  <si>
    <t>Debt</t>
  </si>
  <si>
    <t>Equity</t>
  </si>
  <si>
    <t>Number of shares</t>
  </si>
  <si>
    <t>Share price (in US$)</t>
  </si>
  <si>
    <t>Total Debt</t>
  </si>
  <si>
    <t>Operating lease inputs</t>
  </si>
  <si>
    <t>Operating lease expense in current year =</t>
  </si>
  <si>
    <t>Operating Lease Commitments (From footnote to financials)</t>
  </si>
  <si>
    <t>Year</t>
  </si>
  <si>
    <t>Commitment</t>
  </si>
  <si>
    <t>! Year 1 is next year, ….</t>
  </si>
  <si>
    <t>6 and beyond</t>
  </si>
  <si>
    <t>Pre-tax Cost of Debt =</t>
  </si>
  <si>
    <t>! If you do not have a cost of debt, use the attached ratings estimator</t>
  </si>
  <si>
    <t>From the current financial statements, enter the following</t>
  </si>
  <si>
    <t>Reported Operating Income (EBIT) =</t>
  </si>
  <si>
    <t>! This is the EBIT reported in the current income statement</t>
  </si>
  <si>
    <t>Reported Debt =</t>
  </si>
  <si>
    <t>! This is the interest-bearing debt reported on the balance sheet</t>
  </si>
  <si>
    <t>Reported Interest Expenses =</t>
  </si>
  <si>
    <t>Output</t>
  </si>
  <si>
    <t>Number of years embedded in yr 6 estimate =</t>
  </si>
  <si>
    <t>! I use the average lease expense over the first five years</t>
  </si>
  <si>
    <t>to estimate the number of years of expenses in yr 6</t>
  </si>
  <si>
    <t>Converting Operating Leases into debt</t>
  </si>
  <si>
    <t>Present Value</t>
  </si>
  <si>
    <t>! Commitment beyond year 6 converted into an annuity for ten years</t>
  </si>
  <si>
    <t>Debt Value of leases =</t>
  </si>
  <si>
    <t>US &amp; Canada</t>
  </si>
  <si>
    <t>Brazil</t>
  </si>
  <si>
    <t>Rest of Latin America</t>
  </si>
  <si>
    <t>China</t>
  </si>
  <si>
    <t>Japan</t>
  </si>
  <si>
    <t>Rest of Asia</t>
  </si>
  <si>
    <t>Europe</t>
  </si>
  <si>
    <t>Rest of World</t>
  </si>
  <si>
    <t>Company</t>
  </si>
  <si>
    <t>ERP for region</t>
  </si>
  <si>
    <t>Proportion of Vale's revenues in 2012</t>
  </si>
  <si>
    <t xml:space="preserve">Market Debt to Capital ratio </t>
  </si>
  <si>
    <t>Unlevered beta for business =</t>
  </si>
  <si>
    <t>Market D/E ratio =</t>
  </si>
  <si>
    <t>Risk free rate =</t>
  </si>
  <si>
    <t>Cost of Equity</t>
  </si>
  <si>
    <t>Cost of debt =</t>
  </si>
  <si>
    <t>Marginal tax rate =</t>
  </si>
  <si>
    <t>After-tax cost of debt =</t>
  </si>
  <si>
    <t>Debt/Capital ratio =</t>
  </si>
  <si>
    <t>Cost of Capital =</t>
  </si>
  <si>
    <t>Marginal tax rate for Brazil =</t>
  </si>
  <si>
    <t>Debt Ratios</t>
  </si>
  <si>
    <t>(See Vale Financial Leverage worksheet)</t>
  </si>
  <si>
    <t>(See Vale Business risk worksheet)</t>
  </si>
  <si>
    <t>Brazil marginal tax rate</t>
  </si>
  <si>
    <t>US dollar risk free rate (because the valuation is in US $)</t>
  </si>
  <si>
    <t>ERP for Vale =</t>
  </si>
  <si>
    <t>Levered beta for Vale =</t>
  </si>
  <si>
    <t>(See Vale Equity Risk Premium Page)</t>
  </si>
  <si>
    <t>(Based on actual rating for Vale from S&amp;P of A-, with default spread of 1.30%)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</si>
</sst>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&quot;$&quot;#,##0"/>
    <numFmt numFmtId="165" formatCode="0.0000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sz val="10"/>
      <name val="Verdana"/>
    </font>
    <font>
      <b/>
      <sz val="10"/>
      <name val="Verdana"/>
    </font>
    <font>
      <b/>
      <i/>
      <sz val="10"/>
      <name val="Verdana"/>
    </font>
    <font>
      <b/>
      <sz val="10"/>
      <name val="Times"/>
    </font>
    <font>
      <sz val="10"/>
      <name val="Times"/>
    </font>
    <font>
      <i/>
      <sz val="10"/>
      <name val="Times"/>
    </font>
    <font>
      <sz val="12"/>
      <color theme="1"/>
      <name val="Times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0" fontId="3" fillId="0" borderId="1" xfId="0" applyFont="1" applyBorder="1"/>
    <xf numFmtId="164" fontId="3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5" fillId="0" borderId="0" xfId="0" applyFont="1"/>
    <xf numFmtId="164" fontId="5" fillId="2" borderId="1" xfId="0" applyNumberFormat="1" applyFont="1" applyFill="1" applyBorder="1"/>
    <xf numFmtId="164" fontId="5" fillId="2" borderId="2" xfId="0" applyNumberFormat="1" applyFont="1" applyFill="1" applyBorder="1"/>
    <xf numFmtId="0" fontId="5" fillId="2" borderId="2" xfId="0" applyFont="1" applyFill="1" applyBorder="1"/>
    <xf numFmtId="10" fontId="5" fillId="2" borderId="4" xfId="0" applyNumberFormat="1" applyFont="1" applyFill="1" applyBorder="1"/>
    <xf numFmtId="164" fontId="5" fillId="2" borderId="3" xfId="0" applyNumberFormat="1" applyFont="1" applyFill="1" applyBorder="1"/>
    <xf numFmtId="0" fontId="7" fillId="0" borderId="0" xfId="0" applyFont="1"/>
    <xf numFmtId="2" fontId="0" fillId="3" borderId="5" xfId="0" applyNumberFormat="1" applyFill="1" applyBorder="1"/>
    <xf numFmtId="0" fontId="0" fillId="3" borderId="5" xfId="0" applyFill="1" applyBorder="1"/>
    <xf numFmtId="0" fontId="2" fillId="0" borderId="0" xfId="0" applyFont="1"/>
    <xf numFmtId="0" fontId="4" fillId="0" borderId="0" xfId="0" applyFont="1"/>
    <xf numFmtId="0" fontId="8" fillId="0" borderId="0" xfId="0" applyFont="1"/>
    <xf numFmtId="0" fontId="9" fillId="3" borderId="0" xfId="0" applyFont="1" applyFill="1"/>
    <xf numFmtId="44" fontId="9" fillId="2" borderId="1" xfId="0" applyNumberFormat="1" applyFont="1" applyFill="1" applyBorder="1"/>
    <xf numFmtId="0" fontId="0" fillId="3" borderId="0" xfId="0" applyFill="1"/>
    <xf numFmtId="0" fontId="10" fillId="3" borderId="0" xfId="0" applyFont="1" applyFill="1"/>
    <xf numFmtId="0" fontId="9" fillId="3" borderId="1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44" fontId="9" fillId="2" borderId="7" xfId="0" applyNumberFormat="1" applyFont="1" applyFill="1" applyBorder="1"/>
    <xf numFmtId="10" fontId="9" fillId="2" borderId="3" xfId="0" applyNumberFormat="1" applyFont="1" applyFill="1" applyBorder="1" applyAlignment="1">
      <alignment horizontal="center"/>
    </xf>
    <xf numFmtId="44" fontId="9" fillId="2" borderId="2" xfId="0" applyNumberFormat="1" applyFont="1" applyFill="1" applyBorder="1"/>
    <xf numFmtId="0" fontId="8" fillId="3" borderId="0" xfId="0" applyFont="1" applyFill="1"/>
    <xf numFmtId="44" fontId="8" fillId="3" borderId="0" xfId="0" applyNumberFormat="1" applyFont="1" applyFill="1"/>
    <xf numFmtId="0" fontId="9" fillId="2" borderId="1" xfId="0" applyFont="1" applyFill="1" applyBorder="1" applyAlignment="1">
      <alignment horizontal="center"/>
    </xf>
    <xf numFmtId="0" fontId="9" fillId="3" borderId="2" xfId="0" applyFont="1" applyFill="1" applyBorder="1"/>
    <xf numFmtId="44" fontId="9" fillId="3" borderId="1" xfId="0" applyNumberFormat="1" applyFont="1" applyFill="1" applyBorder="1"/>
    <xf numFmtId="44" fontId="9" fillId="3" borderId="1" xfId="1" applyFont="1" applyFill="1" applyBorder="1"/>
    <xf numFmtId="0" fontId="9" fillId="3" borderId="4" xfId="0" applyFont="1" applyFill="1" applyBorder="1"/>
    <xf numFmtId="44" fontId="9" fillId="3" borderId="5" xfId="0" applyNumberFormat="1" applyFont="1" applyFill="1" applyBorder="1"/>
    <xf numFmtId="44" fontId="9" fillId="3" borderId="5" xfId="1" applyFont="1" applyFill="1" applyBorder="1"/>
    <xf numFmtId="0" fontId="9" fillId="3" borderId="3" xfId="0" applyFont="1" applyFill="1" applyBorder="1"/>
    <xf numFmtId="44" fontId="9" fillId="3" borderId="3" xfId="0" applyNumberFormat="1" applyFont="1" applyFill="1" applyBorder="1"/>
    <xf numFmtId="0" fontId="11" fillId="0" borderId="1" xfId="0" applyFont="1" applyBorder="1" applyAlignment="1">
      <alignment horizontal="left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5" xfId="0" applyNumberFormat="1" applyFont="1" applyBorder="1" applyAlignment="1">
      <alignment horizontal="center" vertical="center" wrapText="1"/>
    </xf>
    <xf numFmtId="10" fontId="11" fillId="0" borderId="1" xfId="2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10" fontId="14" fillId="0" borderId="8" xfId="0" applyNumberFormat="1" applyFont="1" applyBorder="1" applyAlignment="1">
      <alignment horizontal="center" vertical="center" wrapText="1"/>
    </xf>
    <xf numFmtId="10" fontId="14" fillId="0" borderId="3" xfId="2" applyNumberFormat="1" applyFont="1" applyBorder="1" applyAlignment="1">
      <alignment horizontal="center" vertical="center" wrapText="1"/>
    </xf>
    <xf numFmtId="0" fontId="5" fillId="0" borderId="0" xfId="0" applyFont="1" applyFill="1" applyBorder="1"/>
    <xf numFmtId="10" fontId="2" fillId="0" borderId="3" xfId="2" applyNumberFormat="1" applyFont="1" applyBorder="1"/>
    <xf numFmtId="0" fontId="15" fillId="0" borderId="0" xfId="0" applyFont="1"/>
    <xf numFmtId="0" fontId="0" fillId="0" borderId="0" xfId="0" applyAlignment="1">
      <alignment horizontal="center"/>
    </xf>
    <xf numFmtId="2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0" fontId="15" fillId="0" borderId="3" xfId="0" applyNumberFormat="1" applyFont="1" applyBorder="1" applyAlignment="1">
      <alignment horizontal="center"/>
    </xf>
    <xf numFmtId="10" fontId="6" fillId="2" borderId="2" xfId="0" applyNumberFormat="1" applyFont="1" applyFill="1" applyBorder="1"/>
    <xf numFmtId="165" fontId="15" fillId="0" borderId="3" xfId="0" applyNumberFormat="1" applyFont="1" applyBorder="1" applyAlignment="1">
      <alignment horizontal="center"/>
    </xf>
    <xf numFmtId="10" fontId="15" fillId="0" borderId="3" xfId="2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</cellXfs>
  <cellStyles count="7">
    <cellStyle name="Currency" xfId="1" builtinId="4"/>
    <cellStyle name="Followed Hyperlink" xfId="4" builtinId="9" hidden="1"/>
    <cellStyle name="Followed Hyperlink" xfId="6" builtinId="9" hidden="1"/>
    <cellStyle name="Hyperlink" xfId="3" builtinId="8" hidden="1"/>
    <cellStyle name="Hyperlink" xfId="5" builtinId="8" hidden="1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E24" sqref="E24"/>
    </sheetView>
  </sheetViews>
  <sheetFormatPr baseColWidth="10" defaultRowHeight="15" x14ac:dyDescent="0"/>
  <cols>
    <col min="1" max="1" width="29.5" customWidth="1"/>
    <col min="2" max="2" width="28.1640625" style="56" customWidth="1"/>
  </cols>
  <sheetData>
    <row r="1" spans="1:3">
      <c r="A1" s="23" t="s">
        <v>26</v>
      </c>
    </row>
    <row r="2" spans="1:3">
      <c r="A2" s="55" t="s">
        <v>65</v>
      </c>
      <c r="B2" s="57">
        <f>'Vale''s Business Risk'!D6</f>
        <v>0.84400807190191929</v>
      </c>
      <c r="C2" t="s">
        <v>77</v>
      </c>
    </row>
    <row r="3" spans="1:3">
      <c r="A3" s="55" t="s">
        <v>66</v>
      </c>
      <c r="B3" s="58">
        <f>'Vale''s Financial Leverage'!B14</f>
        <v>0.61356611739572287</v>
      </c>
      <c r="C3" t="s">
        <v>76</v>
      </c>
    </row>
    <row r="4" spans="1:3" ht="16" thickBot="1">
      <c r="A4" s="55" t="s">
        <v>74</v>
      </c>
      <c r="B4" s="58">
        <v>0.34</v>
      </c>
      <c r="C4" t="s">
        <v>78</v>
      </c>
    </row>
    <row r="5" spans="1:3" ht="16" thickBot="1">
      <c r="A5" s="55" t="s">
        <v>81</v>
      </c>
      <c r="B5" s="62">
        <f>B2*(1+(1-B4)*B3)</f>
        <v>1.1857922106820764</v>
      </c>
    </row>
    <row r="6" spans="1:3">
      <c r="A6" s="55"/>
      <c r="B6" s="59"/>
    </row>
    <row r="7" spans="1:3">
      <c r="A7" s="55" t="s">
        <v>67</v>
      </c>
      <c r="B7" s="58">
        <v>2.6499999999999999E-2</v>
      </c>
      <c r="C7" t="s">
        <v>79</v>
      </c>
    </row>
    <row r="8" spans="1:3" ht="16" thickBot="1">
      <c r="A8" s="55" t="s">
        <v>80</v>
      </c>
      <c r="B8" s="58">
        <f>'Vale Equity Risk Premium'!C10</f>
        <v>6.5424611176703978E-2</v>
      </c>
      <c r="C8" t="s">
        <v>82</v>
      </c>
    </row>
    <row r="9" spans="1:3" ht="16" thickBot="1">
      <c r="A9" s="55" t="s">
        <v>68</v>
      </c>
      <c r="B9" s="60">
        <f>B7+B5*B8</f>
        <v>0.10407999432023909</v>
      </c>
    </row>
    <row r="10" spans="1:3">
      <c r="A10" s="55"/>
      <c r="B10" s="59"/>
    </row>
    <row r="11" spans="1:3">
      <c r="A11" s="55" t="s">
        <v>69</v>
      </c>
      <c r="B11" s="58">
        <f>B7+1.3%</f>
        <v>3.95E-2</v>
      </c>
      <c r="C11" t="s">
        <v>83</v>
      </c>
    </row>
    <row r="12" spans="1:3">
      <c r="A12" s="55" t="s">
        <v>70</v>
      </c>
      <c r="B12" s="58">
        <f>B4</f>
        <v>0.34</v>
      </c>
    </row>
    <row r="13" spans="1:3">
      <c r="A13" s="55" t="s">
        <v>71</v>
      </c>
      <c r="B13" s="58">
        <f>B11*(1-B12)</f>
        <v>2.6069999999999996E-2</v>
      </c>
    </row>
    <row r="14" spans="1:3">
      <c r="A14" s="55"/>
      <c r="B14" s="59"/>
    </row>
    <row r="15" spans="1:3" ht="16" thickBot="1">
      <c r="A15" s="55" t="s">
        <v>72</v>
      </c>
      <c r="B15" s="58">
        <f>'Vale''s Financial Leverage'!B15</f>
        <v>0.38025471084259721</v>
      </c>
    </row>
    <row r="16" spans="1:3" ht="16" thickBot="1">
      <c r="A16" s="55" t="s">
        <v>73</v>
      </c>
      <c r="B16" s="63">
        <f>B9*(1-B15)+B13*B15</f>
        <v>7.4416326487163925E-2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sqref="A1:H6"/>
    </sheetView>
  </sheetViews>
  <sheetFormatPr baseColWidth="10" defaultRowHeight="15" x14ac:dyDescent="0"/>
  <cols>
    <col min="2" max="2" width="37.83203125" customWidth="1"/>
  </cols>
  <sheetData>
    <row r="1" spans="1:8" ht="4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ht="30">
      <c r="A2" s="3" t="s">
        <v>8</v>
      </c>
      <c r="B2" s="4" t="s">
        <v>9</v>
      </c>
      <c r="C2" s="5">
        <v>48</v>
      </c>
      <c r="D2" s="64">
        <v>0.85529406421176368</v>
      </c>
      <c r="E2" s="7">
        <f>(19.2/88.9)*41730</f>
        <v>9012.5534308211463</v>
      </c>
      <c r="F2" s="6">
        <v>1.9682856377316245</v>
      </c>
      <c r="G2" s="7">
        <f>E2*F2</f>
        <v>17739.279477174139</v>
      </c>
      <c r="H2" s="8">
        <f>G2/$G$6</f>
        <v>0.16649930457409021</v>
      </c>
    </row>
    <row r="3" spans="1:8">
      <c r="A3" s="3" t="s">
        <v>10</v>
      </c>
      <c r="B3" s="4" t="s">
        <v>11</v>
      </c>
      <c r="C3" s="5">
        <v>78</v>
      </c>
      <c r="D3" s="64">
        <v>0.8333887347803004</v>
      </c>
      <c r="E3" s="7">
        <f>(69.7/88.9)*41730</f>
        <v>32717.446569178854</v>
      </c>
      <c r="F3" s="6">
        <v>2.4814951384870643</v>
      </c>
      <c r="G3" s="7">
        <f t="shared" ref="G3:G5" si="0">E3*F3</f>
        <v>81188.184605127608</v>
      </c>
      <c r="H3" s="8">
        <f t="shared" ref="H3:H5" si="1">G3/$G$6</f>
        <v>0.76202510331834405</v>
      </c>
    </row>
    <row r="4" spans="1:8">
      <c r="A4" s="3" t="s">
        <v>12</v>
      </c>
      <c r="B4" s="4" t="s">
        <v>13</v>
      </c>
      <c r="C4" s="5">
        <v>693</v>
      </c>
      <c r="D4" s="64">
        <v>0.99</v>
      </c>
      <c r="E4" s="7">
        <v>3777</v>
      </c>
      <c r="F4" s="6">
        <v>1.52</v>
      </c>
      <c r="G4" s="7">
        <f t="shared" si="0"/>
        <v>5741.04</v>
      </c>
      <c r="H4" s="8">
        <f t="shared" si="1"/>
        <v>5.3884892493069068E-2</v>
      </c>
    </row>
    <row r="5" spans="1:8">
      <c r="A5" s="3" t="s">
        <v>14</v>
      </c>
      <c r="B5" s="4" t="s">
        <v>15</v>
      </c>
      <c r="C5" s="5">
        <v>223</v>
      </c>
      <c r="D5" s="64">
        <v>0.75</v>
      </c>
      <c r="E5" s="7">
        <v>1644</v>
      </c>
      <c r="F5" s="6">
        <v>1.1399999999999999</v>
      </c>
      <c r="G5" s="7">
        <f t="shared" si="0"/>
        <v>1874.1599999999999</v>
      </c>
      <c r="H5" s="8">
        <f t="shared" si="1"/>
        <v>1.7590699614496729E-2</v>
      </c>
    </row>
    <row r="6" spans="1:8">
      <c r="A6" s="9" t="s">
        <v>16</v>
      </c>
      <c r="B6" s="9"/>
      <c r="C6" s="1"/>
      <c r="D6" s="12">
        <f>D2*H2+D3*H3+D4*H4+D5*H5</f>
        <v>0.84400807190191929</v>
      </c>
      <c r="E6" s="10">
        <f>SUM(E2:E5)</f>
        <v>47151</v>
      </c>
      <c r="F6" s="1"/>
      <c r="G6" s="10">
        <f>SUM(G2:G5)</f>
        <v>106542.66408230174</v>
      </c>
      <c r="H6" s="11">
        <f>SUM(H2:H5)</f>
        <v>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12" sqref="B12"/>
    </sheetView>
  </sheetViews>
  <sheetFormatPr baseColWidth="10" defaultRowHeight="15" x14ac:dyDescent="0"/>
  <cols>
    <col min="1" max="1" width="26" customWidth="1"/>
    <col min="2" max="2" width="11" bestFit="1" customWidth="1"/>
  </cols>
  <sheetData>
    <row r="1" spans="1:2">
      <c r="A1" s="23" t="s">
        <v>25</v>
      </c>
    </row>
    <row r="2" spans="1:2">
      <c r="A2" s="13" t="s">
        <v>17</v>
      </c>
      <c r="B2" s="14">
        <v>48469</v>
      </c>
    </row>
    <row r="3" spans="1:2">
      <c r="A3" s="13" t="s">
        <v>18</v>
      </c>
      <c r="B3" s="15">
        <v>1292</v>
      </c>
    </row>
    <row r="4" spans="1:2">
      <c r="A4" s="13" t="s">
        <v>19</v>
      </c>
      <c r="B4" s="16">
        <v>14.70285183</v>
      </c>
    </row>
    <row r="5" spans="1:2" ht="16" thickBot="1">
      <c r="A5" s="13" t="s">
        <v>20</v>
      </c>
      <c r="B5" s="17">
        <f>'Vale Cost of Capital'!B11</f>
        <v>3.95E-2</v>
      </c>
    </row>
    <row r="6" spans="1:2" ht="16" thickBot="1">
      <c r="A6" s="13" t="s">
        <v>21</v>
      </c>
      <c r="B6" s="18">
        <f>B3*(1-(1+B5)^(-B4))/B5+B2/(1+B5)^B4</f>
        <v>41625.311459311866</v>
      </c>
    </row>
    <row r="7" spans="1:2">
      <c r="A7" s="13" t="s">
        <v>22</v>
      </c>
      <c r="B7" s="15">
        <f>'Vale Operating Leases'!C29</f>
        <v>1254.0634379469293</v>
      </c>
    </row>
    <row r="8" spans="1:2">
      <c r="A8" s="13" t="s">
        <v>29</v>
      </c>
      <c r="B8" s="15">
        <f>B6+B7</f>
        <v>42879.374897258793</v>
      </c>
    </row>
    <row r="9" spans="1:2">
      <c r="A9" s="19" t="s">
        <v>26</v>
      </c>
      <c r="B9" s="15"/>
    </row>
    <row r="10" spans="1:2">
      <c r="A10" s="13" t="s">
        <v>27</v>
      </c>
      <c r="B10" s="20">
        <v>5150</v>
      </c>
    </row>
    <row r="11" spans="1:2">
      <c r="A11" s="13" t="s">
        <v>28</v>
      </c>
      <c r="B11" s="21">
        <v>13.57</v>
      </c>
    </row>
    <row r="12" spans="1:2">
      <c r="A12" s="13" t="s">
        <v>23</v>
      </c>
      <c r="B12" s="15">
        <f>B10*B11</f>
        <v>69885.5</v>
      </c>
    </row>
    <row r="13" spans="1:2">
      <c r="A13" s="19" t="s">
        <v>75</v>
      </c>
      <c r="B13" s="16"/>
    </row>
    <row r="14" spans="1:2" ht="16" thickBot="1">
      <c r="A14" s="13" t="s">
        <v>24</v>
      </c>
      <c r="B14" s="61">
        <f>B8/B12</f>
        <v>0.61356611739572287</v>
      </c>
    </row>
    <row r="15" spans="1:2" ht="16" thickBot="1">
      <c r="A15" s="53" t="s">
        <v>64</v>
      </c>
      <c r="B15" s="54">
        <f>B8/(B8+B12)</f>
        <v>0.38025471084259721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C29" sqref="C29"/>
    </sheetView>
  </sheetViews>
  <sheetFormatPr baseColWidth="10" defaultRowHeight="15" x14ac:dyDescent="0"/>
  <sheetData>
    <row r="1" spans="1:6">
      <c r="A1" s="24" t="s">
        <v>30</v>
      </c>
      <c r="B1" s="24"/>
      <c r="C1" s="24"/>
      <c r="D1" s="24"/>
      <c r="E1" s="24"/>
      <c r="F1" s="24"/>
    </row>
    <row r="2" spans="1:6" s="27" customFormat="1">
      <c r="A2" s="25" t="s">
        <v>31</v>
      </c>
      <c r="B2" s="25"/>
      <c r="C2" s="25"/>
      <c r="D2" s="25"/>
      <c r="E2" s="26">
        <v>305</v>
      </c>
      <c r="F2" s="25"/>
    </row>
    <row r="3" spans="1:6" s="27" customFormat="1">
      <c r="A3" s="28" t="s">
        <v>32</v>
      </c>
      <c r="B3" s="28"/>
      <c r="C3" s="28"/>
      <c r="D3" s="28"/>
      <c r="E3" s="28"/>
      <c r="F3" s="28"/>
    </row>
    <row r="4" spans="1:6" s="27" customFormat="1">
      <c r="A4" s="29" t="s">
        <v>33</v>
      </c>
      <c r="B4" s="30" t="s">
        <v>34</v>
      </c>
      <c r="C4" s="25" t="s">
        <v>35</v>
      </c>
      <c r="D4" s="25"/>
      <c r="E4" s="25"/>
      <c r="F4" s="25"/>
    </row>
    <row r="5" spans="1:6" s="27" customFormat="1">
      <c r="A5" s="31">
        <v>1</v>
      </c>
      <c r="B5" s="32">
        <v>159</v>
      </c>
      <c r="C5" s="25"/>
      <c r="D5" s="25"/>
      <c r="E5" s="25"/>
      <c r="F5" s="25"/>
    </row>
    <row r="6" spans="1:6" s="27" customFormat="1">
      <c r="A6" s="31">
        <v>2</v>
      </c>
      <c r="B6" s="32">
        <v>162</v>
      </c>
      <c r="C6" s="25"/>
      <c r="D6" s="25"/>
      <c r="E6" s="25"/>
      <c r="F6" s="25"/>
    </row>
    <row r="7" spans="1:6" s="27" customFormat="1">
      <c r="A7" s="31">
        <v>3</v>
      </c>
      <c r="B7" s="32">
        <v>161</v>
      </c>
      <c r="C7" s="25"/>
      <c r="D7" s="25"/>
      <c r="E7" s="25"/>
      <c r="F7" s="25"/>
    </row>
    <row r="8" spans="1:6" s="27" customFormat="1">
      <c r="A8" s="31">
        <v>4</v>
      </c>
      <c r="B8" s="32">
        <v>159</v>
      </c>
      <c r="C8" s="25"/>
      <c r="D8" s="25"/>
      <c r="E8" s="25"/>
      <c r="F8" s="25"/>
    </row>
    <row r="9" spans="1:6" s="27" customFormat="1">
      <c r="A9" s="31">
        <v>5</v>
      </c>
      <c r="B9" s="32">
        <v>159</v>
      </c>
      <c r="C9" s="25"/>
      <c r="D9" s="25"/>
      <c r="E9" s="25"/>
      <c r="F9" s="25"/>
    </row>
    <row r="10" spans="1:6" s="27" customFormat="1">
      <c r="A10" s="31" t="s">
        <v>36</v>
      </c>
      <c r="B10" s="32">
        <v>736</v>
      </c>
      <c r="C10" s="25"/>
      <c r="D10" s="25"/>
      <c r="E10" s="25"/>
      <c r="F10" s="25"/>
    </row>
    <row r="11" spans="1:6" s="27" customFormat="1" ht="16" thickBot="1">
      <c r="A11" s="25"/>
      <c r="B11" s="25"/>
      <c r="C11" s="25"/>
      <c r="D11" s="25"/>
      <c r="E11" s="25"/>
      <c r="F11" s="25"/>
    </row>
    <row r="12" spans="1:6" s="27" customFormat="1" ht="16" thickBot="1">
      <c r="A12" s="25" t="s">
        <v>37</v>
      </c>
      <c r="B12" s="25"/>
      <c r="C12" s="33">
        <f>'Vale Cost of Capital'!B11</f>
        <v>3.95E-2</v>
      </c>
      <c r="D12" s="25" t="s">
        <v>38</v>
      </c>
      <c r="E12" s="25"/>
      <c r="F12" s="25"/>
    </row>
    <row r="13" spans="1:6" s="27" customFormat="1">
      <c r="A13" s="25"/>
      <c r="B13" s="25"/>
      <c r="C13" s="25"/>
      <c r="D13" s="25"/>
      <c r="E13" s="25"/>
      <c r="F13" s="25"/>
    </row>
    <row r="14" spans="1:6" s="27" customFormat="1">
      <c r="A14" s="28" t="s">
        <v>39</v>
      </c>
      <c r="B14" s="28"/>
      <c r="C14" s="28"/>
      <c r="D14" s="28"/>
      <c r="E14" s="28"/>
      <c r="F14" s="28"/>
    </row>
    <row r="15" spans="1:6" s="27" customFormat="1">
      <c r="A15" s="25" t="s">
        <v>40</v>
      </c>
      <c r="B15" s="25"/>
      <c r="C15" s="25"/>
      <c r="D15" s="26">
        <v>15487</v>
      </c>
      <c r="E15" s="25" t="s">
        <v>41</v>
      </c>
      <c r="F15" s="25"/>
    </row>
    <row r="16" spans="1:6" s="27" customFormat="1">
      <c r="A16" s="25" t="s">
        <v>42</v>
      </c>
      <c r="B16" s="25"/>
      <c r="C16" s="25"/>
      <c r="D16" s="34">
        <v>48469</v>
      </c>
      <c r="E16" s="25" t="s">
        <v>43</v>
      </c>
      <c r="F16" s="25"/>
    </row>
    <row r="17" spans="1:6" s="27" customFormat="1">
      <c r="A17" s="25" t="s">
        <v>44</v>
      </c>
      <c r="B17" s="25"/>
      <c r="C17" s="25"/>
      <c r="D17" s="34">
        <v>1292</v>
      </c>
      <c r="E17" s="25"/>
      <c r="F17" s="25"/>
    </row>
    <row r="18" spans="1:6" s="27" customFormat="1">
      <c r="A18" s="35" t="s">
        <v>45</v>
      </c>
      <c r="B18" s="35"/>
      <c r="C18" s="35"/>
      <c r="D18" s="36"/>
      <c r="E18" s="35"/>
      <c r="F18" s="35"/>
    </row>
    <row r="19" spans="1:6" s="27" customFormat="1">
      <c r="A19" s="25" t="s">
        <v>46</v>
      </c>
      <c r="B19" s="25"/>
      <c r="C19" s="25"/>
      <c r="D19" s="37">
        <f>ROUND(B10/AVERAGE(B5:B9),0)</f>
        <v>5</v>
      </c>
      <c r="E19" s="25" t="s">
        <v>47</v>
      </c>
      <c r="F19" s="25"/>
    </row>
    <row r="20" spans="1:6" s="27" customFormat="1">
      <c r="A20" s="35"/>
      <c r="B20" s="35"/>
      <c r="C20" s="35"/>
      <c r="D20" s="35"/>
      <c r="E20" s="25" t="s">
        <v>48</v>
      </c>
      <c r="F20" s="25"/>
    </row>
    <row r="21" spans="1:6" s="27" customFormat="1">
      <c r="A21" s="28" t="s">
        <v>49</v>
      </c>
      <c r="B21" s="28"/>
      <c r="C21" s="28"/>
      <c r="D21" s="28"/>
      <c r="E21" s="28"/>
      <c r="F21" s="28"/>
    </row>
    <row r="22" spans="1:6" s="27" customFormat="1">
      <c r="A22" s="29" t="s">
        <v>33</v>
      </c>
      <c r="B22" s="30" t="s">
        <v>34</v>
      </c>
      <c r="C22" s="30" t="s">
        <v>50</v>
      </c>
      <c r="D22" s="25"/>
      <c r="E22" s="25"/>
      <c r="F22" s="25"/>
    </row>
    <row r="23" spans="1:6" s="27" customFormat="1">
      <c r="A23" s="38">
        <v>1</v>
      </c>
      <c r="B23" s="39">
        <f>B5</f>
        <v>159</v>
      </c>
      <c r="C23" s="40">
        <f>B23/(1+$C$12)^A23</f>
        <v>152.95815295815294</v>
      </c>
      <c r="D23" s="25"/>
      <c r="E23" s="25"/>
      <c r="F23" s="25"/>
    </row>
    <row r="24" spans="1:6" s="27" customFormat="1">
      <c r="A24" s="38">
        <v>2</v>
      </c>
      <c r="B24" s="39">
        <f>B6</f>
        <v>162</v>
      </c>
      <c r="C24" s="40">
        <f>B24/(1+$C$12)^A24</f>
        <v>149.92222784430572</v>
      </c>
      <c r="D24" s="25"/>
      <c r="E24" s="25"/>
      <c r="F24" s="25"/>
    </row>
    <row r="25" spans="1:6" s="27" customFormat="1">
      <c r="A25" s="38">
        <v>3</v>
      </c>
      <c r="B25" s="39">
        <f>B7</f>
        <v>161</v>
      </c>
      <c r="C25" s="40">
        <f>B25/(1+$C$12)^A25</f>
        <v>143.33504761271277</v>
      </c>
      <c r="D25" s="25"/>
      <c r="E25" s="25"/>
      <c r="F25" s="25"/>
    </row>
    <row r="26" spans="1:6" s="27" customFormat="1">
      <c r="A26" s="38">
        <v>4</v>
      </c>
      <c r="B26" s="39">
        <f>B8</f>
        <v>159</v>
      </c>
      <c r="C26" s="40">
        <f>B26/(1+$C$12)^A26</f>
        <v>136.17555364602148</v>
      </c>
      <c r="D26" s="25"/>
      <c r="E26" s="25"/>
      <c r="F26" s="25"/>
    </row>
    <row r="27" spans="1:6" s="27" customFormat="1">
      <c r="A27" s="38">
        <v>5</v>
      </c>
      <c r="B27" s="39">
        <f>B9</f>
        <v>159</v>
      </c>
      <c r="C27" s="40">
        <f>B27/(1+$C$12)^A27</f>
        <v>131.00101360848626</v>
      </c>
      <c r="D27" s="25"/>
      <c r="E27" s="25"/>
      <c r="F27" s="25"/>
    </row>
    <row r="28" spans="1:6" s="27" customFormat="1" ht="16" thickBot="1">
      <c r="A28" s="41" t="s">
        <v>36</v>
      </c>
      <c r="B28" s="42">
        <f>IF(B10&gt;0,IF(D19&gt;1,B10/D19,B10),0)</f>
        <v>147.19999999999999</v>
      </c>
      <c r="C28" s="43">
        <f>IF(D19&gt;0,(B28*(1-(1+C12)^(-D19))/C12)/(1+$C$12)^5,B28/(1+C12)^6)</f>
        <v>540.67144227725009</v>
      </c>
      <c r="D28" s="25" t="s">
        <v>51</v>
      </c>
      <c r="E28" s="25"/>
      <c r="F28" s="25"/>
    </row>
    <row r="29" spans="1:6" s="27" customFormat="1" ht="16" thickBot="1">
      <c r="A29" s="44" t="s">
        <v>52</v>
      </c>
      <c r="B29" s="44"/>
      <c r="C29" s="45">
        <f>SUM(C23:C28)</f>
        <v>1254.0634379469293</v>
      </c>
      <c r="D29" s="25"/>
      <c r="E29" s="25"/>
      <c r="F29" s="2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C2" sqref="C2"/>
    </sheetView>
  </sheetViews>
  <sheetFormatPr baseColWidth="10" defaultRowHeight="15" x14ac:dyDescent="0"/>
  <cols>
    <col min="1" max="1" width="32.1640625" customWidth="1"/>
    <col min="2" max="2" width="39.6640625" customWidth="1"/>
    <col min="3" max="3" width="12.83203125" bestFit="1" customWidth="1"/>
  </cols>
  <sheetData>
    <row r="1" spans="1:3">
      <c r="A1" s="3"/>
      <c r="B1" s="3" t="s">
        <v>63</v>
      </c>
      <c r="C1" s="3" t="s">
        <v>62</v>
      </c>
    </row>
    <row r="2" spans="1:3">
      <c r="A2" s="46" t="s">
        <v>53</v>
      </c>
      <c r="B2" s="47">
        <v>4.9000000000000002E-2</v>
      </c>
      <c r="C2" s="47">
        <v>0.05</v>
      </c>
    </row>
    <row r="3" spans="1:3">
      <c r="A3" s="46" t="s">
        <v>54</v>
      </c>
      <c r="B3" s="47">
        <v>0.16900000000000001</v>
      </c>
      <c r="C3" s="47">
        <v>7.85E-2</v>
      </c>
    </row>
    <row r="4" spans="1:3">
      <c r="A4" s="46" t="s">
        <v>55</v>
      </c>
      <c r="B4" s="47">
        <v>1.7000000000000001E-2</v>
      </c>
      <c r="C4" s="49">
        <v>0.10094347759125209</v>
      </c>
    </row>
    <row r="5" spans="1:3">
      <c r="A5" s="46" t="s">
        <v>56</v>
      </c>
      <c r="B5" s="47">
        <v>0.37</v>
      </c>
      <c r="C5" s="47">
        <v>5.8999999999999997E-2</v>
      </c>
    </row>
    <row r="6" spans="1:3">
      <c r="A6" s="46" t="s">
        <v>57</v>
      </c>
      <c r="B6" s="47">
        <v>0.10299999999999999</v>
      </c>
      <c r="C6" s="47">
        <v>5.8999999999999997E-2</v>
      </c>
    </row>
    <row r="7" spans="1:3">
      <c r="A7" s="46" t="s">
        <v>58</v>
      </c>
      <c r="B7" s="47">
        <v>8.5000000000000006E-2</v>
      </c>
      <c r="C7" s="49">
        <v>6.7599999999999993E-2</v>
      </c>
    </row>
    <row r="8" spans="1:3">
      <c r="A8" s="46" t="s">
        <v>59</v>
      </c>
      <c r="B8" s="47">
        <v>0.17199999999999999</v>
      </c>
      <c r="C8" s="47">
        <v>6.2899999999999998E-2</v>
      </c>
    </row>
    <row r="9" spans="1:3" ht="16" thickBot="1">
      <c r="A9" s="46" t="s">
        <v>60</v>
      </c>
      <c r="B9" s="47">
        <v>3.5000000000000003E-2</v>
      </c>
      <c r="C9" s="48">
        <v>0.10057920164722008</v>
      </c>
    </row>
    <row r="10" spans="1:3" s="22" customFormat="1" ht="16" thickBot="1">
      <c r="A10" s="50" t="s">
        <v>61</v>
      </c>
      <c r="B10" s="51">
        <f>SUM(B2:B9)</f>
        <v>0.99999999999999989</v>
      </c>
      <c r="C10" s="52">
        <f>B2*C2+B3*C3+B4*C4+B5*C5+B6*C6+B7*C7+B8*C8+B9*C9</f>
        <v>6.5424611176703978E-2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Vale Cost of Capital</vt:lpstr>
      <vt:lpstr>Vale's Business Risk</vt:lpstr>
      <vt:lpstr>Vale's Financial Leverage</vt:lpstr>
      <vt:lpstr>Vale Operating Leases</vt:lpstr>
      <vt:lpstr>Vale Equity Risk Premium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2014-02-04T18:40:01Z</dcterms:created>
  <dcterms:modified xsi:type="dcterms:W3CDTF">2014-02-04T19:51:29Z</dcterms:modified>
</cp:coreProperties>
</file>