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6887D0B4-97A3-644B-B39E-7DE14F08AF4D}" xr6:coauthVersionLast="47" xr6:coauthVersionMax="47" xr10:uidLastSave="{00000000-0000-0000-0000-000000000000}"/>
  <bookViews>
    <workbookView xWindow="0" yWindow="500" windowWidth="38400" windowHeight="23500"/>
  </bookViews>
  <sheets>
    <sheet name="Read me first" sheetId="3" r:id="rId1"/>
    <sheet name="Inputs" sheetId="2" r:id="rId2"/>
    <sheet name="Valuation Output" sheetId="1" r:id="rId3"/>
    <sheet name="Stories to Numbers" sheetId="10" r:id="rId4"/>
    <sheet name="US Industry averages" sheetId="5" r:id="rId5"/>
    <sheet name="Global Industry averages" sheetId="9" r:id="rId6"/>
    <sheet name="ERP calculator" sheetId="6" r:id="rId7"/>
    <sheet name="Country ERP" sheetId="7" r:id="rId8"/>
    <sheet name="Answer key" sheetId="8" r:id="rId9"/>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3" i="1" l="1"/>
  <c r="P13" i="1"/>
  <c r="O13" i="1"/>
  <c r="N13" i="1"/>
  <c r="M13" i="1"/>
  <c r="F13" i="1"/>
  <c r="D21" i="1"/>
  <c r="J13" i="1"/>
  <c r="D4" i="1"/>
  <c r="E13" i="1"/>
  <c r="D39" i="10"/>
  <c r="E30" i="1"/>
  <c r="F11" i="10" a="1"/>
  <c r="F11" i="10"/>
  <c r="C11" i="10"/>
  <c r="A2" i="10"/>
  <c r="G1" i="10"/>
  <c r="A1" i="10"/>
  <c r="H13" i="1"/>
  <c r="K13" i="1"/>
  <c r="G13" i="1"/>
  <c r="I13" i="1"/>
  <c r="D13" i="1"/>
  <c r="L13" i="1"/>
  <c r="C13" i="1"/>
  <c r="D5" i="1"/>
  <c r="E32" i="1"/>
  <c r="G39" i="10"/>
  <c r="B25" i="2"/>
  <c r="B11" i="10"/>
  <c r="C12" i="6"/>
  <c r="E12" i="6" s="1"/>
  <c r="C11" i="6"/>
  <c r="E11" i="6" s="1"/>
  <c r="C10" i="6"/>
  <c r="E10" i="6" s="1"/>
  <c r="C9" i="6"/>
  <c r="E9" i="6" s="1"/>
  <c r="C8" i="6"/>
  <c r="E8" i="6" s="1"/>
  <c r="C7" i="6"/>
  <c r="E7" i="6" s="1"/>
  <c r="C6" i="6"/>
  <c r="C5" i="6"/>
  <c r="C19" i="6"/>
  <c r="A26" i="6"/>
  <c r="A25" i="6"/>
  <c r="A24" i="6"/>
  <c r="A23" i="6"/>
  <c r="A22" i="6"/>
  <c r="A21" i="6"/>
  <c r="A20" i="6"/>
  <c r="A19" i="6"/>
  <c r="A18" i="6"/>
  <c r="C26" i="6"/>
  <c r="E26" i="6" s="1"/>
  <c r="C25" i="6"/>
  <c r="E25" i="6" s="1"/>
  <c r="C24" i="6"/>
  <c r="E24" i="6" s="1"/>
  <c r="C23" i="6"/>
  <c r="E23" i="6" s="1"/>
  <c r="C22" i="6"/>
  <c r="C21" i="6"/>
  <c r="E21" i="6" s="1"/>
  <c r="C20" i="6"/>
  <c r="E20" i="6" s="1"/>
  <c r="C18" i="6"/>
  <c r="E18" i="6" s="1"/>
  <c r="D195" i="7"/>
  <c r="D194" i="7"/>
  <c r="D193" i="7"/>
  <c r="D192" i="7"/>
  <c r="D191" i="7"/>
  <c r="D190" i="7"/>
  <c r="D189" i="7"/>
  <c r="D188" i="7"/>
  <c r="C4" i="6" s="1"/>
  <c r="E4" i="6" s="1"/>
  <c r="D187" i="7"/>
  <c r="D186" i="7"/>
  <c r="D185" i="7"/>
  <c r="D184" i="7"/>
  <c r="D183" i="7"/>
  <c r="D182" i="7"/>
  <c r="D181" i="7"/>
  <c r="D180" i="7"/>
  <c r="D179" i="7"/>
  <c r="D178" i="7"/>
  <c r="D177" i="7"/>
  <c r="D176" i="7"/>
  <c r="D175" i="7"/>
  <c r="D174" i="7"/>
  <c r="D173" i="7"/>
  <c r="D172" i="7"/>
  <c r="D171" i="7"/>
  <c r="D170" i="7"/>
  <c r="D169" i="7"/>
  <c r="D168" i="7"/>
  <c r="D167" i="7"/>
  <c r="D166" i="7"/>
  <c r="D165" i="7"/>
  <c r="D164" i="7"/>
  <c r="D163" i="7"/>
  <c r="D162" i="7"/>
  <c r="D161" i="7"/>
  <c r="D160" i="7"/>
  <c r="D159" i="7"/>
  <c r="D158" i="7"/>
  <c r="D157" i="7"/>
  <c r="D156" i="7"/>
  <c r="D155" i="7"/>
  <c r="D154" i="7"/>
  <c r="D153" i="7"/>
  <c r="D152" i="7"/>
  <c r="D151" i="7"/>
  <c r="D150" i="7"/>
  <c r="D149" i="7"/>
  <c r="D148" i="7"/>
  <c r="D147" i="7"/>
  <c r="D146" i="7"/>
  <c r="D145" i="7"/>
  <c r="D144" i="7"/>
  <c r="D143" i="7"/>
  <c r="D142" i="7"/>
  <c r="D141" i="7"/>
  <c r="D140" i="7"/>
  <c r="D139" i="7"/>
  <c r="D138" i="7"/>
  <c r="D137" i="7"/>
  <c r="D136" i="7"/>
  <c r="D135" i="7"/>
  <c r="D134" i="7"/>
  <c r="D133" i="7"/>
  <c r="D132" i="7"/>
  <c r="D131" i="7"/>
  <c r="D130" i="7"/>
  <c r="D129" i="7"/>
  <c r="D128" i="7"/>
  <c r="D127" i="7"/>
  <c r="D126" i="7"/>
  <c r="D125" i="7"/>
  <c r="D124" i="7"/>
  <c r="D123" i="7"/>
  <c r="D122" i="7"/>
  <c r="D121" i="7"/>
  <c r="D120" i="7"/>
  <c r="D119" i="7"/>
  <c r="D118" i="7"/>
  <c r="D117" i="7"/>
  <c r="D116" i="7"/>
  <c r="D115" i="7"/>
  <c r="D114" i="7"/>
  <c r="D113" i="7"/>
  <c r="D112" i="7"/>
  <c r="D111" i="7"/>
  <c r="D110" i="7"/>
  <c r="D109" i="7"/>
  <c r="D108" i="7"/>
  <c r="D107" i="7"/>
  <c r="D106" i="7"/>
  <c r="D105" i="7"/>
  <c r="D104" i="7"/>
  <c r="D103" i="7"/>
  <c r="D102" i="7"/>
  <c r="D101" i="7"/>
  <c r="D100" i="7"/>
  <c r="D99" i="7"/>
  <c r="D98" i="7"/>
  <c r="D97" i="7"/>
  <c r="D96" i="7"/>
  <c r="D95" i="7"/>
  <c r="D94" i="7"/>
  <c r="D93" i="7"/>
  <c r="D92" i="7"/>
  <c r="D91" i="7"/>
  <c r="D90" i="7"/>
  <c r="D89" i="7"/>
  <c r="D88" i="7"/>
  <c r="D87" i="7"/>
  <c r="D86" i="7"/>
  <c r="D85" i="7"/>
  <c r="D84" i="7"/>
  <c r="D83" i="7"/>
  <c r="D82" i="7"/>
  <c r="D81" i="7"/>
  <c r="D80" i="7"/>
  <c r="D79" i="7"/>
  <c r="D78" i="7"/>
  <c r="D77" i="7"/>
  <c r="D76" i="7"/>
  <c r="D75" i="7"/>
  <c r="D74" i="7"/>
  <c r="D73" i="7"/>
  <c r="D72" i="7"/>
  <c r="D71" i="7"/>
  <c r="D70" i="7"/>
  <c r="D69" i="7"/>
  <c r="D68" i="7"/>
  <c r="D67" i="7"/>
  <c r="D66" i="7"/>
  <c r="D65" i="7"/>
  <c r="D64" i="7"/>
  <c r="D63" i="7"/>
  <c r="D62" i="7"/>
  <c r="D61" i="7"/>
  <c r="D60" i="7"/>
  <c r="D59" i="7"/>
  <c r="D58" i="7"/>
  <c r="D57" i="7"/>
  <c r="D56" i="7"/>
  <c r="D55" i="7"/>
  <c r="D54" i="7"/>
  <c r="D53" i="7"/>
  <c r="D52" i="7"/>
  <c r="D51" i="7"/>
  <c r="D50" i="7"/>
  <c r="D49" i="7"/>
  <c r="D48" i="7"/>
  <c r="D47" i="7"/>
  <c r="D46" i="7"/>
  <c r="D45" i="7"/>
  <c r="D44" i="7"/>
  <c r="D43" i="7"/>
  <c r="D42" i="7"/>
  <c r="C3" i="6"/>
  <c r="E3" i="6" s="1"/>
  <c r="D41" i="7"/>
  <c r="D40" i="7"/>
  <c r="D39" i="7"/>
  <c r="D38" i="7"/>
  <c r="D37" i="7"/>
  <c r="D36" i="7"/>
  <c r="D35" i="7"/>
  <c r="D34" i="7"/>
  <c r="D33" i="7"/>
  <c r="D32" i="7"/>
  <c r="D31" i="7"/>
  <c r="D30" i="7"/>
  <c r="D29" i="7"/>
  <c r="D28" i="7"/>
  <c r="D27" i="7"/>
  <c r="D26" i="7"/>
  <c r="D25" i="7"/>
  <c r="D24" i="7"/>
  <c r="D23" i="7"/>
  <c r="D22" i="7"/>
  <c r="D21" i="7"/>
  <c r="D20" i="7"/>
  <c r="D19" i="7"/>
  <c r="D18" i="7"/>
  <c r="D17" i="7"/>
  <c r="D16" i="7"/>
  <c r="D15" i="7"/>
  <c r="D14" i="7"/>
  <c r="D13" i="7"/>
  <c r="D12" i="7"/>
  <c r="D11" i="7"/>
  <c r="D10" i="7"/>
  <c r="D9" i="7"/>
  <c r="D8" i="7"/>
  <c r="D7" i="7"/>
  <c r="D6" i="7"/>
  <c r="D5" i="7"/>
  <c r="D6" i="1"/>
  <c r="B9" i="10"/>
  <c r="C14" i="1"/>
  <c r="D22" i="1"/>
  <c r="C30" i="10"/>
  <c r="D33" i="10"/>
  <c r="B29" i="6"/>
  <c r="D28" i="6"/>
  <c r="E28" i="6"/>
  <c r="D12" i="6"/>
  <c r="D11" i="6"/>
  <c r="B15" i="6"/>
  <c r="D3" i="6"/>
  <c r="D5" i="6"/>
  <c r="D6" i="6"/>
  <c r="D7" i="6"/>
  <c r="D8" i="6"/>
  <c r="D9" i="6"/>
  <c r="D10" i="6"/>
  <c r="D13" i="6"/>
  <c r="E13" i="6"/>
  <c r="D14" i="6"/>
  <c r="E14" i="6"/>
  <c r="B41" i="2"/>
  <c r="D23" i="1"/>
  <c r="B26" i="2"/>
  <c r="B30" i="2"/>
  <c r="C11" i="1"/>
  <c r="D11" i="1"/>
  <c r="E11" i="1"/>
  <c r="F11" i="1"/>
  <c r="G11" i="1"/>
  <c r="H11" i="1"/>
  <c r="I11" i="1"/>
  <c r="J11" i="1"/>
  <c r="K11" i="1"/>
  <c r="L11" i="1"/>
  <c r="M11" i="1"/>
  <c r="N11" i="1"/>
  <c r="O11" i="1"/>
  <c r="P11" i="1"/>
  <c r="Q11" i="1"/>
  <c r="D30" i="10"/>
  <c r="F10" i="10"/>
  <c r="E6" i="6"/>
  <c r="E5" i="6"/>
  <c r="D21" i="6"/>
  <c r="D18" i="6"/>
  <c r="D19" i="6"/>
  <c r="E19" i="6"/>
  <c r="D4" i="6"/>
  <c r="D15" i="6"/>
  <c r="D29" i="6"/>
  <c r="D24" i="6"/>
  <c r="D26" i="6"/>
  <c r="D27" i="6"/>
  <c r="E27" i="6"/>
  <c r="D25" i="6"/>
  <c r="D20" i="6"/>
  <c r="D23" i="6"/>
  <c r="D22" i="6"/>
  <c r="E22" i="6"/>
  <c r="D8" i="1"/>
  <c r="D7" i="1"/>
  <c r="E12" i="1"/>
  <c r="C17" i="10"/>
  <c r="N15" i="1"/>
  <c r="D26" i="10"/>
  <c r="F15" i="1"/>
  <c r="C15" i="1"/>
  <c r="L15" i="1"/>
  <c r="D24" i="10"/>
  <c r="M15" i="1"/>
  <c r="D25" i="10"/>
  <c r="K15" i="1"/>
  <c r="D23" i="10"/>
  <c r="P12" i="1"/>
  <c r="C28" i="10"/>
  <c r="O15" i="1"/>
  <c r="D27" i="10"/>
  <c r="O12" i="1"/>
  <c r="C27" i="10"/>
  <c r="G15" i="1"/>
  <c r="D19" i="10"/>
  <c r="P15" i="1"/>
  <c r="D28" i="10"/>
  <c r="Q15" i="1"/>
  <c r="M12" i="1"/>
  <c r="C25" i="10"/>
  <c r="E15" i="1"/>
  <c r="D17" i="10"/>
  <c r="Q12" i="1"/>
  <c r="N12" i="1"/>
  <c r="C26" i="10"/>
  <c r="D18" i="10"/>
  <c r="D15" i="1"/>
  <c r="D16" i="10"/>
  <c r="H15" i="1"/>
  <c r="D20" i="10"/>
  <c r="I12" i="1"/>
  <c r="C21" i="10"/>
  <c r="J12" i="1"/>
  <c r="C22" i="10"/>
  <c r="G12" i="1"/>
  <c r="C19" i="10"/>
  <c r="C12" i="1"/>
  <c r="K12" i="1"/>
  <c r="C23" i="10"/>
  <c r="I15" i="1"/>
  <c r="D21" i="10"/>
  <c r="F12" i="1"/>
  <c r="C18" i="10"/>
  <c r="D12" i="1"/>
  <c r="J15" i="1"/>
  <c r="D22" i="10"/>
  <c r="H12" i="1"/>
  <c r="C20" i="10"/>
  <c r="L12" i="1"/>
  <c r="C24" i="10"/>
  <c r="C15" i="10"/>
  <c r="C9" i="10"/>
  <c r="D29" i="10"/>
  <c r="C16" i="10"/>
  <c r="F9" i="10"/>
  <c r="C29" i="10"/>
  <c r="C10" i="10"/>
  <c r="B10" i="10"/>
  <c r="D15" i="10"/>
  <c r="B15" i="10"/>
  <c r="D14" i="1"/>
  <c r="B16" i="10"/>
  <c r="C16" i="1"/>
  <c r="E15" i="10"/>
  <c r="P17" i="1"/>
  <c r="N17" i="1"/>
  <c r="O17" i="1"/>
  <c r="Q17" i="1"/>
  <c r="M17" i="1"/>
  <c r="D16" i="1"/>
  <c r="E16" i="10"/>
  <c r="E14" i="1"/>
  <c r="B17" i="10"/>
  <c r="O18" i="1"/>
  <c r="F27" i="10"/>
  <c r="N18" i="1"/>
  <c r="F26" i="10" s="1"/>
  <c r="M18" i="1"/>
  <c r="F25" i="10"/>
  <c r="P18" i="1"/>
  <c r="F28" i="10" s="1"/>
  <c r="Q18" i="1"/>
  <c r="F29" i="10"/>
  <c r="F14" i="1"/>
  <c r="B18" i="10"/>
  <c r="E16" i="1"/>
  <c r="E17" i="10"/>
  <c r="G14" i="1"/>
  <c r="B19" i="10"/>
  <c r="F16" i="1"/>
  <c r="E18" i="10"/>
  <c r="G16" i="1"/>
  <c r="H14" i="1"/>
  <c r="B20" i="10"/>
  <c r="E19" i="10"/>
  <c r="I14" i="1"/>
  <c r="B21" i="10"/>
  <c r="H16" i="1"/>
  <c r="E20" i="10"/>
  <c r="J14" i="1"/>
  <c r="B22" i="10"/>
  <c r="I16" i="1"/>
  <c r="E21" i="10"/>
  <c r="J16" i="1"/>
  <c r="K14" i="1"/>
  <c r="B23" i="10"/>
  <c r="E22" i="10"/>
  <c r="K16" i="1"/>
  <c r="L14" i="1"/>
  <c r="M14" i="1"/>
  <c r="B25" i="10"/>
  <c r="B24" i="10"/>
  <c r="E23" i="10"/>
  <c r="M16" i="1"/>
  <c r="N14" i="1"/>
  <c r="B26" i="10"/>
  <c r="L16" i="1"/>
  <c r="E24" i="10"/>
  <c r="M19" i="1"/>
  <c r="G25" i="10" s="1"/>
  <c r="E25" i="10"/>
  <c r="O14" i="1"/>
  <c r="B27" i="10"/>
  <c r="N16" i="1"/>
  <c r="N19" i="1"/>
  <c r="G26" i="10"/>
  <c r="E26" i="10"/>
  <c r="P14" i="1"/>
  <c r="B28" i="10"/>
  <c r="O16" i="1"/>
  <c r="O19" i="1"/>
  <c r="G27" i="10" s="1"/>
  <c r="E27" i="10"/>
  <c r="P16" i="1"/>
  <c r="Q14" i="1"/>
  <c r="P19" i="1"/>
  <c r="G28" i="10"/>
  <c r="E28" i="10"/>
  <c r="B29" i="10"/>
  <c r="B30" i="10"/>
  <c r="Q16" i="1"/>
  <c r="Q19" i="1"/>
  <c r="G29" i="10" s="1"/>
  <c r="E29" i="10"/>
  <c r="E30" i="10"/>
  <c r="D32" i="10"/>
  <c r="E15" i="6" l="1"/>
  <c r="E29" i="6"/>
  <c r="B17" i="2" s="1"/>
  <c r="D24" i="1" l="1"/>
  <c r="D3" i="1"/>
  <c r="F17" i="1" l="1"/>
  <c r="C17" i="1"/>
  <c r="E17" i="1"/>
  <c r="D17" i="1"/>
  <c r="I17" i="1"/>
  <c r="D35" i="1"/>
  <c r="D36" i="1" s="1"/>
  <c r="L17" i="1"/>
  <c r="G17" i="1"/>
  <c r="H17" i="1"/>
  <c r="F12" i="10"/>
  <c r="D34" i="10"/>
  <c r="D35" i="10" s="1"/>
  <c r="K17" i="1"/>
  <c r="J17" i="1"/>
  <c r="D25" i="1"/>
  <c r="F18" i="1" l="1"/>
  <c r="H18" i="1"/>
  <c r="D18" i="1"/>
  <c r="B12" i="10"/>
  <c r="G18" i="1"/>
  <c r="E18" i="1"/>
  <c r="L18" i="1"/>
  <c r="C18" i="1"/>
  <c r="J18" i="1"/>
  <c r="K18" i="1"/>
  <c r="I18" i="1"/>
  <c r="F21" i="10" l="1"/>
  <c r="I19" i="1"/>
  <c r="G21" i="10" s="1"/>
  <c r="G19" i="1"/>
  <c r="G19" i="10" s="1"/>
  <c r="F19" i="10"/>
  <c r="J19" i="1"/>
  <c r="G22" i="10" s="1"/>
  <c r="F22" i="10"/>
  <c r="F15" i="10"/>
  <c r="C19" i="1"/>
  <c r="D19" i="1"/>
  <c r="G16" i="10" s="1"/>
  <c r="F16" i="10"/>
  <c r="K19" i="1"/>
  <c r="G23" i="10" s="1"/>
  <c r="F23" i="10"/>
  <c r="F24" i="10"/>
  <c r="L19" i="1"/>
  <c r="G24" i="10" s="1"/>
  <c r="E19" i="1"/>
  <c r="G17" i="10" s="1"/>
  <c r="F17" i="10"/>
  <c r="F20" i="10"/>
  <c r="H19" i="1"/>
  <c r="G20" i="10" s="1"/>
  <c r="F19" i="1"/>
  <c r="G18" i="10" s="1"/>
  <c r="F18" i="10"/>
  <c r="E28" i="1"/>
  <c r="D36" i="10" s="1"/>
  <c r="E27" i="1" l="1"/>
  <c r="G15" i="10"/>
  <c r="E29" i="1" l="1"/>
  <c r="E31" i="1" s="1"/>
  <c r="D37" i="1" s="1"/>
  <c r="D38" i="1" s="1"/>
  <c r="D37" i="10"/>
  <c r="D38" i="10" s="1"/>
  <c r="D40" i="10" s="1"/>
  <c r="G40" i="10" s="1"/>
</calcChain>
</file>

<file path=xl/comments1.xml><?xml version="1.0" encoding="utf-8"?>
<comments xmlns="http://schemas.openxmlformats.org/spreadsheetml/2006/main">
  <authors>
    <author>Aswath Damodaran</author>
  </authors>
  <commentList>
    <comment ref="B8"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This is the book value of common equity. If you have more than one class of shares, enter the book value of all classes of common stock.</t>
        </r>
      </text>
    </comment>
    <comment ref="C8"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book value of equity from the end of last year. If you do not have this number, enter this year's number here as well.</t>
        </r>
      </text>
    </comment>
    <comment ref="B9"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Current net income of the firm should be entered here. If it is negative, you will have to normalize the earnings.</t>
        </r>
      </text>
    </comment>
    <comment ref="B10"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aggregated dividends paid by the firm. It should be in the statement of cash flows. (If you want to add buybacks in, make sure that you average buybacks over time).</t>
        </r>
      </text>
    </comment>
    <comment ref="B15"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This is the beta for your stock. It can be a regression beta or a bottom-up beta.</t>
        </r>
      </text>
    </comment>
    <comment ref="B16"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current long term government bond rate.</t>
        </r>
      </text>
    </comment>
    <comment ref="B17"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risk premium to use to compute your cost of equity.</t>
        </r>
      </text>
    </comment>
    <comment ref="B20"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Number of years of high growth. (Restricted to 15 years or less)</t>
        </r>
      </text>
    </comment>
    <comment ref="B22"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If you answer "yes",
</t>
        </r>
        <r>
          <rPr>
            <sz val="9"/>
            <color indexed="8"/>
            <rFont val="Geneva"/>
            <family val="2"/>
            <charset val="1"/>
          </rPr>
          <t xml:space="preserve">g = Retention ratio * ROE
</t>
        </r>
        <r>
          <rPr>
            <sz val="9"/>
            <color indexed="8"/>
            <rFont val="Geneva"/>
            <family val="2"/>
            <charset val="1"/>
          </rPr>
          <t>If no, you have to input the growth rate.</t>
        </r>
      </text>
    </comment>
    <comment ref="B23"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Input a growth rate to use for high growth period. This can be an analyst estimate of growth in EPS or historical growth in EPS.</t>
        </r>
      </text>
    </comment>
    <comment ref="B25"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DO NOT INPUT. This number is calculated based upon your inputs above.</t>
        </r>
      </text>
    </comment>
    <comment ref="B26"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DO NOT INPUT. This number is calculated based upon your inputs above.</t>
        </r>
      </text>
    </comment>
    <comment ref="B27"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believe that the fundamentals for your firm in the future will be different from the base year numbers above, answer yes.</t>
        </r>
      </text>
    </comment>
    <comment ref="B29"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return on equity to use for the high growth period. This can be an industry average or your firm's historical ROE.</t>
        </r>
      </text>
    </comment>
    <comment ref="B30"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retention ratio to use for the high growth period. This can be an industry average or your firm's historical retention ratio.</t>
        </r>
      </text>
    </comment>
    <comment ref="B31"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In stable growth, your fundamentals may change. This is your chance to reset them.</t>
        </r>
      </text>
    </comment>
    <comment ref="B33"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return on equity to use for the stable growth period. Check industry averages.</t>
        </r>
      </text>
    </comment>
    <comment ref="B34"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want to me adjust the beta, payout ratio and growth rate gradually towards stable growth levels in the second half of your high growth phase, answer yes.</t>
        </r>
      </text>
    </comment>
    <comment ref="B39"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a growth rate that can be sustained forever. It cannot be greater than the growth rate of the economy.</t>
        </r>
      </text>
    </comment>
    <comment ref="B41"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DO NOT INPUT. This number is computed based upon your stable growth rate and ROE.</t>
        </r>
      </text>
    </comment>
    <comment ref="B42"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feel the stable payout ratio is inappropriate, you can change it here. You might be better off adjusting the ROE in stable growth instead, though.</t>
        </r>
      </text>
    </comment>
    <comment ref="B43"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payout ratio in stable growth, if you want to override the fundamentals.</t>
        </r>
      </text>
    </comment>
    <comment ref="B45"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Generally, stable growth beta should be between 0.8 and 1.20. If your firm's beta is higher or lower, you should answer yes.</t>
        </r>
      </text>
    </comment>
    <comment ref="B46" authorId="0"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The beta in stable growth should be between 0.8 and 1.2. If this is different from your high growth beta, I will adjust the cost of equity gradually over the last half of the high growth period.</t>
        </r>
      </text>
    </comment>
  </commentList>
</comments>
</file>

<file path=xl/comments2.xml><?xml version="1.0" encoding="utf-8"?>
<comments xmlns="http://schemas.openxmlformats.org/spreadsheetml/2006/main">
  <authors>
    <author>Microsoft Office User</author>
  </authors>
  <commentList>
    <comment ref="B1" authorId="0" shapeId="0">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<sst xmlns="http://schemas.openxmlformats.org/spreadsheetml/2006/main" count="913" uniqueCount="527">
  <si>
    <t>Length of high growth period</t>
  </si>
  <si>
    <t>Inputs needed</t>
  </si>
  <si>
    <t>How the model works</t>
  </si>
  <si>
    <t>2. The growth rate will drop at the end of the first period to the stable growth rate.</t>
  </si>
  <si>
    <t>3. The dividend payout ratio is consistent with the expected growth rate.</t>
  </si>
  <si>
    <t>1. Length of high growth period</t>
  </si>
  <si>
    <t>2. Expected growth rate in earnings during the high growth period.</t>
  </si>
  <si>
    <t>3. Dividend payout ratio during the high growth period.</t>
  </si>
  <si>
    <t>4. Expected growth rate in earnings during the stable growth period.</t>
  </si>
  <si>
    <t>5. Expected payout ratio during the stable growth period.</t>
  </si>
  <si>
    <t>6. Current Earnings per share</t>
  </si>
  <si>
    <t>7. Inputs for the Cost of Equity</t>
  </si>
  <si>
    <t>(in currency)</t>
  </si>
  <si>
    <t>No</t>
  </si>
  <si>
    <t>(Yes or No)</t>
  </si>
  <si>
    <t>(in percent)</t>
  </si>
  <si>
    <t>Beta of the stock =</t>
  </si>
  <si>
    <t>Riskfree rate=</t>
  </si>
  <si>
    <t>Yes</t>
  </si>
  <si>
    <t>Do you want to calculate the growth rate from fundamentals?</t>
  </si>
  <si>
    <t>If yes, enter the beta for stable period =</t>
  </si>
  <si>
    <t>Growth Rate in Stable Phase =</t>
  </si>
  <si>
    <t>Payout Ratio in Stable Phase =</t>
  </si>
  <si>
    <t>Cost of Equity in Stable Phase =</t>
  </si>
  <si>
    <t>Present Value of dividends in high growth phase =</t>
  </si>
  <si>
    <t>Present Value of Terminal Price =</t>
  </si>
  <si>
    <t>Value of the stock =</t>
  </si>
  <si>
    <t>Estimating the value of growth</t>
  </si>
  <si>
    <t>Value of assets in place =</t>
  </si>
  <si>
    <t>Value of stable growth =</t>
  </si>
  <si>
    <t>Value of extraordinary growth =</t>
  </si>
  <si>
    <t>Last year</t>
  </si>
  <si>
    <t>Inputs from current financials</t>
  </si>
  <si>
    <t>Inputs for Discount Rate</t>
  </si>
  <si>
    <t>in stable growth, the payout ratio in stable growth and the cost of equity in stable</t>
  </si>
  <si>
    <t>Options Available</t>
  </si>
  <si>
    <t>If yes, enter the stable payout ratio=</t>
  </si>
  <si>
    <t>Will the beta to change in the stable period?</t>
  </si>
  <si>
    <t>Inputs for High Growth Period</t>
  </si>
  <si>
    <t>You can make this model into a three stage model by answering yes to the question</t>
  </si>
  <si>
    <t>of whether you want me to adjust the inputs in the second half of the high growth</t>
  </si>
  <si>
    <t xml:space="preserve">period. If you do, I will adjust the growth rate, the payout ratio and the cost of </t>
  </si>
  <si>
    <t>equity from high-growth levels to stable growth levels gradually.</t>
  </si>
  <si>
    <t>You can also make this a stable growth model by setting the high</t>
  </si>
  <si>
    <t>growth period to zero.</t>
  </si>
  <si>
    <t>Dividend Discount Model</t>
  </si>
  <si>
    <t xml:space="preserve">growth. </t>
  </si>
  <si>
    <t>dividends per share one year after the high growth period, using the growth rate</t>
  </si>
  <si>
    <t>The dividends per share and the terminal price are discounted back to the present at</t>
  </si>
  <si>
    <t>Expected Growth Rate</t>
  </si>
  <si>
    <t>Inputs for Stable Growth Period</t>
  </si>
  <si>
    <t>If yes, the following will be the inputs to the fundamental growth formulation:</t>
  </si>
  <si>
    <t>Cost of Equity</t>
  </si>
  <si>
    <t>Present Value</t>
  </si>
  <si>
    <t>Cumulative Cost of Equity</t>
  </si>
  <si>
    <t>Assumptions</t>
  </si>
  <si>
    <t>1. The firm is expected to grow at a higher growth rate in the first period.</t>
  </si>
  <si>
    <t>the cost of equity changes.</t>
  </si>
  <si>
    <t>If your cost of equity in stable growth is different from your cost of equity in high</t>
  </si>
  <si>
    <t>Stable payout ratio from fundamentals is =</t>
  </si>
  <si>
    <t>Do you want to change this payout ratio?</t>
  </si>
  <si>
    <t>growth, the cost of equity in the second half of the stable growth period will be</t>
  </si>
  <si>
    <t xml:space="preserve">adjusted gradually from the high growth cost of equity to a stable growth cost of </t>
  </si>
  <si>
    <t>equity.</t>
  </si>
  <si>
    <t>Net Income</t>
  </si>
  <si>
    <t>Net Income =</t>
  </si>
  <si>
    <t>Earnings per Share =</t>
  </si>
  <si>
    <t>Payout ratio</t>
  </si>
  <si>
    <t>Do you want me to gradually adjust your inputs during the second half?</t>
  </si>
  <si>
    <t>Book Value of Equity =</t>
  </si>
  <si>
    <t>ROE =</t>
  </si>
  <si>
    <t>Retention =</t>
  </si>
  <si>
    <t>Do you want to change any of these inputs for the high growth period?</t>
  </si>
  <si>
    <t>If yes, specify the values for these inputs (Please enter all variables)</t>
  </si>
  <si>
    <t>Do you want to change any of these inputs for the stable growth period?</t>
  </si>
  <si>
    <t xml:space="preserve">If yes, specify the values for these inputs </t>
  </si>
  <si>
    <t>Enter growth rate in stable growth period?</t>
  </si>
  <si>
    <t>Output from the program</t>
  </si>
  <si>
    <t>Cost of Equity =</t>
  </si>
  <si>
    <t>Payout Ratio for high growth phase=</t>
  </si>
  <si>
    <t>The dividends for the high growth phase are shown below (upto 10 years)</t>
  </si>
  <si>
    <t>The expected dividends are estimated for the high growth period, using the payout</t>
  </si>
  <si>
    <t>ratio for the high growth period and the expected growth rate in earnings per share.</t>
  </si>
  <si>
    <t>The expected growth rate is estimated either using fundamentals:</t>
  </si>
  <si>
    <t>Expected growth = Retention Ratio * Return on Equity</t>
  </si>
  <si>
    <t>Alternatively, you can input the expected growth rate.</t>
  </si>
  <si>
    <t>At the end of the high growth phase, the expected terminal price is estimated using</t>
  </si>
  <si>
    <t>ROE</t>
  </si>
  <si>
    <t>Sales/Capital</t>
  </si>
  <si>
    <t>Name of company:</t>
  </si>
  <si>
    <t>Date of valuation:</t>
  </si>
  <si>
    <t>Industry Name</t>
  </si>
  <si>
    <t>Number of firms</t>
  </si>
  <si>
    <t>EV/Sales</t>
  </si>
  <si>
    <t>Advertising</t>
  </si>
  <si>
    <t>Aerospace/Defense</t>
  </si>
  <si>
    <t>Air Transport</t>
  </si>
  <si>
    <t>Apparel</t>
  </si>
  <si>
    <t>Auto &amp; Truck</t>
  </si>
  <si>
    <t>Auto Parts</t>
  </si>
  <si>
    <t>Banks (Regional)</t>
  </si>
  <si>
    <t>Beverage (Alcoholic)</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</si>
  <si>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</si>
  <si>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</si>
  <si>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</si>
  <si>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</si>
  <si>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</si>
  <si>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</si>
  <si>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</si>
  <si>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</si>
  <si>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</si>
  <si>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</si>
  <si>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</si>
  <si>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Diversified</t>
  </si>
  <si>
    <t>Electrical Equipment</t>
  </si>
  <si>
    <t>Electronics (Consumer &amp; Office)</t>
  </si>
  <si>
    <t>Entertainment</t>
  </si>
  <si>
    <t>Environmental &amp; Waste Services</t>
  </si>
  <si>
    <t>Farming/Agriculture</t>
  </si>
  <si>
    <t>Financial Svcs. (Non-bank &amp; Insurance)</t>
  </si>
  <si>
    <t>Food Processing</t>
  </si>
  <si>
    <t>Food Wholesalers</t>
  </si>
  <si>
    <t>Furn/Home Furnishings</t>
  </si>
  <si>
    <t>Healthcare Products</t>
  </si>
  <si>
    <t>Heathcare Information and Technology</t>
  </si>
  <si>
    <t>Homebuilding</t>
  </si>
  <si>
    <t>Hotel/Gaming</t>
  </si>
  <si>
    <t>Household Products</t>
  </si>
  <si>
    <t>Information Services</t>
  </si>
  <si>
    <t>Insurance (General)</t>
  </si>
  <si>
    <t>Insurance (Life)</t>
  </si>
  <si>
    <t>Insurance (Prop/Cas.)</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</si>
  <si>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</si>
  <si>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</si>
  <si>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</si>
  <si>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</si>
  <si>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</si>
  <si>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</si>
  <si>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</si>
  <si>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</si>
  <si>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</si>
  <si>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</si>
  <si>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</si>
  <si>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</si>
  <si>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</si>
  <si>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</si>
  <si>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</si>
  <si>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</si>
  <si>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</si>
  <si>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</si>
  <si>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</si>
  <si>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</si>
  <si>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</si>
  <si>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</si>
  <si>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</si>
  <si>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</si>
  <si>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</si>
  <si>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</si>
  <si>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</si>
  <si>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</si>
  <si>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Steel</t>
  </si>
  <si>
    <t>Telecom (Wireless)</t>
  </si>
  <si>
    <t>Telecom. Equipment</t>
  </si>
  <si>
    <t>Telecom. Services</t>
  </si>
  <si>
    <t>Tobacco</t>
  </si>
  <si>
    <t>Transportation</t>
  </si>
  <si>
    <t>Trucking</t>
  </si>
  <si>
    <t>Utility (General)</t>
  </si>
  <si>
    <t>Utility (Water)</t>
  </si>
  <si>
    <t>NA</t>
  </si>
  <si>
    <t>Annual Average Revenue growth - Last 5 years</t>
  </si>
  <si>
    <t>After-tax ROC</t>
  </si>
  <si>
    <t>Average effective tax rate</t>
  </si>
  <si>
    <t>Unlevered Beta</t>
  </si>
  <si>
    <t>Equity (Levered) Beta</t>
  </si>
  <si>
    <t>Cost of equity</t>
  </si>
  <si>
    <t>Std deviation in stock prices</t>
  </si>
  <si>
    <t>Pre-tax cost of debt</t>
  </si>
  <si>
    <t>Market Debt/Capital</t>
  </si>
  <si>
    <t>Cost of capital</t>
  </si>
  <si>
    <t>EV/EBITDA</t>
  </si>
  <si>
    <t>EV/EBIT</t>
  </si>
  <si>
    <t>Price/Book</t>
  </si>
  <si>
    <t>Trailing PE</t>
  </si>
  <si>
    <t>Non-cash WC as % of Revenues</t>
  </si>
  <si>
    <t>Cap Ex as % of Revenues</t>
  </si>
  <si>
    <t>Net Cap Ex as % of Revenues</t>
  </si>
  <si>
    <t>Reinvestment Rate</t>
  </si>
  <si>
    <t>Dividend Payout Ratio</t>
  </si>
  <si>
    <t>Equity Reinvestment Rate</t>
  </si>
  <si>
    <t>Bank (Money Center)</t>
  </si>
  <si>
    <t>Beverage (Soft)</t>
  </si>
  <si>
    <t>Construction Supplies</t>
  </si>
  <si>
    <t>Drugs (Biotechnology)</t>
  </si>
  <si>
    <t>Drugs (Pharmaceutical)</t>
  </si>
  <si>
    <t>Education</t>
  </si>
  <si>
    <t>Electronics (General)</t>
  </si>
  <si>
    <t>Engineering/Construction</t>
  </si>
  <si>
    <t>Green &amp; Renewable Energy</t>
  </si>
  <si>
    <t>Healthcare Support Services</t>
  </si>
  <si>
    <t>Hospitals/Healthcare Facilities</t>
  </si>
  <si>
    <t>Investments &amp; Asset Management</t>
  </si>
  <si>
    <t>Restaurant/Dining</t>
  </si>
  <si>
    <t>Software (Entertainment)</t>
  </si>
  <si>
    <t>Software (Internet)</t>
  </si>
  <si>
    <t>Software (System &amp; Application)</t>
  </si>
  <si>
    <t>Transportation (Railroads)</t>
  </si>
  <si>
    <t>Equity Risk Premium</t>
  </si>
  <si>
    <t>If you are a multinational company and have a breakdown by country, you can use this table (for up to 10 countries)</t>
  </si>
  <si>
    <t>Country</t>
  </si>
  <si>
    <t>Revenues</t>
  </si>
  <si>
    <t>ERP</t>
  </si>
  <si>
    <t>Weight</t>
  </si>
  <si>
    <t>Weighted ERP</t>
  </si>
  <si>
    <t>Bolivia</t>
  </si>
  <si>
    <t>Total</t>
  </si>
  <si>
    <t>If you are a multinational company and have a breakdown only by region, you can use this table instead</t>
  </si>
  <si>
    <t>Region</t>
  </si>
  <si>
    <t>Adj. Default Spread</t>
  </si>
  <si>
    <t>Country Risk Premium</t>
  </si>
  <si>
    <t>Abu Dhabi</t>
  </si>
  <si>
    <t>Middle East</t>
  </si>
  <si>
    <t>Albania</t>
  </si>
  <si>
    <t>Andorra (Principality of)</t>
  </si>
  <si>
    <t>Western Europe</t>
  </si>
  <si>
    <t>Angola</t>
  </si>
  <si>
    <t>Africa</t>
  </si>
  <si>
    <t>Argentina</t>
  </si>
  <si>
    <t>Central and South America</t>
  </si>
  <si>
    <t>Armenia</t>
  </si>
  <si>
    <t>Aruba</t>
  </si>
  <si>
    <t>Caribbean</t>
  </si>
  <si>
    <t>Australia</t>
  </si>
  <si>
    <t>Australia &amp; New Zealand</t>
  </si>
  <si>
    <t>Austria</t>
  </si>
  <si>
    <t>Azerbaijan</t>
  </si>
  <si>
    <t>Bahamas</t>
  </si>
  <si>
    <t>Bahrain</t>
  </si>
  <si>
    <t>Bangladesh</t>
  </si>
  <si>
    <t>Asia</t>
  </si>
  <si>
    <t>Barbados</t>
  </si>
  <si>
    <t>Belarus</t>
  </si>
  <si>
    <t>Belgium</t>
  </si>
  <si>
    <t>Belize</t>
  </si>
  <si>
    <t>Bermuda</t>
  </si>
  <si>
    <t>Bosnia and Herzegovina</t>
  </si>
  <si>
    <t>Botswana</t>
  </si>
  <si>
    <t>Brazil</t>
  </si>
  <si>
    <t>Bulgaria</t>
  </si>
  <si>
    <t>Burkina Faso</t>
  </si>
  <si>
    <t>Cambodia</t>
  </si>
  <si>
    <t>Cameroon</t>
  </si>
  <si>
    <t>Canada</t>
  </si>
  <si>
    <t>North America</t>
  </si>
  <si>
    <t>Cayman Islands</t>
  </si>
  <si>
    <t>Cape Verde</t>
  </si>
  <si>
    <t>Chile</t>
  </si>
  <si>
    <t>China</t>
  </si>
  <si>
    <t>Colombia</t>
  </si>
  <si>
    <t>Congo (Democratic Republic of)</t>
  </si>
  <si>
    <t>Congo (Republic of)</t>
  </si>
  <si>
    <t>Cook Islands</t>
  </si>
  <si>
    <t>Costa Rica</t>
  </si>
  <si>
    <t>Croatia</t>
  </si>
  <si>
    <t>Cuba</t>
  </si>
  <si>
    <t>Cyprus</t>
  </si>
  <si>
    <t>Czech Republic</t>
  </si>
  <si>
    <t>Denmark</t>
  </si>
  <si>
    <t>Dominican Republic</t>
  </si>
  <si>
    <t>Ecuador</t>
  </si>
  <si>
    <t>Egypt</t>
  </si>
  <si>
    <t>El Salvador</t>
  </si>
  <si>
    <t>Estonia</t>
  </si>
  <si>
    <t>Ethiopia</t>
  </si>
  <si>
    <t>Fiji</t>
  </si>
  <si>
    <t>Finland</t>
  </si>
  <si>
    <t>France</t>
  </si>
  <si>
    <t>Gabon</t>
  </si>
  <si>
    <t>Georgia</t>
  </si>
  <si>
    <t>Germany</t>
  </si>
  <si>
    <t>Ghana</t>
  </si>
  <si>
    <t>Greece</t>
  </si>
  <si>
    <t>Guatemala</t>
  </si>
  <si>
    <t>Honduras</t>
  </si>
  <si>
    <t>Hong Kong</t>
  </si>
  <si>
    <t>Hungary</t>
  </si>
  <si>
    <t>Iceland</t>
  </si>
  <si>
    <t>India</t>
  </si>
  <si>
    <t>Indonesia</t>
  </si>
  <si>
    <t>Ireland</t>
  </si>
  <si>
    <t>Isle of Man</t>
  </si>
  <si>
    <t>Israel</t>
  </si>
  <si>
    <t>Italy</t>
  </si>
  <si>
    <t>Jamaica</t>
  </si>
  <si>
    <t>Japan</t>
  </si>
  <si>
    <t>Jordan</t>
  </si>
  <si>
    <t>Kazakhstan</t>
  </si>
  <si>
    <t>Kenya</t>
  </si>
  <si>
    <t>Kuwait</t>
  </si>
  <si>
    <t>Latvia</t>
  </si>
  <si>
    <t>Lebanon</t>
  </si>
  <si>
    <t>Liechtenstein</t>
  </si>
  <si>
    <t>Lithuania</t>
  </si>
  <si>
    <t>Luxembourg</t>
  </si>
  <si>
    <t>Macedonia</t>
  </si>
  <si>
    <t>Malaysia</t>
  </si>
  <si>
    <t>Malta</t>
  </si>
  <si>
    <t>Mauritius</t>
  </si>
  <si>
    <t>Mexico</t>
  </si>
  <si>
    <t>Moldova</t>
  </si>
  <si>
    <t>Mongolia</t>
  </si>
  <si>
    <t>Montenegro</t>
  </si>
  <si>
    <t>Montserrat</t>
  </si>
  <si>
    <t>Morocco</t>
  </si>
  <si>
    <t>Mozambique</t>
  </si>
  <si>
    <t>Namibia</t>
  </si>
  <si>
    <t>Netherlands</t>
  </si>
  <si>
    <t>New Zealand</t>
  </si>
  <si>
    <t>Nicaragua</t>
  </si>
  <si>
    <t>Nigeria</t>
  </si>
  <si>
    <t>Norway</t>
  </si>
  <si>
    <t>Oman</t>
  </si>
  <si>
    <t>Pakistan</t>
  </si>
  <si>
    <t>Panama</t>
  </si>
  <si>
    <t>Papua New Guinea</t>
  </si>
  <si>
    <t>Paraguay</t>
  </si>
  <si>
    <t>Peru</t>
  </si>
  <si>
    <t>Philippines</t>
  </si>
  <si>
    <t>Poland</t>
  </si>
  <si>
    <t>Portugal</t>
  </si>
  <si>
    <t>Qatar</t>
  </si>
  <si>
    <t>Ras Al Khaimah (Emirate of)</t>
  </si>
  <si>
    <t>Romania</t>
  </si>
  <si>
    <t>Russia</t>
  </si>
  <si>
    <t>Rwanda</t>
  </si>
  <si>
    <t>Saudi Arabia</t>
  </si>
  <si>
    <t>Senegal</t>
  </si>
  <si>
    <t>Serbia</t>
  </si>
  <si>
    <t>Sharjah</t>
  </si>
  <si>
    <t>Singapore</t>
  </si>
  <si>
    <t>Slovakia</t>
  </si>
  <si>
    <t>Slovenia</t>
  </si>
  <si>
    <t>South Africa</t>
  </si>
  <si>
    <t>Spain</t>
  </si>
  <si>
    <t>Sri Lanka</t>
  </si>
  <si>
    <t>St. Maarten</t>
  </si>
  <si>
    <t>St. Vincent &amp; the Grenadines</t>
  </si>
  <si>
    <t>Suriname</t>
  </si>
  <si>
    <t>Sweden</t>
  </si>
  <si>
    <t>Switzerland</t>
  </si>
  <si>
    <t>Taiwan</t>
  </si>
  <si>
    <t>Thailand</t>
  </si>
  <si>
    <t>Tunisia</t>
  </si>
  <si>
    <t>Turkey</t>
  </si>
  <si>
    <t>Uganda</t>
  </si>
  <si>
    <t>Ukraine</t>
  </si>
  <si>
    <t>United Arab Emirates</t>
  </si>
  <si>
    <t>United Kingdom</t>
  </si>
  <si>
    <t>Uruguay</t>
  </si>
  <si>
    <t>Venezuela</t>
  </si>
  <si>
    <t>Vietnam</t>
  </si>
  <si>
    <t>Zambia</t>
  </si>
  <si>
    <t>Global</t>
  </si>
  <si>
    <t>Corporate Tax Rate</t>
  </si>
  <si>
    <t>Publishing &amp; Newspapers</t>
  </si>
  <si>
    <t>Iraq</t>
  </si>
  <si>
    <t>Kyrgyzstan</t>
  </si>
  <si>
    <t>United States</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</si>
  <si>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</si>
  <si>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</si>
  <si>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</si>
  <si>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</si>
  <si>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</si>
  <si>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</si>
  <si>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</si>
  <si>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</si>
  <si>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</si>
  <si>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</si>
  <si>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</si>
  <si>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</si>
  <si>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</si>
  <si>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</si>
  <si>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</si>
  <si>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</si>
  <si>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</si>
  <si>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</si>
  <si>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</si>
  <si>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</si>
  <si>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</si>
  <si>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</si>
  <si>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</si>
  <si>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</si>
  <si>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</si>
  <si>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</si>
  <si>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</si>
  <si>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</si>
  <si>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</si>
  <si>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</si>
  <si>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Laos</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</si>
  <si>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</si>
  <si>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</si>
  <si>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</si>
  <si>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</si>
  <si>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</si>
  <si>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</si>
  <si>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</si>
  <si>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</si>
  <si>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</si>
  <si>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</si>
  <si>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</si>
  <si>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</si>
  <si>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</si>
  <si>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</si>
  <si>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</si>
  <si>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</si>
  <si>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</si>
  <si>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Pre-tax Operating Margin (Unadjusted)</t>
  </si>
  <si>
    <t>Pre-tax Operating Margin (Lease &amp; R&amp;D adjusted)</t>
  </si>
  <si>
    <t>Mature Market ERP +</t>
  </si>
  <si>
    <t>C</t>
  </si>
  <si>
    <t>Input cell</t>
  </si>
  <si>
    <t>Calculated cell</t>
  </si>
  <si>
    <t>Your Company inputs</t>
  </si>
  <si>
    <t>Use industry average sheet for guidance</t>
  </si>
  <si>
    <t>Up to 15 years</t>
  </si>
  <si>
    <t>The model uses the riskfree rate as the growth rate in perpeutiy. If you want to change that assumption, you can do so below (but you are entering dangerous territory)</t>
  </si>
  <si>
    <t>Do you want to override the detault &amp; use a different growth rate</t>
  </si>
  <si>
    <t>Changing this number will update all your country equity risk premiums.</t>
  </si>
  <si>
    <t>NR</t>
  </si>
  <si>
    <t>Ca</t>
  </si>
  <si>
    <t>Caa3</t>
  </si>
  <si>
    <t>Guernsey (States of)</t>
  </si>
  <si>
    <t>Jersey (States of)</t>
  </si>
  <si>
    <t>Maldives</t>
  </si>
  <si>
    <t>Uzbekistan</t>
  </si>
  <si>
    <t>Tax Rate</t>
  </si>
  <si>
    <t>Use the ERP calculator for guidance</t>
  </si>
  <si>
    <t>Use the currrent riskfree rate in your currency of choice.</t>
  </si>
  <si>
    <t>JP Morgan Chase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</si>
  <si>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</si>
  <si>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</si>
  <si>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</si>
  <si>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</si>
  <si>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</si>
  <si>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</si>
  <si>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</si>
  <si>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</si>
  <si>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</si>
  <si>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</si>
  <si>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</si>
  <si>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</si>
  <si>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</si>
  <si>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</si>
  <si>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</si>
  <si>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</si>
  <si>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</si>
  <si>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</si>
  <si>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</si>
  <si>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</si>
  <si>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</si>
  <si>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</si>
  <si>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</si>
  <si>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Retail (REITs)</t>
  </si>
  <si>
    <t>Current Dividends (aggregate) =</t>
  </si>
  <si>
    <t>Number of shares outstanding</t>
  </si>
  <si>
    <t>Current stock price</t>
  </si>
  <si>
    <t>Value at the end of growth phase =</t>
  </si>
  <si>
    <t>Value per share =</t>
  </si>
  <si>
    <t>Dividends</t>
  </si>
  <si>
    <t>Price per share =</t>
  </si>
  <si>
    <t>Last 12 months</t>
  </si>
  <si>
    <t>If no, enter the expected growth rate in earnings in high growth =</t>
  </si>
  <si>
    <t>The Assumptions</t>
  </si>
  <si>
    <t>Base year</t>
  </si>
  <si>
    <t>Link to story</t>
  </si>
  <si>
    <t>Moves to</t>
  </si>
  <si>
    <t>The Cash Flows</t>
  </si>
  <si>
    <t>Terminal year</t>
  </si>
  <si>
    <t>The Value</t>
  </si>
  <si>
    <t>Stock was trading at =</t>
  </si>
  <si>
    <t>Name for your valuation story</t>
  </si>
  <si>
    <t xml:space="preserve">JP Morgan, the largest bank in the world, also happens to be one of the best regarded. With a large and very sticky deposit base, and a client list that includes almost every corporate heavyweight, JPM will continue to deliver supeiror returns on equity, aided by the the stresses on smaller banks. Its size will make it difficult to deliver high growth, but it will manage to </t>
  </si>
  <si>
    <t>Return on Equity</t>
  </si>
  <si>
    <t>Growth Period - !st Half</t>
  </si>
  <si>
    <t>2nd half</t>
  </si>
  <si>
    <t>Stable Growth</t>
  </si>
  <si>
    <t>Payout Ratio</t>
  </si>
  <si>
    <t>Expected Growth</t>
  </si>
  <si>
    <t>Cumulated Cost of Equity</t>
  </si>
  <si>
    <t>PV of Dividends</t>
  </si>
  <si>
    <t>Earnings per share</t>
  </si>
  <si>
    <t>Dividends per share</t>
  </si>
  <si>
    <t>Expected dividends in terminal year</t>
  </si>
  <si>
    <t>Expected growth rate in perpetuity</t>
  </si>
  <si>
    <t>Cost of equity in perpetuity</t>
  </si>
  <si>
    <t>Terminal value per shae</t>
  </si>
  <si>
    <t>PV of terminal value =</t>
  </si>
  <si>
    <t>PV of dividends during high growth =</t>
  </si>
  <si>
    <t>Gain market share at expense of smaller banks, but size acts as a limiting factor.</t>
  </si>
  <si>
    <t>Payout ratio a function of growth and ROE</t>
  </si>
  <si>
    <t>Significant competitive advantages and superior management team.</t>
  </si>
  <si>
    <t>Median cost of equity for large banks</t>
  </si>
  <si>
    <t>Value of equity =</t>
  </si>
  <si>
    <t xml:space="preserve">Value of equity </t>
  </si>
  <si>
    <t>Number of shares outstanding =</t>
  </si>
  <si>
    <t>% Under or Over Valued</t>
  </si>
  <si>
    <t>Return on equity in Stable Phase =</t>
  </si>
  <si>
    <t>Return on equity</t>
  </si>
  <si>
    <t>Return on Equity =</t>
  </si>
  <si>
    <t>Growth rate in Net Income -</t>
  </si>
  <si>
    <t>Updated Jan 1, 2025</t>
  </si>
  <si>
    <t>Nepal</t>
  </si>
  <si>
    <t>Weighted Average: Default Spreads</t>
  </si>
  <si>
    <t>Weighted Average: CRP</t>
  </si>
  <si>
    <t>Total GDP (in $ millions)</t>
  </si>
  <si>
    <t>Eastern Europe</t>
  </si>
  <si>
    <t>Tax rate</t>
  </si>
  <si>
    <t>Africa &amp; Mid East</t>
  </si>
  <si>
    <t>Australia, NZ &amp; Canada</t>
  </si>
  <si>
    <t>Latin America &amp; Caribbean</t>
  </si>
  <si>
    <t>US</t>
  </si>
  <si>
    <t>Europe</t>
  </si>
  <si>
    <t>Emerging Markets</t>
  </si>
  <si>
    <t>Small Asia (No India, China &amp; Japan)</t>
  </si>
  <si>
    <t>For other regional groupings</t>
  </si>
  <si>
    <t>EMEA</t>
  </si>
  <si>
    <t>Dimon in the Rough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</si>
</sst>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6" formatCode="&quot;$&quot;#,##0_);[Red]\(&quot;$&quot;#,##0\)"/>
    <numFmt numFmtId="8" formatCode="&quot;$&quot;#,##0.00_);[Red]\(&quot;$&quot;#,##0.00\)"/>
    <numFmt numFmtId="164" formatCode="0.0000%"/>
    <numFmt numFmtId="165" formatCode="&quot;$&quot;#,##0.00"/>
    <numFmt numFmtId="166" formatCode="0.0%"/>
    <numFmt numFmtId="167" formatCode="[$₩-412]#,##0.00"/>
    <numFmt numFmtId="168" formatCode="_(&quot;$&quot;* #,##0_);_(&quot;$&quot;* \(#,##0\);_(&quot;$&quot;* &quot;-&quot;??_);_(@_)"/>
    <numFmt numFmtId="169" formatCode="0.0000"/>
    <numFmt numFmtId="170" formatCode="&quot;$&quot;#,##0"/>
  </numFmts>
  <fonts count="41">
    <font>
      <sz val="10"/>
      <name val="Geneva"/>
      <charset val="1"/>
    </font>
    <font>
      <b/>
      <sz val="10"/>
      <name val="Geneva"/>
      <family val="2"/>
      <charset val="1"/>
    </font>
    <font>
      <i/>
      <sz val="10"/>
      <name val="Geneva"/>
      <family val="2"/>
      <charset val="1"/>
    </font>
    <font>
      <sz val="10"/>
      <name val="Geneva"/>
      <family val="2"/>
      <charset val="1"/>
    </font>
    <font>
      <b/>
      <sz val="12"/>
      <name val="Times"/>
      <family val="1"/>
    </font>
    <font>
      <sz val="12"/>
      <name val="Times"/>
      <family val="1"/>
    </font>
    <font>
      <sz val="14"/>
      <name val="Geneva"/>
      <family val="2"/>
      <charset val="1"/>
    </font>
    <font>
      <sz val="10"/>
      <name val="Times"/>
      <family val="1"/>
    </font>
    <font>
      <sz val="10"/>
      <name val="Geneva"/>
      <family val="2"/>
      <charset val="1"/>
    </font>
    <font>
      <b/>
      <i/>
      <sz val="10"/>
      <name val="Times"/>
      <family val="1"/>
    </font>
    <font>
      <sz val="10"/>
      <name val="Geneva"/>
      <family val="2"/>
      <charset val="1"/>
    </font>
    <font>
      <sz val="10"/>
      <color indexed="10"/>
      <name val="Times"/>
      <family val="1"/>
    </font>
    <font>
      <sz val="8"/>
      <name val="Geneva"/>
      <family val="2"/>
      <charset val="1"/>
    </font>
    <font>
      <i/>
      <sz val="9"/>
      <name val="Geneva"/>
      <family val="2"/>
      <charset val="1"/>
    </font>
    <font>
      <sz val="10"/>
      <name val="Arial"/>
      <family val="2"/>
    </font>
    <font>
      <b/>
      <i/>
      <sz val="12"/>
      <name val="Times"/>
      <family val="1"/>
    </font>
    <font>
      <b/>
      <i/>
      <sz val="14"/>
      <name val="Times"/>
      <family val="1"/>
    </font>
    <font>
      <i/>
      <sz val="12"/>
      <name val="Times"/>
      <family val="1"/>
    </font>
    <font>
      <b/>
      <sz val="10"/>
      <color indexed="8"/>
      <name val="Tahoma"/>
      <family val="2"/>
    </font>
    <font>
      <sz val="10"/>
      <color indexed="8"/>
      <name val="Tahoma"/>
      <family val="2"/>
    </font>
    <font>
      <sz val="12"/>
      <name val="Helvetica"/>
      <family val="2"/>
    </font>
    <font>
      <b/>
      <sz val="12"/>
      <name val="Helvetica"/>
      <family val="2"/>
    </font>
    <font>
      <i/>
      <sz val="12"/>
      <name val="Helvetica"/>
      <family val="2"/>
    </font>
    <font>
      <b/>
      <i/>
      <sz val="12"/>
      <name val="Helvetica"/>
      <family val="2"/>
    </font>
    <font>
      <b/>
      <sz val="14"/>
      <name val="Helvetica"/>
      <family val="2"/>
    </font>
    <font>
      <b/>
      <sz val="9"/>
      <color indexed="8"/>
      <name val="Geneva"/>
      <family val="2"/>
      <charset val="1"/>
    </font>
    <font>
      <sz val="9"/>
      <color indexed="8"/>
      <name val="Geneva"/>
      <family val="2"/>
      <charset val="1"/>
    </font>
    <font>
      <sz val="12"/>
      <color indexed="10"/>
      <name val="Helvetica"/>
      <family val="2"/>
    </font>
    <font>
      <sz val="8"/>
      <name val="Arial"/>
      <family val="2"/>
    </font>
    <font>
      <i/>
      <sz val="9"/>
      <name val="Geneva"/>
      <family val="2"/>
      <charset val="1"/>
    </font>
    <font>
      <i/>
      <sz val="10"/>
      <name val="Geneva"/>
      <family val="2"/>
      <charset val="1"/>
    </font>
    <font>
      <b/>
      <sz val="12"/>
      <color indexed="10"/>
      <name val="Helvetica"/>
      <family val="2"/>
    </font>
    <font>
      <sz val="12"/>
      <name val="Calibri"/>
      <family val="2"/>
      <scheme val="minor"/>
    </font>
    <font>
      <sz val="12"/>
      <color theme="1"/>
      <name val="Calibri"/>
      <family val="2"/>
      <scheme val="minor"/>
    </font>
    <font>
      <sz val="12"/>
      <color theme="1"/>
      <name val="Arial"/>
      <family val="2"/>
    </font>
    <font>
      <b/>
      <sz val="12"/>
      <color theme="1"/>
      <name val="Helvetica"/>
      <family val="2"/>
    </font>
    <font>
      <sz val="12"/>
      <color theme="1"/>
      <name val="Helvetica"/>
      <family val="2"/>
    </font>
    <font>
      <b/>
      <sz val="12"/>
      <color theme="1"/>
      <name val="Calibri"/>
      <family val="2"/>
      <scheme val="minor"/>
    </font>
    <font>
      <i/>
      <sz val="12"/>
      <color theme="1"/>
      <name val="Calibri"/>
      <family val="2"/>
      <scheme val="minor"/>
    </font>
    <font>
      <sz val="12"/>
      <color theme="0"/>
      <name val="Calibri"/>
      <family val="2"/>
      <scheme val="minor"/>
    </font>
    <font>
      <b/>
      <i/>
      <sz val="12"/>
      <color theme="1"/>
      <name val="Calibri"/>
      <family val="2"/>
      <scheme val="minor"/>
    </font>
  </fonts>
  <fills count="11">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2"/>
        <bgColor indexed="64"/>
      </patternFill>
    </fill>
    <fill>
      <patternFill patternType="solid">
        <fgColor theme="2"/>
        <bgColor theme="0" tint="-0.14999847407452621"/>
      </patternFill>
    </fill>
    <fill>
      <patternFill patternType="solid">
        <fgColor rgb="FF92D050"/>
        <bgColor indexed="64"/>
      </patternFill>
    </fill>
    <fill>
      <patternFill patternType="solid">
        <fgColor theme="1"/>
        <bgColor indexed="64"/>
      </patternFill>
    </fill>
    <fill>
      <patternFill patternType="solid">
        <fgColor theme="0" tint="-0.14999847407452621"/>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thin">
        <color theme="0"/>
      </left>
      <right style="thin">
        <color theme="0"/>
      </right>
      <top style="thin">
        <color theme="0"/>
      </top>
      <bottom style="thin">
        <color theme="0"/>
      </bottom>
      <diagonal/>
    </border>
  </borders>
  <cellStyleXfs count="3">
    <xf numFmtId="0" fontId="0" fillId="0" borderId="0"/>
    <xf numFmtId="8" fontId="3" fillId="0" borderId="0" applyFont="0" applyFill="0" applyBorder="0" applyAlignment="0" applyProtection="0"/>
    <xf numFmtId="9" fontId="3" fillId="0" borderId="0" applyFont="0" applyFill="0" applyBorder="0" applyAlignment="0" applyProtection="0"/>
  </cellStyleXfs>
  <cellXfs count="188">
    <xf numFmtId="0" fontId="0" fillId="0" borderId="0" xfId="0"/>
    <xf numFmtId="0" fontId="1" fillId="0" borderId="0" xfId="0" applyFont="1"/>
    <xf numFmtId="0" fontId="0" fillId="0" borderId="0" xfId="0" applyAlignment="1">
      <alignment horizontal="centerContinuous"/>
    </xf>
    <xf numFmtId="0" fontId="4" fillId="0" borderId="0" xfId="0" applyFont="1"/>
    <xf numFmtId="0" fontId="2" fillId="0" borderId="0" xfId="0" applyFont="1"/>
    <xf numFmtId="0" fontId="6" fillId="0" borderId="0" xfId="0" applyFont="1" applyAlignment="1">
      <alignment horizontal="centerContinuous"/>
    </xf>
    <xf numFmtId="0" fontId="7" fillId="0" borderId="0" xfId="0" applyFont="1"/>
    <xf numFmtId="0" fontId="8" fillId="0" borderId="0" xfId="0" applyFont="1"/>
    <xf numFmtId="0" fontId="7" fillId="0" borderId="0" xfId="0" applyFont="1" applyAlignment="1">
      <alignment horizontal="center"/>
    </xf>
    <xf numFmtId="0" fontId="10" fillId="0" borderId="0" xfId="0" applyFont="1"/>
    <xf numFmtId="0" fontId="11" fillId="0" borderId="0" xfId="0" applyFont="1"/>
    <xf numFmtId="0" fontId="0" fillId="0" borderId="1" xfId="0" applyBorder="1"/>
    <xf numFmtId="0" fontId="0" fillId="4" borderId="1" xfId="0" applyFill="1" applyBorder="1"/>
    <xf numFmtId="0" fontId="13" fillId="0" borderId="1" xfId="0" applyFont="1" applyBorder="1" applyAlignment="1">
      <alignment wrapText="1"/>
    </xf>
    <xf numFmtId="0" fontId="15" fillId="0" borderId="0" xfId="0" applyFont="1"/>
    <xf numFmtId="0" fontId="16" fillId="0" borderId="0" xfId="0" applyFont="1"/>
    <xf numFmtId="0" fontId="9" fillId="0" borderId="1" xfId="0" applyFont="1" applyBorder="1"/>
    <xf numFmtId="0" fontId="7" fillId="4" borderId="1" xfId="0" applyFont="1" applyFill="1" applyBorder="1"/>
    <xf numFmtId="10" fontId="7" fillId="5" borderId="1" xfId="2" applyNumberFormat="1" applyFont="1" applyFill="1" applyBorder="1"/>
    <xf numFmtId="0" fontId="7" fillId="5" borderId="1" xfId="0" applyFont="1" applyFill="1" applyBorder="1"/>
    <xf numFmtId="0" fontId="7" fillId="0" borderId="1" xfId="0" applyFont="1" applyBorder="1"/>
    <xf numFmtId="10" fontId="7" fillId="5" borderId="1" xfId="0" applyNumberFormat="1" applyFont="1" applyFill="1" applyBorder="1"/>
    <xf numFmtId="164" fontId="7" fillId="5" borderId="1" xfId="2" applyNumberFormat="1" applyFont="1" applyFill="1" applyBorder="1"/>
    <xf numFmtId="164" fontId="7" fillId="5" borderId="1" xfId="0" applyNumberFormat="1" applyFont="1" applyFill="1" applyBorder="1"/>
    <xf numFmtId="0" fontId="13" fillId="0" borderId="1" xfId="0" applyFont="1" applyBorder="1" applyAlignment="1">
      <alignment horizontal="center" wrapText="1"/>
    </xf>
    <xf numFmtId="10" fontId="13" fillId="0" borderId="1" xfId="0" applyNumberFormat="1" applyFont="1" applyBorder="1" applyAlignment="1">
      <alignment horizontal="center" wrapText="1"/>
    </xf>
    <xf numFmtId="2" fontId="13" fillId="0" borderId="1" xfId="0" applyNumberFormat="1" applyFont="1" applyBorder="1" applyAlignment="1">
      <alignment horizontal="center" wrapText="1"/>
    </xf>
    <xf numFmtId="10" fontId="7" fillId="4" borderId="1" xfId="0" applyNumberFormat="1" applyFont="1" applyFill="1" applyBorder="1"/>
    <xf numFmtId="0" fontId="0" fillId="0" borderId="0" xfId="0" applyAlignment="1">
      <alignment vertical="center" wrapText="1"/>
    </xf>
    <xf numFmtId="0" fontId="14" fillId="0" borderId="0" xfId="0" applyFont="1" applyAlignment="1">
      <alignment horizontal="left"/>
    </xf>
    <xf numFmtId="0" fontId="14" fillId="0" borderId="0" xfId="0" applyFont="1"/>
    <xf numFmtId="10" fontId="14" fillId="0" borderId="0" xfId="0" applyNumberFormat="1" applyFont="1"/>
    <xf numFmtId="2" fontId="14" fillId="0" borderId="0" xfId="0" applyNumberFormat="1" applyFont="1"/>
    <xf numFmtId="10" fontId="0" fillId="4" borderId="1" xfId="0" applyNumberFormat="1" applyFill="1" applyBorder="1"/>
    <xf numFmtId="0" fontId="20" fillId="0" borderId="0" xfId="0" applyFont="1"/>
    <xf numFmtId="0" fontId="21" fillId="0" borderId="0" xfId="0" applyFont="1"/>
    <xf numFmtId="8" fontId="20" fillId="3" borderId="1" xfId="0" applyNumberFormat="1" applyFont="1" applyFill="1" applyBorder="1" applyAlignment="1">
      <alignment horizontal="center"/>
    </xf>
    <xf numFmtId="8" fontId="20" fillId="3" borderId="1" xfId="1" applyFont="1" applyFill="1" applyBorder="1"/>
    <xf numFmtId="8" fontId="20" fillId="3" borderId="1" xfId="1" applyFont="1" applyFill="1" applyBorder="1" applyAlignment="1">
      <alignment horizontal="center"/>
    </xf>
    <xf numFmtId="0" fontId="20" fillId="0" borderId="0" xfId="0" applyFont="1" applyAlignment="1">
      <alignment horizontal="center"/>
    </xf>
    <xf numFmtId="0" fontId="20" fillId="3" borderId="1" xfId="0" applyFont="1" applyFill="1" applyBorder="1" applyAlignment="1">
      <alignment horizontal="center"/>
    </xf>
    <xf numFmtId="10" fontId="20" fillId="3" borderId="1" xfId="0" applyNumberFormat="1" applyFont="1" applyFill="1" applyBorder="1" applyAlignment="1">
      <alignment horizontal="center"/>
    </xf>
    <xf numFmtId="10" fontId="20" fillId="2" borderId="1" xfId="0" applyNumberFormat="1" applyFont="1" applyFill="1" applyBorder="1" applyAlignment="1">
      <alignment horizontal="center"/>
    </xf>
    <xf numFmtId="10" fontId="20" fillId="0" borderId="0" xfId="0" applyNumberFormat="1" applyFont="1" applyAlignment="1">
      <alignment horizontal="center"/>
    </xf>
    <xf numFmtId="10" fontId="20" fillId="2" borderId="1" xfId="2" applyNumberFormat="1" applyFont="1" applyFill="1" applyBorder="1" applyAlignment="1">
      <alignment horizontal="center"/>
    </xf>
    <xf numFmtId="2" fontId="20" fillId="3" borderId="1" xfId="0" applyNumberFormat="1" applyFont="1" applyFill="1" applyBorder="1" applyAlignment="1">
      <alignment horizontal="center"/>
    </xf>
    <xf numFmtId="0" fontId="22" fillId="0" borderId="0" xfId="0" applyFont="1"/>
    <xf numFmtId="0" fontId="23" fillId="0" borderId="0" xfId="0" applyFont="1"/>
    <xf numFmtId="10" fontId="20" fillId="5" borderId="1" xfId="0" applyNumberFormat="1" applyFont="1" applyFill="1" applyBorder="1" applyAlignment="1">
      <alignment horizontal="center"/>
    </xf>
    <xf numFmtId="0" fontId="3" fillId="0" borderId="0" xfId="0" applyFont="1"/>
    <xf numFmtId="0" fontId="0" fillId="0" borderId="0" xfId="0" applyAlignment="1">
      <alignment horizontal="center"/>
    </xf>
    <xf numFmtId="0" fontId="20" fillId="4" borderId="2" xfId="0" applyFont="1" applyFill="1" applyBorder="1"/>
    <xf numFmtId="0" fontId="20" fillId="5" borderId="2" xfId="0" applyFont="1" applyFill="1" applyBorder="1"/>
    <xf numFmtId="0" fontId="20" fillId="4" borderId="1" xfId="0" applyFont="1" applyFill="1" applyBorder="1" applyAlignment="1">
      <alignment horizontal="center"/>
    </xf>
    <xf numFmtId="0" fontId="20" fillId="0" borderId="1" xfId="0" applyFont="1" applyBorder="1" applyAlignment="1">
      <alignment horizontal="center"/>
    </xf>
    <xf numFmtId="8" fontId="20" fillId="2" borderId="1" xfId="1" applyFont="1" applyFill="1" applyBorder="1" applyAlignment="1">
      <alignment horizontal="center"/>
    </xf>
    <xf numFmtId="0" fontId="21" fillId="0" borderId="0" xfId="0" applyFont="1" applyAlignment="1">
      <alignment horizontal="centerContinuous"/>
    </xf>
    <xf numFmtId="0" fontId="20" fillId="0" borderId="0" xfId="0" applyFont="1" applyAlignment="1">
      <alignment horizontal="centerContinuous"/>
    </xf>
    <xf numFmtId="6" fontId="20" fillId="2" borderId="1" xfId="1" applyNumberFormat="1" applyFont="1" applyFill="1" applyBorder="1" applyAlignment="1">
      <alignment horizontal="center"/>
    </xf>
    <xf numFmtId="10" fontId="22" fillId="2" borderId="1" xfId="0" applyNumberFormat="1" applyFont="1" applyFill="1" applyBorder="1" applyAlignment="1">
      <alignment horizontal="center"/>
    </xf>
    <xf numFmtId="0" fontId="22" fillId="0" borderId="0" xfId="0" applyFont="1" applyAlignment="1">
      <alignment horizontal="center"/>
    </xf>
    <xf numFmtId="0" fontId="20" fillId="0" borderId="1" xfId="0" applyFont="1" applyBorder="1" applyAlignment="1">
      <alignment horizontal="left"/>
    </xf>
    <xf numFmtId="10" fontId="20" fillId="0" borderId="1" xfId="2" applyNumberFormat="1" applyFont="1" applyBorder="1" applyAlignment="1">
      <alignment horizontal="center"/>
    </xf>
    <xf numFmtId="0" fontId="21" fillId="0" borderId="0" xfId="0" applyFont="1" applyAlignment="1">
      <alignment horizontal="center"/>
    </xf>
    <xf numFmtId="0" fontId="27" fillId="0" borderId="0" xfId="0" applyFont="1"/>
    <xf numFmtId="10" fontId="28" fillId="0" borderId="0" xfId="0" applyNumberFormat="1" applyFont="1"/>
    <xf numFmtId="0" fontId="30" fillId="0" borderId="0" xfId="0" applyFont="1"/>
    <xf numFmtId="10" fontId="0" fillId="0" borderId="0" xfId="0" applyNumberFormat="1" applyAlignment="1">
      <alignment horizontal="center"/>
    </xf>
    <xf numFmtId="0" fontId="27" fillId="0" borderId="0" xfId="0" applyFont="1" applyAlignment="1">
      <alignment horizontal="centerContinuous"/>
    </xf>
    <xf numFmtId="0" fontId="31" fillId="0" borderId="0" xfId="0" applyFont="1"/>
    <xf numFmtId="0" fontId="20" fillId="4" borderId="3" xfId="0" applyFont="1" applyFill="1" applyBorder="1" applyAlignment="1">
      <alignment horizontal="center"/>
    </xf>
    <xf numFmtId="15" fontId="20" fillId="4" borderId="1" xfId="0" applyNumberFormat="1" applyFont="1" applyFill="1" applyBorder="1" applyAlignment="1">
      <alignment horizontal="center"/>
    </xf>
    <xf numFmtId="0" fontId="17" fillId="6" borderId="1" xfId="0" applyFont="1" applyFill="1" applyBorder="1"/>
    <xf numFmtId="0" fontId="5" fillId="6" borderId="1" xfId="0" applyFont="1" applyFill="1" applyBorder="1" applyAlignment="1">
      <alignment horizontal="center"/>
    </xf>
    <xf numFmtId="0" fontId="17" fillId="6" borderId="1" xfId="0" applyFont="1" applyFill="1" applyBorder="1" applyAlignment="1">
      <alignment horizontal="center"/>
    </xf>
    <xf numFmtId="0" fontId="5" fillId="6" borderId="1" xfId="0" applyFont="1" applyFill="1" applyBorder="1"/>
    <xf numFmtId="0" fontId="32" fillId="0" borderId="1" xfId="0" applyFont="1" applyBorder="1" applyAlignment="1">
      <alignment horizontal="center"/>
    </xf>
    <xf numFmtId="10" fontId="32" fillId="0" borderId="1" xfId="0" applyNumberFormat="1" applyFont="1" applyBorder="1" applyAlignment="1">
      <alignment horizontal="center"/>
    </xf>
    <xf numFmtId="0" fontId="33" fillId="7" borderId="1" xfId="0" applyFont="1" applyFill="1" applyBorder="1"/>
    <xf numFmtId="0" fontId="33" fillId="6" borderId="1" xfId="0" applyFont="1" applyFill="1" applyBorder="1"/>
    <xf numFmtId="0" fontId="34" fillId="6" borderId="38" xfId="0" applyFont="1" applyFill="1" applyBorder="1" applyAlignment="1">
      <alignment horizontal="left"/>
    </xf>
    <xf numFmtId="0" fontId="34" fillId="0" borderId="38" xfId="0" applyFont="1" applyBorder="1" applyAlignment="1">
      <alignment horizontal="left"/>
    </xf>
    <xf numFmtId="0" fontId="29" fillId="0" borderId="39" xfId="0" applyFont="1" applyBorder="1"/>
    <xf numFmtId="0" fontId="29" fillId="0" borderId="39" xfId="0" applyFont="1" applyBorder="1" applyAlignment="1">
      <alignment horizontal="center"/>
    </xf>
    <xf numFmtId="0" fontId="0" fillId="0" borderId="39" xfId="0" applyBorder="1"/>
    <xf numFmtId="10" fontId="0" fillId="0" borderId="39" xfId="0" applyNumberFormat="1" applyBorder="1" applyAlignment="1">
      <alignment horizontal="center"/>
    </xf>
    <xf numFmtId="0" fontId="35" fillId="0" borderId="0" xfId="0" applyFont="1"/>
    <xf numFmtId="2" fontId="20" fillId="3" borderId="1" xfId="1" applyNumberFormat="1" applyFont="1" applyFill="1" applyBorder="1" applyAlignment="1">
      <alignment horizontal="center"/>
    </xf>
    <xf numFmtId="8" fontId="20" fillId="4" borderId="1" xfId="1" applyFont="1" applyFill="1" applyBorder="1" applyAlignment="1">
      <alignment horizontal="center"/>
    </xf>
    <xf numFmtId="165" fontId="20" fillId="4" borderId="1" xfId="0" applyNumberFormat="1" applyFont="1" applyFill="1" applyBorder="1"/>
    <xf numFmtId="8" fontId="36" fillId="2" borderId="1" xfId="1" applyFont="1" applyFill="1" applyBorder="1" applyAlignment="1">
      <alignment horizontal="left" indent="2"/>
    </xf>
    <xf numFmtId="8" fontId="21" fillId="2" borderId="1" xfId="1" applyFont="1" applyFill="1" applyBorder="1" applyAlignment="1">
      <alignment horizontal="left" indent="2"/>
    </xf>
    <xf numFmtId="8" fontId="21" fillId="8" borderId="4" xfId="0" applyNumberFormat="1" applyFont="1" applyFill="1" applyBorder="1" applyAlignment="1">
      <alignment horizontal="center"/>
    </xf>
    <xf numFmtId="9" fontId="20" fillId="3" borderId="1" xfId="0" applyNumberFormat="1" applyFont="1" applyFill="1" applyBorder="1" applyAlignment="1">
      <alignment horizontal="center"/>
    </xf>
    <xf numFmtId="17" fontId="37" fillId="0" borderId="1" xfId="0" applyNumberFormat="1" applyFont="1" applyBorder="1"/>
    <xf numFmtId="0" fontId="32" fillId="0" borderId="5" xfId="0" applyFont="1" applyBorder="1"/>
    <xf numFmtId="0" fontId="38" fillId="0" borderId="3" xfId="0" applyFont="1" applyBorder="1" applyAlignment="1">
      <alignment horizontal="center"/>
    </xf>
    <xf numFmtId="0" fontId="38" fillId="0" borderId="6" xfId="0" applyFont="1" applyBorder="1" applyAlignment="1">
      <alignment horizontal="center"/>
    </xf>
    <xf numFmtId="0" fontId="32" fillId="0" borderId="7" xfId="0" applyFont="1" applyBorder="1"/>
    <xf numFmtId="165" fontId="32" fillId="0" borderId="1" xfId="1" applyNumberFormat="1" applyFont="1" applyBorder="1" applyAlignment="1">
      <alignment horizontal="center"/>
    </xf>
    <xf numFmtId="10" fontId="32" fillId="6" borderId="1" xfId="0" applyNumberFormat="1" applyFont="1" applyFill="1" applyBorder="1" applyAlignment="1">
      <alignment horizontal="center"/>
    </xf>
    <xf numFmtId="10" fontId="32" fillId="6" borderId="8" xfId="0" applyNumberFormat="1" applyFont="1" applyFill="1" applyBorder="1" applyAlignment="1">
      <alignment horizontal="center"/>
    </xf>
    <xf numFmtId="0" fontId="32" fillId="6" borderId="9" xfId="0" applyFont="1" applyFill="1" applyBorder="1" applyAlignment="1">
      <alignment wrapText="1"/>
    </xf>
    <xf numFmtId="0" fontId="32" fillId="0" borderId="10" xfId="0" applyFont="1" applyBorder="1"/>
    <xf numFmtId="10" fontId="32" fillId="0" borderId="11" xfId="0" applyNumberFormat="1" applyFont="1" applyBorder="1" applyAlignment="1">
      <alignment horizontal="center"/>
    </xf>
    <xf numFmtId="0" fontId="32" fillId="6" borderId="12" xfId="0" applyFont="1" applyFill="1" applyBorder="1"/>
    <xf numFmtId="0" fontId="38" fillId="0" borderId="13" xfId="0" applyFont="1" applyBorder="1" applyAlignment="1">
      <alignment horizontal="center"/>
    </xf>
    <xf numFmtId="0" fontId="38" fillId="0" borderId="14" xfId="0" applyFont="1" applyBorder="1" applyAlignment="1">
      <alignment horizontal="center"/>
    </xf>
    <xf numFmtId="167" fontId="38" fillId="0" borderId="14" xfId="0" applyNumberFormat="1" applyFont="1" applyBorder="1" applyAlignment="1">
      <alignment horizontal="center"/>
    </xf>
    <xf numFmtId="167" fontId="38" fillId="0" borderId="15" xfId="0" applyNumberFormat="1" applyFont="1" applyBorder="1" applyAlignment="1">
      <alignment horizontal="center"/>
    </xf>
    <xf numFmtId="0" fontId="32" fillId="0" borderId="7" xfId="0" applyFont="1" applyBorder="1" applyAlignment="1">
      <alignment horizontal="center"/>
    </xf>
    <xf numFmtId="10" fontId="32" fillId="0" borderId="1" xfId="2" applyNumberFormat="1" applyFont="1" applyBorder="1" applyAlignment="1">
      <alignment horizontal="center"/>
    </xf>
    <xf numFmtId="165" fontId="32" fillId="0" borderId="16" xfId="1" applyNumberFormat="1" applyFont="1" applyBorder="1" applyAlignment="1">
      <alignment horizontal="center"/>
    </xf>
    <xf numFmtId="0" fontId="32" fillId="0" borderId="10" xfId="0" applyFont="1" applyBorder="1" applyAlignment="1">
      <alignment horizontal="center"/>
    </xf>
    <xf numFmtId="10" fontId="32" fillId="0" borderId="11" xfId="2" applyNumberFormat="1" applyFont="1" applyBorder="1" applyAlignment="1">
      <alignment horizontal="center"/>
    </xf>
    <xf numFmtId="165" fontId="39" fillId="9" borderId="40" xfId="1" applyNumberFormat="1" applyFont="1" applyFill="1" applyBorder="1"/>
    <xf numFmtId="168" fontId="32" fillId="0" borderId="17" xfId="1" applyNumberFormat="1" applyFont="1" applyFill="1" applyBorder="1"/>
    <xf numFmtId="0" fontId="32" fillId="0" borderId="17" xfId="0" applyFont="1" applyBorder="1"/>
    <xf numFmtId="0" fontId="32" fillId="0" borderId="18" xfId="0" applyFont="1" applyBorder="1"/>
    <xf numFmtId="168" fontId="32" fillId="0" borderId="0" xfId="1" applyNumberFormat="1" applyFont="1" applyFill="1" applyBorder="1"/>
    <xf numFmtId="0" fontId="32" fillId="0" borderId="0" xfId="0" applyFont="1"/>
    <xf numFmtId="0" fontId="32" fillId="0" borderId="19" xfId="0" applyFont="1" applyBorder="1"/>
    <xf numFmtId="0" fontId="32" fillId="0" borderId="0" xfId="0" applyFont="1" applyAlignment="1">
      <alignment horizontal="left"/>
    </xf>
    <xf numFmtId="10" fontId="32" fillId="0" borderId="20" xfId="0" applyNumberFormat="1" applyFont="1" applyBorder="1" applyAlignment="1">
      <alignment horizontal="center"/>
    </xf>
    <xf numFmtId="169" fontId="32" fillId="0" borderId="1" xfId="1" applyNumberFormat="1" applyFont="1" applyBorder="1" applyAlignment="1">
      <alignment horizontal="center"/>
    </xf>
    <xf numFmtId="0" fontId="32" fillId="0" borderId="21" xfId="0" applyFont="1" applyBorder="1" applyAlignment="1">
      <alignment horizontal="center"/>
    </xf>
    <xf numFmtId="10" fontId="32" fillId="0" borderId="2" xfId="2" applyNumberFormat="1" applyFont="1" applyBorder="1" applyAlignment="1">
      <alignment horizontal="center"/>
    </xf>
    <xf numFmtId="169" fontId="32" fillId="0" borderId="2" xfId="1" applyNumberFormat="1" applyFont="1" applyBorder="1" applyAlignment="1">
      <alignment horizontal="center"/>
    </xf>
    <xf numFmtId="169" fontId="32" fillId="0" borderId="11" xfId="1" applyNumberFormat="1" applyFont="1" applyBorder="1" applyAlignment="1">
      <alignment horizontal="center"/>
    </xf>
    <xf numFmtId="10" fontId="39" fillId="9" borderId="40" xfId="2" applyNumberFormat="1" applyFont="1" applyFill="1" applyBorder="1"/>
    <xf numFmtId="165" fontId="39" fillId="9" borderId="22" xfId="1" applyNumberFormat="1" applyFont="1" applyFill="1" applyBorder="1" applyAlignment="1">
      <alignment horizontal="center"/>
    </xf>
    <xf numFmtId="0" fontId="32" fillId="6" borderId="9" xfId="0" applyFont="1" applyFill="1" applyBorder="1" applyAlignment="1">
      <alignment horizontal="left" wrapText="1"/>
    </xf>
    <xf numFmtId="0" fontId="32" fillId="0" borderId="23" xfId="0" applyFont="1" applyBorder="1"/>
    <xf numFmtId="0" fontId="32" fillId="0" borderId="24" xfId="0" applyFont="1" applyBorder="1"/>
    <xf numFmtId="0" fontId="0" fillId="0" borderId="19" xfId="0" applyBorder="1"/>
    <xf numFmtId="10" fontId="39" fillId="9" borderId="22" xfId="2" applyNumberFormat="1" applyFont="1" applyFill="1" applyBorder="1" applyAlignment="1">
      <alignment horizontal="center"/>
    </xf>
    <xf numFmtId="2" fontId="39" fillId="9" borderId="40" xfId="0" applyNumberFormat="1" applyFont="1" applyFill="1" applyBorder="1"/>
    <xf numFmtId="165" fontId="39" fillId="9" borderId="40" xfId="0" applyNumberFormat="1" applyFont="1" applyFill="1" applyBorder="1"/>
    <xf numFmtId="0" fontId="20" fillId="0" borderId="16" xfId="0" applyFont="1" applyBorder="1" applyAlignment="1">
      <alignment horizontal="center"/>
    </xf>
    <xf numFmtId="0" fontId="20" fillId="0" borderId="9" xfId="0" applyFont="1" applyBorder="1" applyAlignment="1">
      <alignment horizontal="center"/>
    </xf>
    <xf numFmtId="0" fontId="20" fillId="0" borderId="8" xfId="0" applyFont="1" applyBorder="1" applyAlignment="1">
      <alignment horizontal="center"/>
    </xf>
    <xf numFmtId="0" fontId="20" fillId="0" borderId="16" xfId="0" applyFont="1" applyBorder="1" applyAlignment="1">
      <alignment horizontal="left"/>
    </xf>
    <xf numFmtId="0" fontId="20" fillId="0" borderId="9" xfId="0" applyFont="1" applyBorder="1" applyAlignment="1">
      <alignment horizontal="left"/>
    </xf>
    <xf numFmtId="0" fontId="20" fillId="0" borderId="8" xfId="0" applyFont="1" applyBorder="1" applyAlignment="1">
      <alignment horizontal="left"/>
    </xf>
    <xf numFmtId="0" fontId="24" fillId="0" borderId="23" xfId="0" applyFont="1" applyBorder="1" applyAlignment="1">
      <alignment horizontal="center"/>
    </xf>
    <xf numFmtId="0" fontId="24" fillId="0" borderId="24" xfId="0" applyFont="1" applyBorder="1" applyAlignment="1">
      <alignment horizontal="center"/>
    </xf>
    <xf numFmtId="0" fontId="24" fillId="0" borderId="22" xfId="0" applyFont="1" applyBorder="1" applyAlignment="1">
      <alignment horizontal="center"/>
    </xf>
    <xf numFmtId="168" fontId="32" fillId="0" borderId="23" xfId="1" applyNumberFormat="1" applyFont="1" applyFill="1" applyBorder="1" applyAlignment="1">
      <alignment horizontal="right"/>
    </xf>
    <xf numFmtId="168" fontId="32" fillId="0" borderId="24" xfId="1" applyNumberFormat="1" applyFont="1" applyFill="1" applyBorder="1" applyAlignment="1">
      <alignment horizontal="right"/>
    </xf>
    <xf numFmtId="16" fontId="38" fillId="0" borderId="16" xfId="0" applyNumberFormat="1" applyFont="1" applyBorder="1" applyAlignment="1">
      <alignment horizontal="center"/>
    </xf>
    <xf numFmtId="16" fontId="38" fillId="0" borderId="8" xfId="0" applyNumberFormat="1" applyFont="1" applyBorder="1" applyAlignment="1">
      <alignment horizontal="center"/>
    </xf>
    <xf numFmtId="10" fontId="32" fillId="6" borderId="16" xfId="0" applyNumberFormat="1" applyFont="1" applyFill="1" applyBorder="1" applyAlignment="1">
      <alignment horizontal="center"/>
    </xf>
    <xf numFmtId="10" fontId="32" fillId="6" borderId="8" xfId="0" applyNumberFormat="1" applyFont="1" applyFill="1" applyBorder="1" applyAlignment="1">
      <alignment horizontal="center"/>
    </xf>
    <xf numFmtId="166" fontId="33" fillId="0" borderId="16" xfId="2" applyNumberFormat="1" applyFont="1" applyBorder="1" applyAlignment="1">
      <alignment horizontal="center"/>
    </xf>
    <xf numFmtId="166" fontId="33" fillId="0" borderId="9" xfId="2" applyNumberFormat="1" applyFont="1" applyBorder="1" applyAlignment="1">
      <alignment horizontal="center"/>
    </xf>
    <xf numFmtId="10" fontId="33" fillId="0" borderId="16" xfId="0" applyNumberFormat="1" applyFont="1" applyBorder="1" applyAlignment="1">
      <alignment horizontal="center"/>
    </xf>
    <xf numFmtId="10" fontId="33" fillId="0" borderId="8" xfId="0" applyNumberFormat="1" applyFont="1" applyBorder="1" applyAlignment="1">
      <alignment horizontal="center"/>
    </xf>
    <xf numFmtId="10" fontId="32" fillId="6" borderId="9" xfId="0" applyNumberFormat="1" applyFont="1" applyFill="1" applyBorder="1" applyAlignment="1">
      <alignment horizontal="center"/>
    </xf>
    <xf numFmtId="0" fontId="32" fillId="0" borderId="34" xfId="0" applyFont="1" applyBorder="1" applyAlignment="1">
      <alignment horizontal="left"/>
    </xf>
    <xf numFmtId="0" fontId="32" fillId="0" borderId="9" xfId="0" applyFont="1" applyBorder="1" applyAlignment="1">
      <alignment horizontal="left"/>
    </xf>
    <xf numFmtId="0" fontId="32" fillId="0" borderId="35" xfId="0" applyFont="1" applyBorder="1" applyAlignment="1">
      <alignment horizontal="left"/>
    </xf>
    <xf numFmtId="0" fontId="32" fillId="0" borderId="26" xfId="0" applyFont="1" applyBorder="1" applyAlignment="1">
      <alignment horizontal="left"/>
    </xf>
    <xf numFmtId="0" fontId="40" fillId="0" borderId="33" xfId="0" applyFont="1" applyBorder="1" applyAlignment="1">
      <alignment horizontal="center"/>
    </xf>
    <xf numFmtId="0" fontId="32" fillId="0" borderId="36" xfId="0" applyFont="1" applyBorder="1" applyAlignment="1">
      <alignment horizontal="left"/>
    </xf>
    <xf numFmtId="0" fontId="32" fillId="0" borderId="37" xfId="0" applyFont="1" applyBorder="1" applyAlignment="1">
      <alignment horizontal="left"/>
    </xf>
    <xf numFmtId="0" fontId="37" fillId="0" borderId="16" xfId="0" applyFont="1" applyBorder="1" applyAlignment="1">
      <alignment horizontal="center"/>
    </xf>
    <xf numFmtId="0" fontId="37" fillId="0" borderId="9" xfId="0" applyFont="1" applyBorder="1" applyAlignment="1">
      <alignment horizontal="center"/>
    </xf>
    <xf numFmtId="0" fontId="37" fillId="0" borderId="8" xfId="0" applyFont="1" applyBorder="1" applyAlignment="1">
      <alignment horizontal="center"/>
    </xf>
    <xf numFmtId="15" fontId="40" fillId="6" borderId="1" xfId="0" applyNumberFormat="1" applyFont="1" applyFill="1" applyBorder="1" applyAlignment="1">
      <alignment horizontal="center"/>
    </xf>
    <xf numFmtId="0" fontId="40" fillId="6" borderId="1" xfId="0" applyFont="1" applyFill="1" applyBorder="1" applyAlignment="1">
      <alignment horizontal="center"/>
    </xf>
    <xf numFmtId="0" fontId="33" fillId="6" borderId="25" xfId="0" applyFont="1" applyFill="1" applyBorder="1" applyAlignment="1">
      <alignment horizontal="left" vertical="top" wrapText="1"/>
    </xf>
    <xf numFmtId="0" fontId="33" fillId="6" borderId="26" xfId="0" applyFont="1" applyFill="1" applyBorder="1" applyAlignment="1">
      <alignment horizontal="left" vertical="top" wrapText="1"/>
    </xf>
    <xf numFmtId="0" fontId="33" fillId="6" borderId="27" xfId="0" applyFont="1" applyFill="1" applyBorder="1" applyAlignment="1">
      <alignment horizontal="left" vertical="top" wrapText="1"/>
    </xf>
    <xf numFmtId="0" fontId="33" fillId="6" borderId="28" xfId="0" applyFont="1" applyFill="1" applyBorder="1" applyAlignment="1">
      <alignment horizontal="left" vertical="top" wrapText="1"/>
    </xf>
    <xf numFmtId="0" fontId="33" fillId="6" borderId="0" xfId="0" applyFont="1" applyFill="1" applyAlignment="1">
      <alignment horizontal="left" vertical="top" wrapText="1"/>
    </xf>
    <xf numFmtId="0" fontId="33" fillId="6" borderId="29" xfId="0" applyFont="1" applyFill="1" applyBorder="1" applyAlignment="1">
      <alignment horizontal="left" vertical="top" wrapText="1"/>
    </xf>
    <xf numFmtId="0" fontId="33" fillId="6" borderId="30" xfId="0" applyFont="1" applyFill="1" applyBorder="1" applyAlignment="1">
      <alignment horizontal="left" vertical="top" wrapText="1"/>
    </xf>
    <xf numFmtId="0" fontId="33" fillId="6" borderId="31" xfId="0" applyFont="1" applyFill="1" applyBorder="1" applyAlignment="1">
      <alignment horizontal="left" vertical="top" wrapText="1"/>
    </xf>
    <xf numFmtId="0" fontId="33" fillId="6" borderId="32" xfId="0" applyFont="1" applyFill="1" applyBorder="1" applyAlignment="1">
      <alignment horizontal="left" vertical="top" wrapText="1"/>
    </xf>
    <xf numFmtId="0" fontId="40" fillId="0" borderId="16" xfId="0" applyFont="1" applyBorder="1" applyAlignment="1">
      <alignment horizontal="center"/>
    </xf>
    <xf numFmtId="0" fontId="40" fillId="0" borderId="9" xfId="0" applyFont="1" applyBorder="1" applyAlignment="1">
      <alignment horizontal="center"/>
    </xf>
    <xf numFmtId="0" fontId="40" fillId="0" borderId="8" xfId="0" applyFont="1" applyBorder="1" applyAlignment="1">
      <alignment horizontal="center"/>
    </xf>
    <xf numFmtId="0" fontId="0" fillId="10" borderId="0" xfId="0" applyFill="1" applyAlignment="1">
      <alignment horizontal="center" vertical="center" wrapText="1"/>
    </xf>
    <xf numFmtId="10" fontId="0" fillId="0" borderId="0" xfId="0" applyNumberFormat="1"/>
    <xf numFmtId="170" fontId="0" fillId="0" borderId="0" xfId="0" applyNumberFormat="1"/>
    <xf numFmtId="10" fontId="0" fillId="0" borderId="1" xfId="0" applyNumberFormat="1" applyBorder="1"/>
    <xf numFmtId="0" fontId="0" fillId="0" borderId="1" xfId="0" applyBorder="1" applyAlignment="1">
      <alignment horizontal="center"/>
    </xf>
    <xf numFmtId="10" fontId="0" fillId="0" borderId="1" xfId="0" applyNumberFormat="1" applyBorder="1" applyAlignment="1">
      <alignment horizontal="center"/>
    </xf>
  </cellXfs>
  <cellStyles count="3">
    <cellStyle name="Currency" xfId="1" builtinId="4"/>
    <cellStyle name="Normal" xfId="0" builtinId="0"/>
    <cellStyle name="Percent" xfId="2"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2"/>
  <sheetViews>
    <sheetView tabSelected="1" workbookViewId="0">
      <selection activeCell="D26" sqref="D26"/>
    </sheetView>
  </sheetViews>
  <sheetFormatPr baseColWidth="10" defaultRowHeight="16"/>
  <cols>
    <col min="1" max="1" width="14.42578125" style="64" bestFit="1" customWidth="1"/>
    <col min="2" max="2" width="50.140625" style="34" bestFit="1" customWidth="1"/>
  </cols>
  <sheetData>
    <row r="1" spans="1:8" ht="20" customHeight="1">
      <c r="A1" s="68" t="s">
        <v>45</v>
      </c>
      <c r="B1" s="57"/>
      <c r="C1" s="2"/>
      <c r="D1" s="2"/>
      <c r="E1" s="2"/>
      <c r="F1" s="2"/>
      <c r="G1" s="2"/>
      <c r="H1" s="2"/>
    </row>
    <row r="2" spans="1:8" s="9" customFormat="1" ht="14" customHeight="1">
      <c r="A2" s="69" t="s">
        <v>55</v>
      </c>
      <c r="B2" s="34" t="s">
        <v>56</v>
      </c>
    </row>
    <row r="3" spans="1:8" s="7" customFormat="1" ht="14" customHeight="1">
      <c r="A3" s="64"/>
      <c r="B3" s="34" t="s">
        <v>3</v>
      </c>
    </row>
    <row r="4" spans="1:8" s="7" customFormat="1" ht="14" customHeight="1">
      <c r="A4" s="64"/>
      <c r="B4" s="34" t="s">
        <v>4</v>
      </c>
    </row>
    <row r="5" spans="1:8" s="7" customFormat="1" ht="14" customHeight="1">
      <c r="A5" s="69" t="s">
        <v>1</v>
      </c>
      <c r="B5" s="34" t="s">
        <v>5</v>
      </c>
    </row>
    <row r="6" spans="1:8" s="7" customFormat="1" ht="14" customHeight="1">
      <c r="A6" s="64"/>
      <c r="B6" s="34" t="s">
        <v>6</v>
      </c>
    </row>
    <row r="7" spans="1:8" s="9" customFormat="1" ht="14" customHeight="1">
      <c r="A7" s="69"/>
      <c r="B7" s="34" t="s">
        <v>7</v>
      </c>
    </row>
    <row r="8" spans="1:8" s="7" customFormat="1" ht="14" customHeight="1">
      <c r="A8" s="64"/>
      <c r="B8" s="34" t="s">
        <v>8</v>
      </c>
    </row>
    <row r="9" spans="1:8" s="7" customFormat="1" ht="14" customHeight="1">
      <c r="A9" s="64"/>
      <c r="B9" s="34" t="s">
        <v>9</v>
      </c>
    </row>
    <row r="10" spans="1:8" s="7" customFormat="1" ht="14" customHeight="1">
      <c r="A10" s="64"/>
      <c r="B10" s="34" t="s">
        <v>10</v>
      </c>
    </row>
    <row r="11" spans="1:8" s="7" customFormat="1" ht="14" customHeight="1">
      <c r="A11" s="64"/>
      <c r="B11" s="34" t="s">
        <v>11</v>
      </c>
    </row>
    <row r="12" spans="1:8" s="6" customFormat="1" ht="14" customHeight="1">
      <c r="A12" s="69" t="s">
        <v>2</v>
      </c>
      <c r="B12" s="34" t="s">
        <v>81</v>
      </c>
    </row>
    <row r="13" spans="1:8" s="6" customFormat="1" ht="14" customHeight="1">
      <c r="A13" s="64"/>
      <c r="B13" s="34" t="s">
        <v>82</v>
      </c>
    </row>
    <row r="14" spans="1:8" s="6" customFormat="1" ht="14" customHeight="1">
      <c r="A14" s="64"/>
      <c r="B14" s="34" t="s">
        <v>83</v>
      </c>
    </row>
    <row r="15" spans="1:8" s="6" customFormat="1" ht="14" customHeight="1">
      <c r="A15" s="64"/>
      <c r="B15" s="34" t="s">
        <v>84</v>
      </c>
    </row>
    <row r="16" spans="1:8" s="6" customFormat="1" ht="14" customHeight="1">
      <c r="A16" s="64"/>
      <c r="B16" s="34" t="s">
        <v>85</v>
      </c>
    </row>
    <row r="17" spans="1:2" s="6" customFormat="1">
      <c r="A17" s="64"/>
      <c r="B17" s="34" t="s">
        <v>86</v>
      </c>
    </row>
    <row r="18" spans="1:2" s="6" customFormat="1" ht="14" customHeight="1">
      <c r="A18" s="64"/>
      <c r="B18" s="34" t="s">
        <v>47</v>
      </c>
    </row>
    <row r="19" spans="1:2" s="6" customFormat="1" ht="14" customHeight="1">
      <c r="A19" s="64"/>
      <c r="B19" s="34" t="s">
        <v>34</v>
      </c>
    </row>
    <row r="20" spans="1:2" s="6" customFormat="1" ht="14" customHeight="1">
      <c r="A20" s="64"/>
      <c r="B20" s="34" t="s">
        <v>46</v>
      </c>
    </row>
    <row r="21" spans="1:2" s="6" customFormat="1" ht="14" customHeight="1">
      <c r="A21" s="64"/>
      <c r="B21" s="34" t="s">
        <v>48</v>
      </c>
    </row>
    <row r="22" spans="1:2" s="6" customFormat="1" ht="14" customHeight="1">
      <c r="A22" s="64"/>
      <c r="B22" s="34" t="s">
        <v>57</v>
      </c>
    </row>
    <row r="23" spans="1:2" s="6" customFormat="1" ht="14" customHeight="1">
      <c r="A23" s="64"/>
      <c r="B23" s="34" t="s">
        <v>58</v>
      </c>
    </row>
    <row r="24" spans="1:2" s="6" customFormat="1" ht="14" customHeight="1">
      <c r="A24" s="64"/>
      <c r="B24" s="34" t="s">
        <v>61</v>
      </c>
    </row>
    <row r="25" spans="1:2" s="6" customFormat="1" ht="14" customHeight="1">
      <c r="A25" s="64"/>
      <c r="B25" s="34" t="s">
        <v>62</v>
      </c>
    </row>
    <row r="26" spans="1:2" s="6" customFormat="1" ht="14" customHeight="1">
      <c r="A26" s="64"/>
      <c r="B26" s="34" t="s">
        <v>63</v>
      </c>
    </row>
    <row r="27" spans="1:2" s="6" customFormat="1" ht="14" customHeight="1">
      <c r="A27" s="69" t="s">
        <v>35</v>
      </c>
      <c r="B27" s="34" t="s">
        <v>39</v>
      </c>
    </row>
    <row r="28" spans="1:2" s="6" customFormat="1" ht="14" customHeight="1">
      <c r="A28" s="64"/>
      <c r="B28" s="34" t="s">
        <v>40</v>
      </c>
    </row>
    <row r="29" spans="1:2" s="6" customFormat="1" ht="14" customHeight="1">
      <c r="A29" s="64"/>
      <c r="B29" s="34" t="s">
        <v>41</v>
      </c>
    </row>
    <row r="30" spans="1:2">
      <c r="B30" s="34" t="s">
        <v>42</v>
      </c>
    </row>
    <row r="31" spans="1:2">
      <c r="B31" s="34" t="s">
        <v>43</v>
      </c>
    </row>
    <row r="32" spans="1:2">
      <c r="B32" s="34" t="s">
        <v>44</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46"/>
  <sheetViews>
    <sheetView workbookViewId="0">
      <selection activeCell="B17" sqref="B17"/>
    </sheetView>
  </sheetViews>
  <sheetFormatPr baseColWidth="10" defaultRowHeight="16"/>
  <cols>
    <col min="1" max="1" width="56.28515625" style="34" customWidth="1"/>
    <col min="2" max="3" width="17.85546875" style="34" customWidth="1"/>
  </cols>
  <sheetData>
    <row r="1" spans="1:7" s="34" customFormat="1" ht="17" thickBot="1">
      <c r="B1" s="51"/>
      <c r="C1" s="34" t="s">
        <v>420</v>
      </c>
      <c r="D1" s="52"/>
      <c r="E1" s="34" t="s">
        <v>421</v>
      </c>
    </row>
    <row r="2" spans="1:7" ht="19" thickBot="1">
      <c r="A2" s="144" t="s">
        <v>422</v>
      </c>
      <c r="B2" s="145"/>
      <c r="C2" s="145"/>
      <c r="D2" s="145"/>
      <c r="E2" s="146"/>
    </row>
    <row r="3" spans="1:7">
      <c r="A3" s="34" t="s">
        <v>89</v>
      </c>
      <c r="B3" s="70" t="s">
        <v>438</v>
      </c>
    </row>
    <row r="4" spans="1:7">
      <c r="A4" s="34" t="s">
        <v>90</v>
      </c>
      <c r="B4" s="71">
        <v>43973</v>
      </c>
    </row>
    <row r="5" spans="1:7">
      <c r="A5" s="34" t="s">
        <v>480</v>
      </c>
      <c r="B5" s="71" t="s">
        <v>526</v>
      </c>
    </row>
    <row r="6" spans="1:7" s="3" customFormat="1" ht="15" customHeight="1">
      <c r="A6" s="35" t="s">
        <v>32</v>
      </c>
      <c r="B6" s="35"/>
      <c r="C6" s="35"/>
    </row>
    <row r="7" spans="1:7" s="3" customFormat="1" ht="15" customHeight="1">
      <c r="A7" s="35"/>
      <c r="B7" s="35" t="s">
        <v>470</v>
      </c>
      <c r="C7" s="35" t="s">
        <v>31</v>
      </c>
    </row>
    <row r="8" spans="1:7">
      <c r="A8" s="34" t="s">
        <v>69</v>
      </c>
      <c r="B8" s="36">
        <v>322878</v>
      </c>
      <c r="C8" s="37">
        <v>292332</v>
      </c>
      <c r="D8" s="8" t="s">
        <v>12</v>
      </c>
      <c r="E8" s="6"/>
    </row>
    <row r="9" spans="1:7">
      <c r="A9" s="34" t="s">
        <v>65</v>
      </c>
      <c r="B9" s="36">
        <v>49552</v>
      </c>
      <c r="C9" s="89">
        <v>37676</v>
      </c>
      <c r="D9" s="8" t="s">
        <v>12</v>
      </c>
      <c r="E9" s="6"/>
    </row>
    <row r="10" spans="1:7" s="6" customFormat="1" ht="14" customHeight="1">
      <c r="A10" s="34" t="s">
        <v>463</v>
      </c>
      <c r="B10" s="38">
        <v>13463</v>
      </c>
      <c r="C10" s="39" t="s">
        <v>12</v>
      </c>
    </row>
    <row r="11" spans="1:7" s="6" customFormat="1" ht="14" customHeight="1">
      <c r="A11" s="34" t="s">
        <v>464</v>
      </c>
      <c r="B11" s="87">
        <v>2908.3</v>
      </c>
      <c r="C11" s="39"/>
    </row>
    <row r="12" spans="1:7" s="6" customFormat="1" ht="14" customHeight="1">
      <c r="A12" s="34" t="s">
        <v>465</v>
      </c>
      <c r="B12" s="88">
        <v>198.06</v>
      </c>
      <c r="C12" s="39"/>
    </row>
    <row r="13" spans="1:7">
      <c r="C13" s="39"/>
      <c r="D13" s="6"/>
      <c r="E13" s="6"/>
    </row>
    <row r="14" spans="1:7">
      <c r="A14" s="46" t="s">
        <v>33</v>
      </c>
      <c r="D14" s="8"/>
      <c r="E14" s="6"/>
    </row>
    <row r="15" spans="1:7">
      <c r="A15" s="34" t="s">
        <v>16</v>
      </c>
      <c r="B15" s="40">
        <v>1.06</v>
      </c>
      <c r="D15" s="141" t="s">
        <v>423</v>
      </c>
      <c r="E15" s="142"/>
      <c r="F15" s="142"/>
      <c r="G15" s="143"/>
    </row>
    <row r="16" spans="1:7">
      <c r="A16" s="34" t="s">
        <v>17</v>
      </c>
      <c r="B16" s="41">
        <v>4.4999999999999998E-2</v>
      </c>
      <c r="C16" s="39" t="s">
        <v>15</v>
      </c>
      <c r="D16" s="142" t="s">
        <v>437</v>
      </c>
      <c r="E16" s="142"/>
      <c r="F16" s="142"/>
      <c r="G16" s="142"/>
    </row>
    <row r="17" spans="1:7">
      <c r="A17" s="34" t="s">
        <v>207</v>
      </c>
      <c r="B17" s="41">
        <f>'ERP calculator'!E29</f>
        <v>5.0903808735281553E-2</v>
      </c>
      <c r="C17" s="39" t="s">
        <v>15</v>
      </c>
      <c r="D17" s="141" t="s">
        <v>436</v>
      </c>
      <c r="E17" s="142"/>
      <c r="F17" s="142"/>
      <c r="G17" s="143"/>
    </row>
    <row r="18" spans="1:7">
      <c r="D18" s="8"/>
      <c r="E18" s="6"/>
    </row>
    <row r="19" spans="1:7">
      <c r="A19" s="47" t="s">
        <v>38</v>
      </c>
      <c r="D19" s="8"/>
      <c r="E19" s="6"/>
    </row>
    <row r="20" spans="1:7">
      <c r="A20" s="34" t="s">
        <v>0</v>
      </c>
      <c r="B20" s="40">
        <v>10</v>
      </c>
      <c r="C20" s="34" t="s">
        <v>424</v>
      </c>
      <c r="D20" s="8"/>
      <c r="E20" s="6"/>
    </row>
    <row r="21" spans="1:7">
      <c r="D21" s="6"/>
      <c r="E21" s="8"/>
      <c r="F21" s="6"/>
    </row>
    <row r="22" spans="1:7">
      <c r="A22" s="34" t="s">
        <v>19</v>
      </c>
      <c r="B22" s="40" t="s">
        <v>18</v>
      </c>
      <c r="C22" s="39" t="s">
        <v>14</v>
      </c>
    </row>
    <row r="23" spans="1:7">
      <c r="A23" s="34" t="s">
        <v>471</v>
      </c>
      <c r="B23" s="93">
        <v>0.15</v>
      </c>
      <c r="C23" s="39"/>
    </row>
    <row r="24" spans="1:7">
      <c r="A24" s="46" t="s">
        <v>51</v>
      </c>
      <c r="D24" s="6"/>
      <c r="E24" s="8"/>
      <c r="F24" s="6"/>
    </row>
    <row r="25" spans="1:7">
      <c r="A25" s="34" t="s">
        <v>70</v>
      </c>
      <c r="B25" s="42">
        <f>B9/C8</f>
        <v>0.16950590424585746</v>
      </c>
      <c r="C25" s="39" t="s">
        <v>15</v>
      </c>
      <c r="D25" s="34"/>
      <c r="E25" s="34"/>
      <c r="F25" s="34"/>
      <c r="G25" s="34"/>
    </row>
    <row r="26" spans="1:7">
      <c r="A26" s="34" t="s">
        <v>71</v>
      </c>
      <c r="B26" s="48">
        <f>1-B10/B9</f>
        <v>0.72830561834032936</v>
      </c>
      <c r="C26" s="39" t="s">
        <v>15</v>
      </c>
      <c r="D26" s="34"/>
      <c r="E26" s="34"/>
      <c r="F26" s="34"/>
      <c r="G26" s="34"/>
    </row>
    <row r="27" spans="1:7">
      <c r="A27" s="34" t="s">
        <v>72</v>
      </c>
      <c r="B27" s="40" t="s">
        <v>18</v>
      </c>
    </row>
    <row r="28" spans="1:7">
      <c r="A28" s="46" t="s">
        <v>73</v>
      </c>
      <c r="D28" s="6"/>
      <c r="E28" s="8"/>
      <c r="F28" s="6"/>
    </row>
    <row r="29" spans="1:7">
      <c r="A29" s="34" t="s">
        <v>70</v>
      </c>
      <c r="B29" s="41">
        <v>0.15</v>
      </c>
      <c r="C29" s="39" t="s">
        <v>15</v>
      </c>
      <c r="D29" s="138" t="s">
        <v>423</v>
      </c>
      <c r="E29" s="139"/>
      <c r="F29" s="139"/>
      <c r="G29" s="140"/>
    </row>
    <row r="30" spans="1:7">
      <c r="A30" s="34" t="s">
        <v>71</v>
      </c>
      <c r="B30" s="41">
        <f>B26</f>
        <v>0.72830561834032936</v>
      </c>
      <c r="C30" s="39" t="s">
        <v>15</v>
      </c>
      <c r="D30" s="138" t="s">
        <v>423</v>
      </c>
      <c r="E30" s="139"/>
      <c r="F30" s="139"/>
      <c r="G30" s="140"/>
    </row>
    <row r="31" spans="1:7">
      <c r="A31" s="34" t="s">
        <v>74</v>
      </c>
      <c r="B31" s="40" t="s">
        <v>18</v>
      </c>
    </row>
    <row r="32" spans="1:7">
      <c r="A32" s="46" t="s">
        <v>75</v>
      </c>
      <c r="B32" s="39"/>
      <c r="D32" s="8"/>
      <c r="E32" s="8"/>
      <c r="F32" s="6"/>
    </row>
    <row r="33" spans="1:7">
      <c r="A33" s="34" t="s">
        <v>70</v>
      </c>
      <c r="B33" s="41">
        <v>0.12</v>
      </c>
      <c r="C33" s="39" t="s">
        <v>15</v>
      </c>
      <c r="D33" s="138" t="s">
        <v>423</v>
      </c>
      <c r="E33" s="139"/>
      <c r="F33" s="139"/>
      <c r="G33" s="140"/>
    </row>
    <row r="34" spans="1:7">
      <c r="A34" s="34" t="s">
        <v>68</v>
      </c>
      <c r="B34" s="41" t="s">
        <v>18</v>
      </c>
      <c r="C34" s="39"/>
      <c r="D34" s="6"/>
      <c r="E34" s="7"/>
      <c r="F34" s="7"/>
    </row>
    <row r="35" spans="1:7">
      <c r="B35" s="43"/>
      <c r="C35" s="39"/>
      <c r="D35" s="6"/>
      <c r="E35" s="7"/>
      <c r="F35" s="7"/>
    </row>
    <row r="36" spans="1:7">
      <c r="A36" s="47" t="s">
        <v>50</v>
      </c>
      <c r="D36" s="8"/>
      <c r="E36" s="6"/>
    </row>
    <row r="37" spans="1:7" s="49" customFormat="1">
      <c r="A37" s="46" t="s">
        <v>425</v>
      </c>
      <c r="B37" s="34"/>
      <c r="C37" s="34"/>
      <c r="D37" s="8"/>
      <c r="E37" s="6"/>
    </row>
    <row r="38" spans="1:7">
      <c r="A38" s="34" t="s">
        <v>426</v>
      </c>
      <c r="B38" s="53" t="s">
        <v>13</v>
      </c>
      <c r="D38" s="8"/>
      <c r="E38" s="6"/>
    </row>
    <row r="39" spans="1:7">
      <c r="A39" s="34" t="s">
        <v>76</v>
      </c>
      <c r="B39" s="41">
        <v>1.4999999999999999E-2</v>
      </c>
      <c r="C39" s="39" t="s">
        <v>15</v>
      </c>
      <c r="D39" s="6"/>
    </row>
    <row r="40" spans="1:7">
      <c r="B40" s="39"/>
      <c r="C40" s="39"/>
      <c r="D40" s="6"/>
    </row>
    <row r="41" spans="1:7">
      <c r="A41" s="34" t="s">
        <v>59</v>
      </c>
      <c r="B41" s="44">
        <f>IF(B31="Yes",IF(B38="Yes",1-B39/B33,1-B16/B33),IF(B38="Yes",IF(B27="Yes",1-B39/B29,1-B39/B25),IF(B27="Yes",1-B16/B29,1-B16/B25)))</f>
        <v>0.625</v>
      </c>
      <c r="C41" s="39" t="s">
        <v>15</v>
      </c>
      <c r="D41" s="6"/>
    </row>
    <row r="42" spans="1:7">
      <c r="A42" s="34" t="s">
        <v>60</v>
      </c>
      <c r="B42" s="40" t="s">
        <v>13</v>
      </c>
      <c r="C42" s="39" t="s">
        <v>14</v>
      </c>
      <c r="D42" s="6"/>
    </row>
    <row r="43" spans="1:7">
      <c r="A43" s="34" t="s">
        <v>36</v>
      </c>
      <c r="B43" s="41"/>
      <c r="C43" s="39" t="s">
        <v>15</v>
      </c>
      <c r="D43" s="6"/>
    </row>
    <row r="44" spans="1:7">
      <c r="B44" s="39"/>
      <c r="C44" s="39"/>
      <c r="D44" s="6"/>
    </row>
    <row r="45" spans="1:7">
      <c r="A45" s="34" t="s">
        <v>37</v>
      </c>
      <c r="B45" s="40" t="s">
        <v>13</v>
      </c>
      <c r="C45" s="39" t="s">
        <v>14</v>
      </c>
      <c r="D45" s="6"/>
    </row>
    <row r="46" spans="1:7">
      <c r="A46" s="34" t="s">
        <v>20</v>
      </c>
      <c r="B46" s="45">
        <v>0.8</v>
      </c>
      <c r="C46" s="39"/>
      <c r="D46" s="6"/>
    </row>
  </sheetData>
  <mergeCells count="7">
    <mergeCell ref="D33:G33"/>
    <mergeCell ref="D17:G17"/>
    <mergeCell ref="D16:G16"/>
    <mergeCell ref="A2:E2"/>
    <mergeCell ref="D15:G15"/>
    <mergeCell ref="D29:G29"/>
    <mergeCell ref="D30:G30"/>
  </mergeCells>
  <dataValidations count="1">
    <dataValidation allowBlank="1" showInputMessage="1" showErrorMessage="1" promptTitle="15 years or less" sqref="B20"/>
  </dataValidations>
  <pageMargins left="0.75" right="0.75" top="1" bottom="1" header="0.5" footer="0.5"/>
  <headerFooter alignWithMargins="0"/>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
  <sheetViews>
    <sheetView showGridLines="0" topLeftCell="A2" workbookViewId="0">
      <selection activeCell="B14" sqref="B14"/>
    </sheetView>
  </sheetViews>
  <sheetFormatPr baseColWidth="10" defaultColWidth="12.42578125" defaultRowHeight="16"/>
  <cols>
    <col min="1" max="1" width="2.7109375" customWidth="1"/>
    <col min="2" max="2" width="21.28515625" style="34" bestFit="1" customWidth="1"/>
    <col min="3" max="3" width="12.42578125" style="34"/>
    <col min="4" max="4" width="15.42578125" style="34" bestFit="1" customWidth="1"/>
    <col min="5" max="5" width="14" style="34" bestFit="1" customWidth="1"/>
    <col min="6" max="18" width="12.42578125" style="34"/>
  </cols>
  <sheetData>
    <row r="1" spans="1:18" ht="20" customHeight="1"/>
    <row r="2" spans="1:18" ht="20" customHeight="1">
      <c r="A2" s="5"/>
      <c r="B2" s="56" t="s">
        <v>77</v>
      </c>
      <c r="C2" s="57"/>
      <c r="D2" s="57"/>
      <c r="E2" s="57"/>
      <c r="F2" s="57"/>
      <c r="G2" s="57"/>
      <c r="H2" s="57"/>
      <c r="I2" s="57"/>
    </row>
    <row r="3" spans="1:18" ht="20" customHeight="1">
      <c r="B3" s="34" t="s">
        <v>78</v>
      </c>
      <c r="D3" s="42">
        <f>Inputs!B16+Inputs!B15*Inputs!B17</f>
        <v>9.8958037259398446E-2</v>
      </c>
      <c r="E3" s="39"/>
      <c r="F3" s="39"/>
    </row>
    <row r="4" spans="1:18" ht="20" customHeight="1">
      <c r="B4" s="34" t="s">
        <v>508</v>
      </c>
      <c r="D4" s="42">
        <f>IF(Inputs!B27="Yes",Inputs!B29,Inputs!B25)</f>
        <v>0.15</v>
      </c>
      <c r="E4" s="39"/>
      <c r="F4" s="39"/>
    </row>
    <row r="5" spans="1:18" ht="20" customHeight="1">
      <c r="B5" s="34" t="s">
        <v>65</v>
      </c>
      <c r="D5" s="58">
        <f>Inputs!B9</f>
        <v>49552</v>
      </c>
      <c r="E5" s="39"/>
      <c r="F5" s="39"/>
    </row>
    <row r="6" spans="1:18" ht="20" customHeight="1">
      <c r="B6" s="34" t="s">
        <v>66</v>
      </c>
      <c r="D6" s="55">
        <f>D5/Inputs!B11</f>
        <v>17.038132242203346</v>
      </c>
      <c r="E6" s="39"/>
      <c r="F6" s="39"/>
    </row>
    <row r="7" spans="1:18" s="4" customFormat="1" ht="20" customHeight="1">
      <c r="B7" s="34" t="s">
        <v>509</v>
      </c>
      <c r="C7" s="46"/>
      <c r="D7" s="59">
        <f>IF(Inputs!B22="Yes",IF(Inputs!B27="Yes",Inputs!B29*Inputs!B30,Inputs!B25*Inputs!B26),Inputs!B23)</f>
        <v>0.1092458427510494</v>
      </c>
      <c r="E7" s="60"/>
      <c r="F7" s="60"/>
      <c r="G7" s="46"/>
      <c r="H7" s="46"/>
      <c r="I7" s="46"/>
      <c r="J7" s="46"/>
      <c r="K7" s="46"/>
      <c r="L7" s="46"/>
      <c r="M7" s="46"/>
      <c r="N7" s="46"/>
      <c r="O7" s="46"/>
      <c r="P7" s="46"/>
      <c r="Q7" s="46"/>
      <c r="R7" s="46"/>
    </row>
    <row r="8" spans="1:18" ht="20" customHeight="1">
      <c r="B8" s="34" t="s">
        <v>79</v>
      </c>
      <c r="D8" s="42">
        <f>IF(Inputs!B27="Yes",1-Inputs!B30,1-Inputs!B26)</f>
        <v>0.27169438165967064</v>
      </c>
      <c r="E8" s="39"/>
    </row>
    <row r="9" spans="1:18" ht="20" customHeight="1">
      <c r="E9" s="43"/>
      <c r="F9" s="39"/>
    </row>
    <row r="10" spans="1:18" ht="20" customHeight="1">
      <c r="B10" s="46" t="s">
        <v>80</v>
      </c>
      <c r="E10" s="43"/>
      <c r="F10" s="39"/>
    </row>
    <row r="11" spans="1:18" s="6" customFormat="1" ht="20" customHeight="1">
      <c r="B11" s="54"/>
      <c r="C11" s="54">
        <f>IF(Inputs!B20=0," ",1)</f>
        <v>1</v>
      </c>
      <c r="D11" s="54">
        <f>IF(Inputs!B20&lt;2," ",2)</f>
        <v>2</v>
      </c>
      <c r="E11" s="54">
        <f>IF(Inputs!B20&lt;3," ",3)</f>
        <v>3</v>
      </c>
      <c r="F11" s="54">
        <f>IF(Inputs!B20&lt;4," ",4)</f>
        <v>4</v>
      </c>
      <c r="G11" s="54">
        <f>IF(Inputs!B20&lt;5," ",5)</f>
        <v>5</v>
      </c>
      <c r="H11" s="54">
        <f>IF(Inputs!B20&lt;6," ",6)</f>
        <v>6</v>
      </c>
      <c r="I11" s="54">
        <f>IF(Inputs!B20&lt;7," ",7)</f>
        <v>7</v>
      </c>
      <c r="J11" s="54">
        <f>IF(Inputs!B20&lt;8," ",8)</f>
        <v>8</v>
      </c>
      <c r="K11" s="54">
        <f>IF(Inputs!B20&lt;9," ",9)</f>
        <v>9</v>
      </c>
      <c r="L11" s="54">
        <f>IF(Inputs!B20&lt;10," ",10)</f>
        <v>10</v>
      </c>
      <c r="M11" s="54" t="str">
        <f>IF(Inputs!B20&lt;11," ",11)</f>
        <v xml:space="preserve"> </v>
      </c>
      <c r="N11" s="54" t="str">
        <f>IF(Inputs!B20&lt;12," ",12)</f>
        <v xml:space="preserve"> </v>
      </c>
      <c r="O11" s="54" t="str">
        <f>IF(Inputs!B20&lt;13," ",13)</f>
        <v xml:space="preserve"> </v>
      </c>
      <c r="P11" s="54" t="str">
        <f>IF(Inputs!B20&lt;14," ",14)</f>
        <v xml:space="preserve"> </v>
      </c>
      <c r="Q11" s="54" t="str">
        <f>IF(Inputs!B20&lt;15," ",15)</f>
        <v xml:space="preserve"> </v>
      </c>
      <c r="R11" s="34"/>
    </row>
    <row r="12" spans="1:18" s="6" customFormat="1" ht="20" customHeight="1">
      <c r="B12" s="61" t="s">
        <v>49</v>
      </c>
      <c r="C12" s="62">
        <f>IF(Inputs!$B$20&lt;C11," ",IF(Inputs!$B$34="Yes",IF(C11&lt;(Inputs!$B$20/2),$D$7,$D$22+(($D$7-$D$22)/(Inputs!$B$20/2))*(Inputs!$B$20-C11)),$D$7))</f>
        <v>0.1092458427510494</v>
      </c>
      <c r="D12" s="62">
        <f>IF(Inputs!$B$20&lt;D11," ",IF(Inputs!$B$34="Yes",IF(D11&lt;(Inputs!$B$20/2),$D$7,$D$22+(($D$7-$D$22)/(Inputs!$B$20/2))*(Inputs!$B$20-D11)),$D$7))</f>
        <v>0.1092458427510494</v>
      </c>
      <c r="E12" s="62">
        <f>IF(Inputs!$B$20&lt;E11," ",IF(Inputs!$B$34="Yes",IF(E11&lt;(Inputs!$B$20/2),$D$7,$D$22+(($D$7-$D$22)/(Inputs!$B$20/2))*(Inputs!$B$20-E11)),$D$7))</f>
        <v>0.1092458427510494</v>
      </c>
      <c r="F12" s="62">
        <f>IF(Inputs!$B$20&lt;F11," ",IF(Inputs!$B$34="Yes",IF(F11&lt;(Inputs!$B$20/2),$D$7,$D$22+(($D$7-$D$22)/(Inputs!$B$20/2))*(Inputs!$B$20-F11)),$D$7))</f>
        <v>0.1092458427510494</v>
      </c>
      <c r="G12" s="62">
        <f>IF(Inputs!$B$20&lt;G11," ",IF(Inputs!$B$34="Yes",IF(G11&lt;(Inputs!$B$20/2),$D$7,$D$22+(($D$7-$D$22)/(Inputs!$B$20/2))*(Inputs!$B$20-G11)),$D$7))</f>
        <v>0.1092458427510494</v>
      </c>
      <c r="H12" s="62">
        <f>IF(Inputs!$B$20&lt;H11," ",IF(Inputs!$B$34="Yes",IF(H11&lt;(Inputs!$B$20/2),$D$7,$D$22+(($D$7-$D$22)/(Inputs!$B$20/2))*(Inputs!$B$20-H11)),$D$7))</f>
        <v>9.6396674200839527E-2</v>
      </c>
      <c r="I12" s="62">
        <f>IF(Inputs!$B$20&lt;I11," ",IF(Inputs!$B$34="Yes",IF(I11&lt;(Inputs!$B$20/2),$D$7,$D$22+(($D$7-$D$22)/(Inputs!$B$20/2))*(Inputs!$B$20-I11)),$D$7))</f>
        <v>8.3547505650629642E-2</v>
      </c>
      <c r="J12" s="62">
        <f>IF(Inputs!$B$20&lt;J11," ",IF(Inputs!$B$34="Yes",IF(J11&lt;(Inputs!$B$20/2),$D$7,$D$22+(($D$7-$D$22)/(Inputs!$B$20/2))*(Inputs!$B$20-J11)),$D$7))</f>
        <v>7.0698337100419756E-2</v>
      </c>
      <c r="K12" s="62">
        <f>IF(Inputs!$B$20&lt;K11," ",IF(Inputs!$B$34="Yes",IF(K11&lt;(Inputs!$B$20/2),$D$7,$D$22+(($D$7-$D$22)/(Inputs!$B$20/2))*(Inputs!$B$20-K11)),$D$7))</f>
        <v>5.7849168550209877E-2</v>
      </c>
      <c r="L12" s="62">
        <f>IF(Inputs!$B$20&lt;L11," ",IF(Inputs!$B$34="Yes",IF(L11&lt;(Inputs!$B$20/2),$D$7,$D$22+(($D$7-$D$22)/(Inputs!$B$20/2))*(Inputs!$B$20-L11)),$D$7))</f>
        <v>4.4999999999999998E-2</v>
      </c>
      <c r="M12" s="62" t="str">
        <f>IF(Inputs!$B$20&lt;M11," ",IF(Inputs!$B$34="Yes",IF(M11&lt;(Inputs!$B$20/2),$D$7,$D$22+(($D$7-$D$22)/(Inputs!$B$20/2))*(Inputs!$B$20-M11)),$D$7))</f>
        <v xml:space="preserve"> </v>
      </c>
      <c r="N12" s="62" t="str">
        <f>IF(Inputs!$B$20&lt;N11," ",IF(Inputs!$B$34="Yes",IF(N11&lt;(Inputs!$B$20/2),$D$7,$D$22+(($D$7-$D$22)/(Inputs!$B$20/2))*(Inputs!$B$20-N11)),$D$7))</f>
        <v xml:space="preserve"> </v>
      </c>
      <c r="O12" s="62" t="str">
        <f>IF(Inputs!$B$20&lt;O11," ",IF(Inputs!$B$34="Yes",IF(O11&lt;(Inputs!$B$20/2),$D$7,$D$22+(($D$7-$D$22)/(Inputs!$B$20/2))*(Inputs!$B$20-O11)),$D$7))</f>
        <v xml:space="preserve"> </v>
      </c>
      <c r="P12" s="62" t="str">
        <f>IF(Inputs!$B$20&lt;P11," ",IF(Inputs!$B$34="Yes",IF(P11&lt;(Inputs!$B$20/2),$D$7,$D$22+(($D$7-$D$22)/(Inputs!$B$20/2))*(Inputs!$B$20-P11)),$D$7))</f>
        <v xml:space="preserve"> </v>
      </c>
      <c r="Q12" s="62" t="str">
        <f>IF(Inputs!$B$20&lt;Q11," ",IF(Inputs!$B$34="Yes",IF(Q11&lt;(Inputs!$B$20/2),$D$7,$D$22+(($D$7-$D$22)/(Inputs!$B$20/2))*(Inputs!$B$20-Q11)),$D$7))</f>
        <v xml:space="preserve"> </v>
      </c>
      <c r="R12" s="34"/>
    </row>
    <row r="13" spans="1:18" s="6" customFormat="1" ht="20" customHeight="1">
      <c r="B13" s="61" t="s">
        <v>507</v>
      </c>
      <c r="C13" s="62">
        <f>IF(Inputs!$B$20&lt;C11," ",IF(Inputs!$B$34="Yes",IF(C11&lt;(Inputs!$B$20/2),$D$4,$D$21+(($D$4-$D$21)/(Inputs!$B$20/2))*(Inputs!$B$20-C11)),$D$4))</f>
        <v>0.15</v>
      </c>
      <c r="D13" s="62">
        <f>IF(Inputs!$B$20&lt;D11," ",IF(Inputs!$B$34="Yes",IF(D11&lt;(Inputs!$B$20/2),$D$4,$D$21+(($D$4-$D$21)/(Inputs!$B$20/2))*(Inputs!$B$20-D11)),$D$4))</f>
        <v>0.15</v>
      </c>
      <c r="E13" s="62">
        <f>IF(Inputs!$B$20&lt;E11," ",IF(Inputs!$B$34="Yes",IF(E11&lt;(Inputs!$B$20/2),$D$4,$D$21+(($D$4-$D$21)/(Inputs!$B$20/2))*(Inputs!$B$20-E11)),$D$4))</f>
        <v>0.15</v>
      </c>
      <c r="F13" s="62">
        <f>IF(Inputs!$B$20&lt;F11," ",IF(Inputs!$B$34="Yes",IF(F11&lt;(Inputs!$B$20/2),$D$4,$D$21+(($D$4-$D$21)/(Inputs!$B$20/2))*(Inputs!$B$20-F11)),$D$4))</f>
        <v>0.15</v>
      </c>
      <c r="G13" s="62">
        <f>IF(Inputs!$B$20&lt;G11," ",IF(Inputs!$B$34="Yes",IF(G11&lt;(Inputs!$B$20/2),$D$4,$D$21+(($D$4-$D$21)/(Inputs!$B$20/2))*(Inputs!$B$20-G11)),$D$4))</f>
        <v>0.15</v>
      </c>
      <c r="H13" s="62">
        <f>IF(Inputs!$B$20&lt;H11," ",IF(Inputs!$B$34="Yes",IF(H11&lt;(Inputs!$B$20/2),$D$4,$D$21+(($D$4-$D$21)/(Inputs!$B$20/2))*(Inputs!$B$20-H11)),$D$4))</f>
        <v>0.14399999999999999</v>
      </c>
      <c r="I13" s="62">
        <f>IF(Inputs!$B$20&lt;I11," ",IF(Inputs!$B$34="Yes",IF(I11&lt;(Inputs!$B$20/2),$D$4,$D$21+(($D$4-$D$21)/(Inputs!$B$20/2))*(Inputs!$B$20-I11)),$D$4))</f>
        <v>0.13800000000000001</v>
      </c>
      <c r="J13" s="62">
        <f>IF(Inputs!$B$20&lt;J11," ",IF(Inputs!$B$34="Yes",IF(J11&lt;(Inputs!$B$20/2),$D$4,$D$21+(($D$4-$D$21)/(Inputs!$B$20/2))*(Inputs!$B$20-J11)),$D$4))</f>
        <v>0.13200000000000001</v>
      </c>
      <c r="K13" s="62">
        <f>IF(Inputs!$B$20&lt;K11," ",IF(Inputs!$B$34="Yes",IF(K11&lt;(Inputs!$B$20/2),$D$4,$D$21+(($D$4-$D$21)/(Inputs!$B$20/2))*(Inputs!$B$20-K11)),$D$4))</f>
        <v>0.126</v>
      </c>
      <c r="L13" s="62">
        <f>IF(Inputs!$B$20&lt;L11," ",IF(Inputs!$B$34="Yes",IF(L11&lt;(Inputs!$B$20/2),$D$4,$D$21+(($D$4-$D$21)/(Inputs!$B$20/2))*(Inputs!$B$20-L11)),$D$4))</f>
        <v>0.12</v>
      </c>
      <c r="M13" s="62" t="str">
        <f>IF(Inputs!$B$20&lt;M11," ",IF(Inputs!$B$34="Yes",IF(M11&lt;(Inputs!$B$20/2),$D$4,$D$21+(($D$4-$D$21)/(Inputs!$B$20/2))*(Inputs!$B$20-M11)),$D$4))</f>
        <v xml:space="preserve"> </v>
      </c>
      <c r="N13" s="62" t="str">
        <f>IF(Inputs!$B$20&lt;N11," ",IF(Inputs!$B$34="Yes",IF(N11&lt;(Inputs!$B$20/2),$D$4,$D$21+(($D$4-$D$21)/(Inputs!$B$20/2))*(Inputs!$B$20-N11)),$D$4))</f>
        <v xml:space="preserve"> </v>
      </c>
      <c r="O13" s="62" t="str">
        <f>IF(Inputs!$B$20&lt;O11," ",IF(Inputs!$B$34="Yes",IF(O11&lt;(Inputs!$B$20/2),$D$4,$D$21+(($D$4-$D$21)/(Inputs!$B$20/2))*(Inputs!$B$20-O11)),$D$4))</f>
        <v xml:space="preserve"> </v>
      </c>
      <c r="P13" s="62" t="str">
        <f>IF(Inputs!$B$20&lt;P11," ",IF(Inputs!$B$34="Yes",IF(P11&lt;(Inputs!$B$20/2),$D$4,$D$21+(($D$4-$D$21)/(Inputs!$B$20/2))*(Inputs!$B$20-P11)),$D$4))</f>
        <v xml:space="preserve"> </v>
      </c>
      <c r="Q13" s="62" t="str">
        <f>IF(Inputs!$B$20&lt;Q11," ",IF(Inputs!$B$34="Yes",IF(Q11&lt;(Inputs!$B$20/2),$D$4,$D$21+(($D$4-$D$21)/(Inputs!$B$20/2))*(Inputs!$B$20-Q11)),$D$4))</f>
        <v xml:space="preserve"> </v>
      </c>
      <c r="R13" s="34"/>
    </row>
    <row r="14" spans="1:18" s="6" customFormat="1" ht="20" customHeight="1">
      <c r="B14" s="61" t="s">
        <v>490</v>
      </c>
      <c r="C14" s="55">
        <f>D5</f>
        <v>49552</v>
      </c>
      <c r="D14" s="55">
        <f>IF(Inputs!$B$20&lt;D11," ",C14*(1+D12))</f>
        <v>54965.35</v>
      </c>
      <c r="E14" s="55">
        <f>IF(Inputs!$B$20&lt;E11," ",D14*(1+E12))</f>
        <v>60970.085982856392</v>
      </c>
      <c r="F14" s="55">
        <f>IF(Inputs!$B$20&lt;F11," ",E14*(1+F12))</f>
        <v>67630.81440865749</v>
      </c>
      <c r="G14" s="55">
        <f>IF(Inputs!$B$20&lt;G11," ",F14*(1+G12))</f>
        <v>75019.199724671096</v>
      </c>
      <c r="H14" s="55">
        <f>IF(Inputs!$B$20&lt;H11," ",G14*(1+H12))</f>
        <v>82250.801079337922</v>
      </c>
      <c r="I14" s="55">
        <f>IF(Inputs!$B$20&lt;I11," ",H14*(1+I12))</f>
        <v>89122.650347282717</v>
      </c>
      <c r="J14" s="55">
        <f>IF(Inputs!$B$20&lt;J11," ",I14*(1+J12))</f>
        <v>95423.473524817746</v>
      </c>
      <c r="K14" s="55">
        <f>IF(Inputs!$B$20&lt;K11," ",J14*(1+K12))</f>
        <v>100943.64212840141</v>
      </c>
      <c r="L14" s="55">
        <f>IF(Inputs!$B$20&lt;L11," ",K14*(1+L12))</f>
        <v>105486.10602417946</v>
      </c>
      <c r="M14" s="55" t="str">
        <f>IF(Inputs!$B$20&lt;M11," ",L14*(1+M12))</f>
        <v xml:space="preserve"> </v>
      </c>
      <c r="N14" s="55" t="str">
        <f>IF(Inputs!$B$20&lt;N11," ",M14*(1+N12))</f>
        <v xml:space="preserve"> </v>
      </c>
      <c r="O14" s="55" t="str">
        <f>IF(Inputs!$B$20&lt;O11," ",N14*(1+O12))</f>
        <v xml:space="preserve"> </v>
      </c>
      <c r="P14" s="55" t="str">
        <f>IF(Inputs!$B$20&lt;P11," ",O14*(1+P12))</f>
        <v xml:space="preserve"> </v>
      </c>
      <c r="Q14" s="55" t="str">
        <f>IF(Inputs!$B$20&lt;Q11," ",P14*(1+Q12))</f>
        <v xml:space="preserve"> </v>
      </c>
      <c r="R14" s="34"/>
    </row>
    <row r="15" spans="1:18" s="6" customFormat="1" ht="20" customHeight="1">
      <c r="B15" s="61" t="s">
        <v>67</v>
      </c>
      <c r="C15" s="44">
        <f>IF(Inputs!$B$20&lt;C11," ",IF(Inputs!$B$34="Yes",IF(C11&lt;(Inputs!$B$20/2),$D$8,$D$23+(($D$8-$D$23)/(Inputs!$B$20/2))*(Inputs!$B$20-C11)),$D$8))</f>
        <v>0.27169438165967064</v>
      </c>
      <c r="D15" s="44">
        <f>IF(Inputs!$B$20&lt;D11," ",IF(Inputs!$B$34="Yes",IF(D11&lt;(Inputs!$B$20/2),$D$8,$D$23+(($D$8-$D$23)/(Inputs!$B$20/2))*(Inputs!$B$20-D11)),$D$8))</f>
        <v>0.27169438165967064</v>
      </c>
      <c r="E15" s="44">
        <f>IF(Inputs!$B$20&lt;E11," ",IF(Inputs!$B$34="Yes",IF(E11&lt;(Inputs!$B$20/2),$D$8,$D$23+(($D$8-$D$23)/(Inputs!$B$20/2))*(Inputs!$B$20-E11)),$D$8))</f>
        <v>0.27169438165967064</v>
      </c>
      <c r="F15" s="44">
        <f>IF(Inputs!$B$20&lt;F11," ",IF(Inputs!$B$34="Yes",IF(F11&lt;(Inputs!$B$20/2),$D$8,$D$23+(($D$8-$D$23)/(Inputs!$B$20/2))*(Inputs!$B$20-F11)),$D$8))</f>
        <v>0.27169438165967064</v>
      </c>
      <c r="G15" s="44">
        <f>IF(Inputs!$B$20&lt;G11," ",IF(Inputs!$B$34="Yes",IF(G11&lt;(Inputs!$B$20/2),$D$8,$D$23+(($D$8-$D$23)/(Inputs!$B$20/2))*(Inputs!$B$20-G11)),$D$8))</f>
        <v>0.27169438165967064</v>
      </c>
      <c r="H15" s="44">
        <f>IF(Inputs!$B$20&lt;H11," ",IF(Inputs!$B$34="Yes",IF(H11&lt;(Inputs!$B$20/2),$D$8,$D$23+(($D$8-$D$23)/(Inputs!$B$20/2))*(Inputs!$B$20-H11)),$D$8))</f>
        <v>0.34235550532773651</v>
      </c>
      <c r="I15" s="44">
        <f>IF(Inputs!$B$20&lt;I11," ",IF(Inputs!$B$34="Yes",IF(I11&lt;(Inputs!$B$20/2),$D$8,$D$23+(($D$8-$D$23)/(Inputs!$B$20/2))*(Inputs!$B$20-I11)),$D$8))</f>
        <v>0.41301662899580238</v>
      </c>
      <c r="J15" s="44">
        <f>IF(Inputs!$B$20&lt;J11," ",IF(Inputs!$B$34="Yes",IF(J11&lt;(Inputs!$B$20/2),$D$8,$D$23+(($D$8-$D$23)/(Inputs!$B$20/2))*(Inputs!$B$20-J11)),$D$8))</f>
        <v>0.48367775266386825</v>
      </c>
      <c r="K15" s="44">
        <f>IF(Inputs!$B$20&lt;K11," ",IF(Inputs!$B$34="Yes",IF(K11&lt;(Inputs!$B$20/2),$D$8,$D$23+(($D$8-$D$23)/(Inputs!$B$20/2))*(Inputs!$B$20-K11)),$D$8))</f>
        <v>0.55433887633193413</v>
      </c>
      <c r="L15" s="44">
        <f>IF(Inputs!$B$20&lt;L11," ",IF(Inputs!$B$34="Yes",IF(L11&lt;(Inputs!$B$20/2),$D$8,$D$23+(($D$8-$D$23)/(Inputs!$B$20/2))*(Inputs!$B$20-L11)),$D$8))</f>
        <v>0.625</v>
      </c>
      <c r="M15" s="44" t="str">
        <f>IF(Inputs!$B$20&lt;M11," ",IF(Inputs!$B$34="Yes",IF(M11&lt;(Inputs!$B$20/2),$D$8,$D$23+(($D$8-$D$23)/(Inputs!$B$20/2))*(Inputs!$B$20-M11)),$D$8))</f>
        <v xml:space="preserve"> </v>
      </c>
      <c r="N15" s="44" t="str">
        <f>IF(Inputs!$B$20&lt;N11," ",IF(Inputs!$B$34="Yes",IF(N11&lt;(Inputs!$B$20/2),$D$8,$D$23+(($D$8-$D$23)/(Inputs!$B$20/2))*(Inputs!$B$20-N11)),$D$8))</f>
        <v xml:space="preserve"> </v>
      </c>
      <c r="O15" s="44" t="str">
        <f>IF(Inputs!$B$20&lt;O11," ",IF(Inputs!$B$34="Yes",IF(O11&lt;(Inputs!$B$20/2),$D$8,$D$23+(($D$8-$D$23)/(Inputs!$B$20/2))*(Inputs!$B$20-O11)),$D$8))</f>
        <v xml:space="preserve"> </v>
      </c>
      <c r="P15" s="44" t="str">
        <f>IF(Inputs!$B$20&lt;P11," ",IF(Inputs!$B$34="Yes",IF(P11&lt;(Inputs!$B$20/2),$D$8,$D$23+(($D$8-$D$23)/(Inputs!$B$20/2))*(Inputs!$B$20-P11)),$D$8))</f>
        <v xml:space="preserve"> </v>
      </c>
      <c r="Q15" s="44" t="str">
        <f>IF(Inputs!$B$20&lt;Q11," ",IF(Inputs!$B$34="Yes",IF(Q11&lt;(Inputs!$B$20/2),$D$8,$D$23+(($D$8-$D$23)/(Inputs!$B$20/2))*(Inputs!$B$20-Q11)),$D$8))</f>
        <v xml:space="preserve"> </v>
      </c>
      <c r="R15" s="34"/>
    </row>
    <row r="16" spans="1:18" s="6" customFormat="1" ht="20" customHeight="1">
      <c r="B16" s="61" t="s">
        <v>491</v>
      </c>
      <c r="C16" s="55">
        <f>IF(Inputs!$B$20&lt;C11," ",C14*C15)</f>
        <v>13463</v>
      </c>
      <c r="D16" s="55">
        <f>IF(Inputs!$B$20&lt;D11," ",D14*D15)</f>
        <v>14933.776780957376</v>
      </c>
      <c r="E16" s="55">
        <f>IF(Inputs!$B$20&lt;E11," ",E14*E15)</f>
        <v>16565.22981084912</v>
      </c>
      <c r="F16" s="55">
        <f>IF(Inputs!$B$20&lt;F11," ",F14*F15)</f>
        <v>18374.912301900142</v>
      </c>
      <c r="G16" s="55">
        <f>IF(Inputs!$B$20&lt;G11," ",G14*G15)</f>
        <v>20382.295081797845</v>
      </c>
      <c r="H16" s="55">
        <f>IF(Inputs!$B$20&lt;H11," ",H14*H15)</f>
        <v>28159.01456712787</v>
      </c>
      <c r="I16" s="55">
        <f>IF(Inputs!$B$20&lt;I11," ",I14*I15)</f>
        <v>36809.136613606286</v>
      </c>
      <c r="J16" s="55">
        <f>IF(Inputs!$B$20&lt;J11," ",J14*J15)</f>
        <v>46154.211225863975</v>
      </c>
      <c r="K16" s="55">
        <f>IF(Inputs!$B$20&lt;K11," ",K14*K15)</f>
        <v>55956.985150310924</v>
      </c>
      <c r="L16" s="55">
        <f>IF(Inputs!$B$20&lt;L11," ",L14*L15)</f>
        <v>65928.816265112167</v>
      </c>
      <c r="M16" s="55" t="str">
        <f>IF(Inputs!$B$20&lt;M11," ",M14*M15)</f>
        <v xml:space="preserve"> </v>
      </c>
      <c r="N16" s="55" t="str">
        <f>IF(Inputs!$B$20&lt;N11," ",N14*N15)</f>
        <v xml:space="preserve"> </v>
      </c>
      <c r="O16" s="55" t="str">
        <f>IF(Inputs!$B$20&lt;O11," ",O14*O15)</f>
        <v xml:space="preserve"> </v>
      </c>
      <c r="P16" s="55" t="str">
        <f>IF(Inputs!$B$20&lt;P11," ",P14*P15)</f>
        <v xml:space="preserve"> </v>
      </c>
      <c r="Q16" s="55" t="str">
        <f>IF(Inputs!$B$20&lt;Q11," ",Q14*Q15)</f>
        <v xml:space="preserve"> </v>
      </c>
      <c r="R16" s="34"/>
    </row>
    <row r="17" spans="2:18" s="6" customFormat="1" ht="20" customHeight="1">
      <c r="B17" s="61" t="s">
        <v>52</v>
      </c>
      <c r="C17" s="44">
        <f>IF(Inputs!$B$20&lt;C11," ",IF(Inputs!$B$34="Yes",IF(C11&lt;(Inputs!$B$20/2),$D$3,$D$24+(($D$3-$D$24)/(Inputs!$B$20/2))*(Inputs!$B$20-C11)),$D$3))</f>
        <v>9.8958037259398446E-2</v>
      </c>
      <c r="D17" s="44">
        <f>IF(Inputs!$B$20&lt;D11," ",IF(Inputs!$B$34="Yes",IF(D11&lt;(Inputs!$B$20/2),$D$3,$D$24+(($D$3-$D$24)/(Inputs!$B$20/2))*(Inputs!$B$20-D11)),$D$3))</f>
        <v>9.8958037259398446E-2</v>
      </c>
      <c r="E17" s="44">
        <f>IF(Inputs!$B$20&lt;E11," ",IF(Inputs!$B$34="Yes",IF(E11&lt;(Inputs!$B$20/2),$D$3,$D$24+(($D$3-$D$24)/(Inputs!$B$20/2))*(Inputs!$B$20-E11)),$D$3))</f>
        <v>9.8958037259398446E-2</v>
      </c>
      <c r="F17" s="44">
        <f>IF(Inputs!$B$20&lt;F11," ",IF(Inputs!$B$34="Yes",IF(F11&lt;(Inputs!$B$20/2),$D$3,$D$24+(($D$3-$D$24)/(Inputs!$B$20/2))*(Inputs!$B$20-F11)),$D$3))</f>
        <v>9.8958037259398446E-2</v>
      </c>
      <c r="G17" s="44">
        <f>IF(Inputs!$B$20&lt;G11," ",IF(Inputs!$B$34="Yes",IF(G11&lt;(Inputs!$B$20/2),$D$3,$D$24+(($D$3-$D$24)/(Inputs!$B$20/2))*(Inputs!$B$20-G11)),$D$3))</f>
        <v>9.8958037259398446E-2</v>
      </c>
      <c r="H17" s="44">
        <f>IF(Inputs!$B$20&lt;H11," ",IF(Inputs!$B$34="Yes",IF(H11&lt;(Inputs!$B$20/2),$D$3,$D$24+(($D$3-$D$24)/(Inputs!$B$20/2))*(Inputs!$B$20-H11)),$D$3))</f>
        <v>9.8958037259398446E-2</v>
      </c>
      <c r="I17" s="44">
        <f>IF(Inputs!$B$20&lt;I11," ",IF(Inputs!$B$34="Yes",IF(I11&lt;(Inputs!$B$20/2),$D$3,$D$24+(($D$3-$D$24)/(Inputs!$B$20/2))*(Inputs!$B$20-I11)),$D$3))</f>
        <v>9.8958037259398446E-2</v>
      </c>
      <c r="J17" s="44">
        <f>IF(Inputs!$B$20&lt;J11," ",IF(Inputs!$B$34="Yes",IF(J11&lt;(Inputs!$B$20/2),$D$3,$D$24+(($D$3-$D$24)/(Inputs!$B$20/2))*(Inputs!$B$20-J11)),$D$3))</f>
        <v>9.8958037259398446E-2</v>
      </c>
      <c r="K17" s="44">
        <f>IF(Inputs!$B$20&lt;K11," ",IF(Inputs!$B$34="Yes",IF(K11&lt;(Inputs!$B$20/2),$D$3,$D$24+(($D$3-$D$24)/(Inputs!$B$20/2))*(Inputs!$B$20-K11)),$D$3))</f>
        <v>9.8958037259398446E-2</v>
      </c>
      <c r="L17" s="44">
        <f>IF(Inputs!$B$20&lt;L11," ",IF(Inputs!$B$34="Yes",IF(L11&lt;(Inputs!$B$20/2),$D$3,$D$24+(($D$3-$D$24)/(Inputs!$B$20/2))*(Inputs!$B$20-L11)),$D$3))</f>
        <v>9.8958037259398446E-2</v>
      </c>
      <c r="M17" s="44" t="str">
        <f>IF(Inputs!$B$20&lt;M11," ",IF(Inputs!$B$34="Yes",IF(M11&lt;(Inputs!$B$20/2),$D$3,$D$24+(($D$3-$D$24)/(Inputs!$B$20/2))*(Inputs!$B$20-M11)),$D$3))</f>
        <v xml:space="preserve"> </v>
      </c>
      <c r="N17" s="44" t="str">
        <f>IF(Inputs!$B$20&lt;N11," ",IF(Inputs!$B$34="Yes",IF(N11&lt;(Inputs!$B$20/2),$D$3,$D$24+(($D$3-$D$24)/(Inputs!$B$20/2))*(Inputs!$B$20-N11)),$D$3))</f>
        <v xml:space="preserve"> </v>
      </c>
      <c r="O17" s="44" t="str">
        <f>IF(Inputs!$B$20&lt;O11," ",IF(Inputs!$B$34="Yes",IF(O11&lt;(Inputs!$B$20/2),$D$3,$D$24+(($D$3-$D$24)/(Inputs!$B$20/2))*(Inputs!$B$20-O11)),$D$3))</f>
        <v xml:space="preserve"> </v>
      </c>
      <c r="P17" s="44" t="str">
        <f>IF(Inputs!$B$20&lt;P11," ",IF(Inputs!$B$34="Yes",IF(P11&lt;(Inputs!$B$20/2),$D$3,$D$24+(($D$3-$D$24)/(Inputs!$B$20/2))*(Inputs!$B$20-P11)),$D$3))</f>
        <v xml:space="preserve"> </v>
      </c>
      <c r="Q17" s="44" t="str">
        <f>IF(Inputs!$B$20&lt;Q11," ",IF(Inputs!$B$34="Yes",IF(Q11&lt;(Inputs!$B$20/2),$D$3,$D$24+(($D$3-$D$24)/(Inputs!$B$20/2))*(Inputs!$B$20-Q11)),$D$3))</f>
        <v xml:space="preserve"> </v>
      </c>
      <c r="R17" s="34"/>
    </row>
    <row r="18" spans="2:18" s="6" customFormat="1" ht="20" customHeight="1">
      <c r="B18" s="61" t="s">
        <v>54</v>
      </c>
      <c r="C18" s="44">
        <f>IF(Inputs!$B$20&lt;C11," ",(1+C17))</f>
        <v>1.0989580372593983</v>
      </c>
      <c r="D18" s="44">
        <f>IF(Inputs!$B$20&lt;D11," ",(1+C17)*(1+D17))</f>
        <v>1.2077087676570291</v>
      </c>
      <c r="E18" s="44">
        <f>IF(Inputs!$B$20&lt;E11," ",(1+C17)*(1+D17)*(1+E17))</f>
        <v>1.3272212568853354</v>
      </c>
      <c r="F18" s="44">
        <f>IF(Inputs!$B$20&lt;F11," ",(1+C17)*(1+D17)*(1+E17)*(1+F17))</f>
        <v>1.45856046747566</v>
      </c>
      <c r="G18" s="44">
        <f>IF(Inputs!$B$20&lt;G11," ",(1+C17)*(1+D17)*(1+E17)*(1+F17)*(1+G17))</f>
        <v>1.6028967485612018</v>
      </c>
      <c r="H18" s="44">
        <f>IF(Inputs!$B$20&lt;H11," ",(1+C17)*(1+D17)*(1+E17)*(1+F17)*(1+G17)*(1+H17))</f>
        <v>1.7615162647282896</v>
      </c>
      <c r="I18" s="44">
        <f>IF(Inputs!$B$20&lt;I11," ",(1+C17)*(1+D17)*(1+E17)*(1+F17)*(1+G17)*(1+H17)*(1+I17))</f>
        <v>1.9358324568863079</v>
      </c>
      <c r="J18" s="44">
        <f>IF(Inputs!$B$20&lt;J11," ",(1+C17)*(1+D17)*(1+E17)*(1+F17)*(1+G17)*(1+H17)*(1+I17)*(1+J17))</f>
        <v>2.1273986372828158</v>
      </c>
      <c r="K18" s="44">
        <f>IF(Inputs!$B$20&lt;K11," ",(1+C17)*(1+D17)*(1+E17)*(1+F17)*(1+G17)*(1+H17)*(1+I17)*(1+J17)*(1+K17))</f>
        <v>2.3379218308966419</v>
      </c>
      <c r="L18" s="44">
        <f>IF(Inputs!$B$20&lt;L11," ",(1+C17)*(1+D17)*(1+E17)*(1+F17)*(1+G17)*(1+H17)*(1+I17)*(1+J17)*(1+K17)*(1+L17))</f>
        <v>2.5692779865480726</v>
      </c>
      <c r="M18" s="44" t="str">
        <f>IF(Inputs!$B$20&lt;M11," ",(1+C17)*(1+D17)*(1+E17)*(1+F17)*(1+G17)*(1+H17)*(1+I17)*(1+J17)*(1+K17)*(1+L17)*(1+M17))</f>
        <v xml:space="preserve"> </v>
      </c>
      <c r="N18" s="44" t="str">
        <f>IF(Inputs!$B$20&lt;N11," ",(1+C17)*(1+D17)*(1+E17)*(1+F17)*(1+G17)*(1+H17)*(1+I17)*(1+J17)*(1+K17)*(1+L17)*(1+M17)*(1+N17))</f>
        <v xml:space="preserve"> </v>
      </c>
      <c r="O18" s="44" t="str">
        <f>IF(Inputs!$B$20&lt;O11," ",(1+C17)*(1+D17)*(1+E17)*(1+F17)*(1+G17)*(1+H17)*(1+I17)*(1+J17)*(1+K17)*(1+L17)*(1+M17)*(1+N17)*(1+O17))</f>
        <v xml:space="preserve"> </v>
      </c>
      <c r="P18" s="44" t="str">
        <f>IF(Inputs!$B$20&lt;P11," ",(1+C17)*(1+D17)*(1+E17)*(1+F17)*(1+G17)*(1+H17)*(1+I17)*(1+J17)*(1+K17)*(1+L17)*(1+M17)*(1+N17)*(1+O17)*(1+P17))</f>
        <v xml:space="preserve"> </v>
      </c>
      <c r="Q18" s="44" t="str">
        <f>IF(Inputs!$B$20&lt;Q11," ",(1+C17)*(1+D17)*(1+E17)*(1+F17)*(1+G17)*(1+H17)*(1+I17)*(1+J17)*(1+K17)*(1+L17)*(1+M17)*(1+N17)*(1+O17)*(1+P17)*(1+Q17))</f>
        <v xml:space="preserve"> </v>
      </c>
      <c r="R18" s="34"/>
    </row>
    <row r="19" spans="2:18" s="6" customFormat="1" ht="20" customHeight="1">
      <c r="B19" s="61" t="s">
        <v>53</v>
      </c>
      <c r="C19" s="55">
        <f>IF(Inputs!$B$20&lt;C11," ",C16/C18)</f>
        <v>12250.69524362757</v>
      </c>
      <c r="D19" s="55">
        <f>IF(Inputs!$B$20&lt;D11," ",D16/D18)</f>
        <v>12365.379121929453</v>
      </c>
      <c r="E19" s="55">
        <f>IF(Inputs!$B$20&lt;E11," ",E16/E18)</f>
        <v>12481.136603947765</v>
      </c>
      <c r="F19" s="55">
        <f>IF(Inputs!$B$20&lt;F11," ",F16/F18)</f>
        <v>12597.9777401356</v>
      </c>
      <c r="G19" s="55">
        <f>IF(Inputs!$B$20&lt;G11," ",G16/G18)</f>
        <v>12715.912675032549</v>
      </c>
      <c r="H19" s="55">
        <f>IF(Inputs!$B$20&lt;H11," ",H16/H18)</f>
        <v>15985.66821718864</v>
      </c>
      <c r="I19" s="55">
        <f>IF(Inputs!$B$20&lt;I11," ",I16/I18)</f>
        <v>19014.62933048038</v>
      </c>
      <c r="J19" s="55">
        <f>IF(Inputs!$B$20&lt;J11," ",J16/J18)</f>
        <v>21695.139978473271</v>
      </c>
      <c r="K19" s="55">
        <f>IF(Inputs!$B$20&lt;K11," ",K16/K18)</f>
        <v>23934.497899294714</v>
      </c>
      <c r="L19" s="55">
        <f>IF(Inputs!$B$20&lt;L11," ",L16/L18)</f>
        <v>25660.444922773873</v>
      </c>
      <c r="M19" s="55" t="str">
        <f>IF(Inputs!$B$20&lt;M11," ",M16/M18)</f>
        <v xml:space="preserve"> </v>
      </c>
      <c r="N19" s="55" t="str">
        <f>IF(Inputs!$B$20&lt;N11," ",N16/N18)</f>
        <v xml:space="preserve"> </v>
      </c>
      <c r="O19" s="55" t="str">
        <f>IF(Inputs!$B$20&lt;O11," ",O16/O18)</f>
        <v xml:space="preserve"> </v>
      </c>
      <c r="P19" s="55" t="str">
        <f>IF(Inputs!$B$20&lt;P11," ",P16/P18)</f>
        <v xml:space="preserve"> </v>
      </c>
      <c r="Q19" s="55" t="str">
        <f>IF(Inputs!$B$20&lt;Q11," ",Q16/Q18)</f>
        <v xml:space="preserve"> </v>
      </c>
      <c r="R19" s="34"/>
    </row>
    <row r="20" spans="2:18" ht="20" customHeight="1">
      <c r="E20" s="39"/>
      <c r="F20" s="39"/>
    </row>
    <row r="21" spans="2:18" ht="20" customHeight="1">
      <c r="B21" s="34" t="s">
        <v>506</v>
      </c>
      <c r="D21" s="42">
        <f>IF(Inputs!B31="No",'Valuation Output'!D4,Inputs!B33)</f>
        <v>0.12</v>
      </c>
      <c r="E21" s="39"/>
      <c r="F21" s="39"/>
    </row>
    <row r="22" spans="2:18" ht="20" customHeight="1">
      <c r="B22" s="34" t="s">
        <v>21</v>
      </c>
      <c r="D22" s="42">
        <f>IF(Inputs!B38="Yes",Inputs!B39,Inputs!B16)</f>
        <v>4.4999999999999998E-2</v>
      </c>
      <c r="E22" s="39"/>
    </row>
    <row r="23" spans="2:18" ht="20" customHeight="1">
      <c r="B23" s="34" t="s">
        <v>22</v>
      </c>
      <c r="D23" s="42">
        <f>IF(Inputs!B42="No",Inputs!B41,Inputs!B43)</f>
        <v>0.625</v>
      </c>
      <c r="E23" s="39"/>
    </row>
    <row r="24" spans="2:18" ht="20" customHeight="1">
      <c r="B24" s="34" t="s">
        <v>23</v>
      </c>
      <c r="D24" s="42">
        <f>IF(Inputs!B45="No",Inputs!B16+Inputs!B15*Inputs!B17,Inputs!B16+Inputs!B46*Inputs!B17)</f>
        <v>9.8958037259398446E-2</v>
      </c>
      <c r="E24" s="39"/>
    </row>
    <row r="25" spans="2:18" s="1" customFormat="1" ht="20" customHeight="1">
      <c r="B25" s="35" t="s">
        <v>466</v>
      </c>
      <c r="C25" s="35"/>
      <c r="D25" s="91">
        <f>IF(Inputs!B20=0,D6*D23*(1+D22)/(D24-D22),MAX(C14:Q14)*(1+D22)*D23/(D24-D22))</f>
        <v>1276836.899493447</v>
      </c>
      <c r="E25" s="63"/>
      <c r="F25" s="35"/>
      <c r="G25" s="35"/>
      <c r="H25" s="35"/>
      <c r="I25" s="35"/>
      <c r="J25" s="35"/>
      <c r="K25" s="35"/>
      <c r="L25" s="35"/>
      <c r="M25" s="35"/>
      <c r="N25" s="35"/>
      <c r="O25" s="35"/>
      <c r="P25" s="35"/>
      <c r="Q25" s="35"/>
      <c r="R25" s="35"/>
    </row>
    <row r="26" spans="2:18" ht="20" customHeight="1">
      <c r="E26" s="39"/>
      <c r="F26" s="39"/>
    </row>
    <row r="27" spans="2:18" s="10" customFormat="1" ht="20" customHeight="1">
      <c r="B27" s="86" t="s">
        <v>24</v>
      </c>
      <c r="C27" s="86"/>
      <c r="D27" s="86"/>
      <c r="E27" s="90">
        <f>SUM(C19:Q19)</f>
        <v>168701.48173288381</v>
      </c>
      <c r="F27" s="64"/>
      <c r="G27" s="64"/>
      <c r="H27" s="64"/>
      <c r="I27" s="64"/>
      <c r="J27" s="64"/>
      <c r="K27" s="64"/>
      <c r="L27" s="64"/>
      <c r="M27" s="64"/>
      <c r="N27" s="64"/>
      <c r="O27" s="64"/>
      <c r="P27" s="64"/>
      <c r="Q27" s="64"/>
      <c r="R27" s="64"/>
    </row>
    <row r="28" spans="2:18" s="10" customFormat="1" ht="20" customHeight="1">
      <c r="B28" s="86" t="s">
        <v>25</v>
      </c>
      <c r="C28" s="86"/>
      <c r="D28" s="86"/>
      <c r="E28" s="90">
        <f>IF(Inputs!B20=0,'Valuation Output'!D25,D25/MAX(C18:Q18))</f>
        <v>496963.31271997868</v>
      </c>
      <c r="F28" s="64"/>
      <c r="G28" s="64"/>
      <c r="H28" s="64"/>
      <c r="I28" s="64"/>
      <c r="J28" s="64"/>
      <c r="K28" s="64"/>
      <c r="L28" s="64"/>
      <c r="M28" s="64"/>
      <c r="N28" s="64"/>
      <c r="O28" s="64"/>
      <c r="P28" s="64"/>
      <c r="Q28" s="64"/>
      <c r="R28" s="64"/>
    </row>
    <row r="29" spans="2:18" s="10" customFormat="1" ht="20" customHeight="1">
      <c r="B29" s="86" t="s">
        <v>502</v>
      </c>
      <c r="C29" s="86"/>
      <c r="D29" s="86"/>
      <c r="E29" s="90">
        <f>E27+E28</f>
        <v>665664.79445286246</v>
      </c>
      <c r="F29" s="64"/>
      <c r="G29" s="64"/>
      <c r="H29" s="64"/>
      <c r="I29" s="64"/>
      <c r="J29" s="64"/>
      <c r="K29" s="64"/>
      <c r="L29" s="64"/>
      <c r="M29" s="64"/>
      <c r="N29" s="64"/>
      <c r="O29" s="64"/>
      <c r="P29" s="64"/>
      <c r="Q29" s="64"/>
      <c r="R29" s="64"/>
    </row>
    <row r="30" spans="2:18" s="10" customFormat="1" ht="20" customHeight="1">
      <c r="B30" s="86" t="s">
        <v>464</v>
      </c>
      <c r="C30" s="86"/>
      <c r="D30" s="86"/>
      <c r="E30" s="90">
        <f>Inputs!B11</f>
        <v>2908.3</v>
      </c>
      <c r="F30" s="64"/>
      <c r="G30" s="64"/>
      <c r="H30" s="64"/>
      <c r="I30" s="64"/>
      <c r="J30" s="64"/>
      <c r="K30" s="64"/>
      <c r="L30" s="64"/>
      <c r="M30" s="64"/>
      <c r="N30" s="64"/>
      <c r="O30" s="64"/>
      <c r="P30" s="64"/>
      <c r="Q30" s="64"/>
      <c r="R30" s="64"/>
    </row>
    <row r="31" spans="2:18" s="10" customFormat="1" ht="20" customHeight="1" thickBot="1">
      <c r="B31" s="86" t="s">
        <v>467</v>
      </c>
      <c r="C31" s="86"/>
      <c r="D31" s="86"/>
      <c r="E31" s="90">
        <f>E29/E30</f>
        <v>228.88450106689902</v>
      </c>
      <c r="F31" s="64"/>
      <c r="G31" s="64"/>
      <c r="H31" s="64"/>
      <c r="I31" s="64"/>
      <c r="J31" s="64"/>
      <c r="K31" s="64"/>
      <c r="L31" s="64"/>
      <c r="M31" s="64"/>
      <c r="N31" s="64"/>
      <c r="O31" s="64"/>
      <c r="P31" s="64"/>
      <c r="Q31" s="64"/>
      <c r="R31" s="64"/>
    </row>
    <row r="32" spans="2:18" ht="20" customHeight="1" thickBot="1">
      <c r="B32" s="86" t="s">
        <v>469</v>
      </c>
      <c r="E32" s="92">
        <f>Inputs!B12</f>
        <v>198.06</v>
      </c>
      <c r="F32" s="39"/>
    </row>
    <row r="33" spans="2:18" ht="20" customHeight="1">
      <c r="B33" s="86"/>
      <c r="E33" s="39"/>
      <c r="F33" s="39"/>
    </row>
    <row r="34" spans="2:18" s="6" customFormat="1" ht="20" customHeight="1">
      <c r="B34" s="35" t="s">
        <v>27</v>
      </c>
      <c r="C34" s="34"/>
      <c r="D34" s="34"/>
      <c r="E34" s="39"/>
      <c r="F34" s="39"/>
      <c r="G34" s="34"/>
      <c r="H34" s="34"/>
      <c r="I34" s="34"/>
      <c r="J34" s="34"/>
      <c r="K34" s="34"/>
      <c r="L34" s="34"/>
      <c r="M34" s="34"/>
      <c r="N34" s="34"/>
      <c r="O34" s="34"/>
      <c r="P34" s="34"/>
      <c r="Q34" s="34"/>
      <c r="R34" s="34"/>
    </row>
    <row r="35" spans="2:18" s="6" customFormat="1" ht="20" customHeight="1">
      <c r="B35" s="34" t="s">
        <v>28</v>
      </c>
      <c r="C35" s="34"/>
      <c r="D35" s="55">
        <f>D6/D24</f>
        <v>172.17532515869667</v>
      </c>
      <c r="E35" s="39"/>
      <c r="F35" s="34"/>
      <c r="G35" s="34"/>
      <c r="H35" s="34"/>
      <c r="I35" s="34"/>
      <c r="J35" s="34"/>
      <c r="K35" s="34"/>
      <c r="L35" s="34"/>
      <c r="M35" s="34"/>
      <c r="N35" s="34"/>
      <c r="O35" s="34"/>
      <c r="P35" s="34"/>
      <c r="Q35" s="34"/>
      <c r="R35" s="34"/>
    </row>
    <row r="36" spans="2:18" s="6" customFormat="1" ht="20" customHeight="1">
      <c r="B36" s="34" t="s">
        <v>29</v>
      </c>
      <c r="C36" s="34"/>
      <c r="D36" s="55">
        <f>D6*D23*(1+D22)/(D24-D22)-D35</f>
        <v>34.059569324066814</v>
      </c>
      <c r="E36" s="39"/>
      <c r="F36" s="34"/>
      <c r="G36" s="34"/>
      <c r="H36" s="34"/>
      <c r="I36" s="34"/>
      <c r="J36" s="34"/>
      <c r="K36" s="34"/>
      <c r="L36" s="34"/>
      <c r="M36" s="34"/>
      <c r="N36" s="34"/>
      <c r="O36" s="34"/>
      <c r="P36" s="34"/>
      <c r="Q36" s="34"/>
      <c r="R36" s="34"/>
    </row>
    <row r="37" spans="2:18" s="6" customFormat="1" ht="20" customHeight="1">
      <c r="B37" s="34" t="s">
        <v>30</v>
      </c>
      <c r="C37" s="34"/>
      <c r="D37" s="55">
        <f>E31-D36-D35</f>
        <v>22.64960658413554</v>
      </c>
      <c r="E37" s="39"/>
      <c r="F37" s="34"/>
      <c r="G37" s="34"/>
      <c r="H37" s="34"/>
      <c r="I37" s="34"/>
      <c r="J37" s="34"/>
      <c r="K37" s="34"/>
      <c r="L37" s="34"/>
      <c r="M37" s="34"/>
      <c r="N37" s="34"/>
      <c r="O37" s="34"/>
      <c r="P37" s="34"/>
      <c r="Q37" s="34"/>
      <c r="R37" s="34"/>
    </row>
    <row r="38" spans="2:18" s="6" customFormat="1" ht="20" customHeight="1">
      <c r="B38" s="34" t="s">
        <v>26</v>
      </c>
      <c r="C38" s="34"/>
      <c r="D38" s="55">
        <f>SUM(D35:D37)</f>
        <v>228.88450106689902</v>
      </c>
      <c r="E38" s="39"/>
      <c r="F38" s="34"/>
      <c r="G38" s="34"/>
      <c r="H38" s="34"/>
      <c r="I38" s="34"/>
      <c r="J38" s="34"/>
      <c r="K38" s="34"/>
      <c r="L38" s="34"/>
      <c r="M38" s="34"/>
      <c r="N38" s="34"/>
      <c r="O38" s="34"/>
      <c r="P38" s="34"/>
      <c r="Q38" s="34"/>
      <c r="R38" s="34"/>
    </row>
  </sheetData>
  <printOptions gridLinesSet="0"/>
  <pageMargins left="0.75" right="0.75" top="1" bottom="1" header="0.5" footer="0.5"/>
  <pageSetup orientation="portrait" horizontalDpi="0" verticalDpi="0" copies="0"/>
  <headerFooter alignWithMargins="0">
    <oddHeader>&amp;C Two-Stage Dividend Discount Model</oddHeader>
    <oddFooter>Page &amp;p</oddFooter>
  </headerFooter>
  <rowBreaks count="4" manualBreakCount="4">
    <brk id="19" max="65535" man="1"/>
    <brk id="72" max="65535" man="1"/>
    <brk id="80" max="65535" man="1"/>
    <brk id="107" max="6553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opLeftCell="A2" workbookViewId="0">
      <selection activeCell="F10" sqref="F10"/>
    </sheetView>
  </sheetViews>
  <sheetFormatPr baseColWidth="10" defaultRowHeight="16"/>
  <cols>
    <col min="1" max="1" width="17.42578125" style="120" customWidth="1"/>
    <col min="2" max="2" width="16.7109375" style="120" customWidth="1"/>
    <col min="3" max="3" width="15.140625" style="120" customWidth="1"/>
    <col min="4" max="4" width="14.140625" style="120" customWidth="1"/>
    <col min="5" max="5" width="16.42578125" style="120" customWidth="1"/>
    <col min="6" max="6" width="21.140625" style="122" customWidth="1"/>
    <col min="7" max="7" width="32" style="120" customWidth="1"/>
  </cols>
  <sheetData>
    <row r="1" spans="1:7">
      <c r="A1" s="165" t="str">
        <f>Inputs!B3</f>
        <v>JP Morgan Chase</v>
      </c>
      <c r="B1" s="166"/>
      <c r="C1" s="166"/>
      <c r="D1" s="166"/>
      <c r="E1" s="166"/>
      <c r="F1" s="167"/>
      <c r="G1" s="94">
        <f>Inputs!B4</f>
        <v>43973</v>
      </c>
    </row>
    <row r="2" spans="1:7">
      <c r="A2" s="168" t="str">
        <f>Inputs!B5</f>
        <v>Dimon in the Rough</v>
      </c>
      <c r="B2" s="169"/>
      <c r="C2" s="169"/>
      <c r="D2" s="169"/>
      <c r="E2" s="169"/>
      <c r="F2" s="169"/>
      <c r="G2" s="169"/>
    </row>
    <row r="3" spans="1:7" ht="14">
      <c r="A3" s="170" t="s">
        <v>481</v>
      </c>
      <c r="B3" s="171"/>
      <c r="C3" s="171"/>
      <c r="D3" s="171"/>
      <c r="E3" s="171"/>
      <c r="F3" s="171"/>
      <c r="G3" s="172"/>
    </row>
    <row r="4" spans="1:7" ht="14">
      <c r="A4" s="173"/>
      <c r="B4" s="174"/>
      <c r="C4" s="174"/>
      <c r="D4" s="174"/>
      <c r="E4" s="174"/>
      <c r="F4" s="174"/>
      <c r="G4" s="175"/>
    </row>
    <row r="5" spans="1:7" ht="14">
      <c r="A5" s="173"/>
      <c r="B5" s="174"/>
      <c r="C5" s="174"/>
      <c r="D5" s="174"/>
      <c r="E5" s="174"/>
      <c r="F5" s="174"/>
      <c r="G5" s="175"/>
    </row>
    <row r="6" spans="1:7" ht="14">
      <c r="A6" s="176"/>
      <c r="B6" s="177"/>
      <c r="C6" s="177"/>
      <c r="D6" s="177"/>
      <c r="E6" s="177"/>
      <c r="F6" s="177"/>
      <c r="G6" s="178"/>
    </row>
    <row r="7" spans="1:7">
      <c r="A7" s="179" t="s">
        <v>472</v>
      </c>
      <c r="B7" s="180"/>
      <c r="C7" s="180"/>
      <c r="D7" s="180"/>
      <c r="E7" s="180"/>
      <c r="F7" s="180"/>
      <c r="G7" s="181"/>
    </row>
    <row r="8" spans="1:7">
      <c r="A8" s="95"/>
      <c r="B8" s="96" t="s">
        <v>473</v>
      </c>
      <c r="C8" s="149" t="s">
        <v>483</v>
      </c>
      <c r="D8" s="150"/>
      <c r="E8" s="96" t="s">
        <v>484</v>
      </c>
      <c r="F8" s="96" t="s">
        <v>485</v>
      </c>
      <c r="G8" s="97" t="s">
        <v>474</v>
      </c>
    </row>
    <row r="9" spans="1:7" ht="34">
      <c r="A9" s="98" t="s">
        <v>64</v>
      </c>
      <c r="B9" s="99">
        <f>'Valuation Output'!D6</f>
        <v>17.038132242203346</v>
      </c>
      <c r="C9" s="151">
        <f>'Valuation Output'!C12</f>
        <v>0.1092458427510494</v>
      </c>
      <c r="D9" s="152"/>
      <c r="E9" s="100" t="s">
        <v>475</v>
      </c>
      <c r="F9" s="77" t="str">
        <f>'Valuation Output'!Q12</f>
        <v xml:space="preserve"> </v>
      </c>
      <c r="G9" s="131" t="s">
        <v>498</v>
      </c>
    </row>
    <row r="10" spans="1:7" ht="17">
      <c r="A10" s="98" t="s">
        <v>188</v>
      </c>
      <c r="B10" s="77">
        <f>'Valuation Output'!C15</f>
        <v>0.27169438165967064</v>
      </c>
      <c r="C10" s="153">
        <f>'Valuation Output'!C15</f>
        <v>0.27169438165967064</v>
      </c>
      <c r="D10" s="154"/>
      <c r="E10" s="101" t="s">
        <v>475</v>
      </c>
      <c r="F10" s="77">
        <f>'Valuation Output'!D23</f>
        <v>0.625</v>
      </c>
      <c r="G10" s="102" t="s">
        <v>499</v>
      </c>
    </row>
    <row r="11" spans="1:7" ht="34">
      <c r="A11" s="98" t="s">
        <v>482</v>
      </c>
      <c r="B11" s="77">
        <f>Inputs!B25</f>
        <v>0.16950590424585746</v>
      </c>
      <c r="C11" s="155">
        <f>Inputs!B29</f>
        <v>0.15</v>
      </c>
      <c r="D11" s="156"/>
      <c r="E11" s="100" t="s">
        <v>475</v>
      </c>
      <c r="F11" s="77">
        <f t="array" ref="F11">IF(Inputs!B31="Yes",Inputs!B33,'Stories to Numbers'!C11:D11)</f>
        <v>0.12</v>
      </c>
      <c r="G11" s="102" t="s">
        <v>500</v>
      </c>
    </row>
    <row r="12" spans="1:7" ht="17" thickBot="1">
      <c r="A12" s="103" t="s">
        <v>175</v>
      </c>
      <c r="B12" s="123">
        <f>'Valuation Output'!C17</f>
        <v>9.8958037259398446E-2</v>
      </c>
      <c r="C12" s="151" t="s">
        <v>475</v>
      </c>
      <c r="D12" s="157"/>
      <c r="E12" s="152"/>
      <c r="F12" s="104">
        <f>'Valuation Output'!D24</f>
        <v>9.8958037259398446E-2</v>
      </c>
      <c r="G12" s="105" t="s">
        <v>501</v>
      </c>
    </row>
    <row r="13" spans="1:7" ht="17" thickBot="1">
      <c r="A13" s="162" t="s">
        <v>476</v>
      </c>
      <c r="B13" s="162"/>
      <c r="C13" s="162"/>
      <c r="D13" s="162"/>
      <c r="E13" s="162"/>
      <c r="F13" s="162"/>
      <c r="G13" s="162"/>
    </row>
    <row r="14" spans="1:7">
      <c r="A14" s="106"/>
      <c r="B14" s="107" t="s">
        <v>64</v>
      </c>
      <c r="C14" s="107" t="s">
        <v>487</v>
      </c>
      <c r="D14" s="108" t="s">
        <v>486</v>
      </c>
      <c r="E14" s="108" t="s">
        <v>468</v>
      </c>
      <c r="F14" s="108" t="s">
        <v>488</v>
      </c>
      <c r="G14" s="109" t="s">
        <v>489</v>
      </c>
    </row>
    <row r="15" spans="1:7">
      <c r="A15" s="110">
        <v>1</v>
      </c>
      <c r="B15" s="99">
        <f>'Valuation Output'!C14</f>
        <v>49552</v>
      </c>
      <c r="C15" s="111">
        <f>'Valuation Output'!C12</f>
        <v>0.1092458427510494</v>
      </c>
      <c r="D15" s="111">
        <f>'Valuation Output'!C15</f>
        <v>0.27169438165967064</v>
      </c>
      <c r="E15" s="99">
        <f>'Valuation Output'!C16</f>
        <v>13463</v>
      </c>
      <c r="F15" s="124">
        <f>'Valuation Output'!C18</f>
        <v>1.0989580372593983</v>
      </c>
      <c r="G15" s="112">
        <f>'Valuation Output'!C19</f>
        <v>12250.69524362757</v>
      </c>
    </row>
    <row r="16" spans="1:7">
      <c r="A16" s="110">
        <v>2</v>
      </c>
      <c r="B16" s="99">
        <f>'Valuation Output'!D14</f>
        <v>54965.35</v>
      </c>
      <c r="C16" s="111">
        <f>'Valuation Output'!D12</f>
        <v>0.1092458427510494</v>
      </c>
      <c r="D16" s="111">
        <f>'Valuation Output'!D15</f>
        <v>0.27169438165967064</v>
      </c>
      <c r="E16" s="99">
        <f>'Valuation Output'!D16</f>
        <v>14933.776780957376</v>
      </c>
      <c r="F16" s="124">
        <f>'Valuation Output'!D18</f>
        <v>1.2077087676570291</v>
      </c>
      <c r="G16" s="112">
        <f>'Valuation Output'!D19</f>
        <v>12365.379121929453</v>
      </c>
    </row>
    <row r="17" spans="1:7">
      <c r="A17" s="110">
        <v>3</v>
      </c>
      <c r="B17" s="99">
        <f>'Valuation Output'!E14</f>
        <v>60970.085982856392</v>
      </c>
      <c r="C17" s="111">
        <f>'Valuation Output'!E12</f>
        <v>0.1092458427510494</v>
      </c>
      <c r="D17" s="111">
        <f>'Valuation Output'!E15</f>
        <v>0.27169438165967064</v>
      </c>
      <c r="E17" s="99">
        <f>'Valuation Output'!E16</f>
        <v>16565.22981084912</v>
      </c>
      <c r="F17" s="124">
        <f>'Valuation Output'!E18</f>
        <v>1.3272212568853354</v>
      </c>
      <c r="G17" s="112">
        <f>'Valuation Output'!E19</f>
        <v>12481.136603947765</v>
      </c>
    </row>
    <row r="18" spans="1:7">
      <c r="A18" s="110">
        <v>4</v>
      </c>
      <c r="B18" s="99">
        <f>'Valuation Output'!F14</f>
        <v>67630.81440865749</v>
      </c>
      <c r="C18" s="111">
        <f>'Valuation Output'!F12</f>
        <v>0.1092458427510494</v>
      </c>
      <c r="D18" s="111">
        <f>'Valuation Output'!F15</f>
        <v>0.27169438165967064</v>
      </c>
      <c r="E18" s="99">
        <f>'Valuation Output'!F16</f>
        <v>18374.912301900142</v>
      </c>
      <c r="F18" s="124">
        <f>'Valuation Output'!F18</f>
        <v>1.45856046747566</v>
      </c>
      <c r="G18" s="112">
        <f>'Valuation Output'!F19</f>
        <v>12597.9777401356</v>
      </c>
    </row>
    <row r="19" spans="1:7">
      <c r="A19" s="110">
        <v>5</v>
      </c>
      <c r="B19" s="99">
        <f>'Valuation Output'!G14</f>
        <v>75019.199724671096</v>
      </c>
      <c r="C19" s="111">
        <f>'Valuation Output'!G12</f>
        <v>0.1092458427510494</v>
      </c>
      <c r="D19" s="111">
        <f>'Valuation Output'!G15</f>
        <v>0.27169438165967064</v>
      </c>
      <c r="E19" s="99">
        <f>'Valuation Output'!G16</f>
        <v>20382.295081797845</v>
      </c>
      <c r="F19" s="124">
        <f>'Valuation Output'!G18</f>
        <v>1.6028967485612018</v>
      </c>
      <c r="G19" s="112">
        <f>'Valuation Output'!G19</f>
        <v>12715.912675032549</v>
      </c>
    </row>
    <row r="20" spans="1:7">
      <c r="A20" s="110">
        <v>6</v>
      </c>
      <c r="B20" s="99">
        <f>'Valuation Output'!H14</f>
        <v>82250.801079337922</v>
      </c>
      <c r="C20" s="111">
        <f>'Valuation Output'!H12</f>
        <v>9.6396674200839527E-2</v>
      </c>
      <c r="D20" s="111">
        <f>'Valuation Output'!H15</f>
        <v>0.34235550532773651</v>
      </c>
      <c r="E20" s="99">
        <f>'Valuation Output'!H16</f>
        <v>28159.01456712787</v>
      </c>
      <c r="F20" s="124">
        <f>'Valuation Output'!H18</f>
        <v>1.7615162647282896</v>
      </c>
      <c r="G20" s="112">
        <f>'Valuation Output'!H19</f>
        <v>15985.66821718864</v>
      </c>
    </row>
    <row r="21" spans="1:7">
      <c r="A21" s="110">
        <v>7</v>
      </c>
      <c r="B21" s="99">
        <f>'Valuation Output'!I14</f>
        <v>89122.650347282717</v>
      </c>
      <c r="C21" s="111">
        <f>'Valuation Output'!I12</f>
        <v>8.3547505650629642E-2</v>
      </c>
      <c r="D21" s="111">
        <f>'Valuation Output'!I15</f>
        <v>0.41301662899580238</v>
      </c>
      <c r="E21" s="99">
        <f>'Valuation Output'!I16</f>
        <v>36809.136613606286</v>
      </c>
      <c r="F21" s="124">
        <f>'Valuation Output'!I18</f>
        <v>1.9358324568863079</v>
      </c>
      <c r="G21" s="112">
        <f>'Valuation Output'!I19</f>
        <v>19014.62933048038</v>
      </c>
    </row>
    <row r="22" spans="1:7">
      <c r="A22" s="110">
        <v>8</v>
      </c>
      <c r="B22" s="99">
        <f>'Valuation Output'!J14</f>
        <v>95423.473524817746</v>
      </c>
      <c r="C22" s="111">
        <f>'Valuation Output'!J12</f>
        <v>7.0698337100419756E-2</v>
      </c>
      <c r="D22" s="111">
        <f>'Valuation Output'!J15</f>
        <v>0.48367775266386825</v>
      </c>
      <c r="E22" s="99">
        <f>'Valuation Output'!J16</f>
        <v>46154.211225863975</v>
      </c>
      <c r="F22" s="124">
        <f>'Valuation Output'!J18</f>
        <v>2.1273986372828158</v>
      </c>
      <c r="G22" s="112">
        <f>'Valuation Output'!J19</f>
        <v>21695.139978473271</v>
      </c>
    </row>
    <row r="23" spans="1:7">
      <c r="A23" s="110">
        <v>9</v>
      </c>
      <c r="B23" s="99">
        <f>'Valuation Output'!K14</f>
        <v>100943.64212840141</v>
      </c>
      <c r="C23" s="111">
        <f>'Valuation Output'!K12</f>
        <v>5.7849168550209877E-2</v>
      </c>
      <c r="D23" s="111">
        <f>'Valuation Output'!K15</f>
        <v>0.55433887633193413</v>
      </c>
      <c r="E23" s="99">
        <f>'Valuation Output'!K16</f>
        <v>55956.985150310924</v>
      </c>
      <c r="F23" s="124">
        <f>'Valuation Output'!K18</f>
        <v>2.3379218308966419</v>
      </c>
      <c r="G23" s="112">
        <f>'Valuation Output'!K19</f>
        <v>23934.497899294714</v>
      </c>
    </row>
    <row r="24" spans="1:7">
      <c r="A24" s="110">
        <v>10</v>
      </c>
      <c r="B24" s="99">
        <f>'Valuation Output'!L14</f>
        <v>105486.10602417946</v>
      </c>
      <c r="C24" s="111">
        <f>'Valuation Output'!L12</f>
        <v>4.4999999999999998E-2</v>
      </c>
      <c r="D24" s="111">
        <f>'Valuation Output'!L15</f>
        <v>0.625</v>
      </c>
      <c r="E24" s="99">
        <f>'Valuation Output'!L16</f>
        <v>65928.816265112167</v>
      </c>
      <c r="F24" s="124">
        <f>'Valuation Output'!L18</f>
        <v>2.5692779865480726</v>
      </c>
      <c r="G24" s="112">
        <f>'Valuation Output'!L19</f>
        <v>25660.444922773873</v>
      </c>
    </row>
    <row r="25" spans="1:7">
      <c r="A25" s="125">
        <v>11</v>
      </c>
      <c r="B25" s="99" t="str">
        <f>'Valuation Output'!M14</f>
        <v xml:space="preserve"> </v>
      </c>
      <c r="C25" s="126" t="str">
        <f>'Valuation Output'!M12</f>
        <v xml:space="preserve"> </v>
      </c>
      <c r="D25" s="111" t="str">
        <f>'Valuation Output'!M15</f>
        <v xml:space="preserve"> </v>
      </c>
      <c r="E25" s="99" t="str">
        <f>'Valuation Output'!M16</f>
        <v xml:space="preserve"> </v>
      </c>
      <c r="F25" s="127" t="str">
        <f>'Valuation Output'!M18</f>
        <v xml:space="preserve"> </v>
      </c>
      <c r="G25" s="112" t="str">
        <f>'Valuation Output'!M19</f>
        <v xml:space="preserve"> </v>
      </c>
    </row>
    <row r="26" spans="1:7">
      <c r="A26" s="125">
        <v>12</v>
      </c>
      <c r="B26" s="99" t="str">
        <f>'Valuation Output'!N14</f>
        <v xml:space="preserve"> </v>
      </c>
      <c r="C26" s="126" t="str">
        <f>'Valuation Output'!N12</f>
        <v xml:space="preserve"> </v>
      </c>
      <c r="D26" s="111" t="str">
        <f>'Valuation Output'!N15</f>
        <v xml:space="preserve"> </v>
      </c>
      <c r="E26" s="99" t="str">
        <f>'Valuation Output'!N16</f>
        <v xml:space="preserve"> </v>
      </c>
      <c r="F26" s="127" t="str">
        <f>'Valuation Output'!N18</f>
        <v xml:space="preserve"> </v>
      </c>
      <c r="G26" s="112" t="str">
        <f>'Valuation Output'!N19</f>
        <v xml:space="preserve"> </v>
      </c>
    </row>
    <row r="27" spans="1:7">
      <c r="A27" s="125">
        <v>13</v>
      </c>
      <c r="B27" s="99" t="str">
        <f>'Valuation Output'!O14</f>
        <v xml:space="preserve"> </v>
      </c>
      <c r="C27" s="126" t="str">
        <f>'Valuation Output'!O12</f>
        <v xml:space="preserve"> </v>
      </c>
      <c r="D27" s="111" t="str">
        <f>'Valuation Output'!O15</f>
        <v xml:space="preserve"> </v>
      </c>
      <c r="E27" s="99" t="str">
        <f>'Valuation Output'!O16</f>
        <v xml:space="preserve"> </v>
      </c>
      <c r="F27" s="127" t="str">
        <f>'Valuation Output'!O18</f>
        <v xml:space="preserve"> </v>
      </c>
      <c r="G27" s="112" t="str">
        <f>'Valuation Output'!O19</f>
        <v xml:space="preserve"> </v>
      </c>
    </row>
    <row r="28" spans="1:7">
      <c r="A28" s="125">
        <v>14</v>
      </c>
      <c r="B28" s="99" t="str">
        <f>'Valuation Output'!P14</f>
        <v xml:space="preserve"> </v>
      </c>
      <c r="C28" s="126" t="str">
        <f>'Valuation Output'!P12</f>
        <v xml:space="preserve"> </v>
      </c>
      <c r="D28" s="111" t="str">
        <f>'Valuation Output'!P15</f>
        <v xml:space="preserve"> </v>
      </c>
      <c r="E28" s="99" t="str">
        <f>'Valuation Output'!P16</f>
        <v xml:space="preserve"> </v>
      </c>
      <c r="F28" s="127" t="str">
        <f>'Valuation Output'!P18</f>
        <v xml:space="preserve"> </v>
      </c>
      <c r="G28" s="112" t="str">
        <f>'Valuation Output'!P19</f>
        <v xml:space="preserve"> </v>
      </c>
    </row>
    <row r="29" spans="1:7">
      <c r="A29" s="125">
        <v>15</v>
      </c>
      <c r="B29" s="99" t="str">
        <f>'Valuation Output'!Q14</f>
        <v xml:space="preserve"> </v>
      </c>
      <c r="C29" s="126" t="str">
        <f>'Valuation Output'!Q12</f>
        <v xml:space="preserve"> </v>
      </c>
      <c r="D29" s="111" t="str">
        <f>'Valuation Output'!Q15</f>
        <v xml:space="preserve"> </v>
      </c>
      <c r="E29" s="99" t="str">
        <f>'Valuation Output'!Q16</f>
        <v xml:space="preserve"> </v>
      </c>
      <c r="F29" s="127" t="str">
        <f>'Valuation Output'!Q18</f>
        <v xml:space="preserve"> </v>
      </c>
      <c r="G29" s="112" t="str">
        <f>'Valuation Output'!Q19</f>
        <v xml:space="preserve"> </v>
      </c>
    </row>
    <row r="30" spans="1:7" ht="17" thickBot="1">
      <c r="A30" s="113" t="s">
        <v>477</v>
      </c>
      <c r="B30" s="99">
        <f>MAX('Valuation Output'!C14:Q14)*(1+'Valuation Output'!D22)</f>
        <v>110232.98079526753</v>
      </c>
      <c r="C30" s="114">
        <f>'Valuation Output'!D22</f>
        <v>4.4999999999999998E-2</v>
      </c>
      <c r="D30" s="111">
        <f>'Valuation Output'!D23</f>
        <v>0.625</v>
      </c>
      <c r="E30" s="99">
        <f>B30*D30</f>
        <v>68895.612997042204</v>
      </c>
      <c r="F30" s="128"/>
      <c r="G30" s="112"/>
    </row>
    <row r="31" spans="1:7" ht="17" thickBot="1">
      <c r="A31" s="162" t="s">
        <v>478</v>
      </c>
      <c r="B31" s="162"/>
      <c r="C31" s="162"/>
      <c r="D31" s="162"/>
      <c r="E31" s="162"/>
      <c r="F31" s="162"/>
      <c r="G31" s="162"/>
    </row>
    <row r="32" spans="1:7">
      <c r="A32" s="163" t="s">
        <v>492</v>
      </c>
      <c r="B32" s="164"/>
      <c r="C32" s="164"/>
      <c r="D32" s="115">
        <f>E30</f>
        <v>68895.612997042204</v>
      </c>
      <c r="E32" s="116"/>
      <c r="F32" s="117"/>
      <c r="G32" s="118"/>
    </row>
    <row r="33" spans="1:7">
      <c r="A33" s="158" t="s">
        <v>493</v>
      </c>
      <c r="B33" s="159"/>
      <c r="C33" s="159"/>
      <c r="D33" s="129">
        <f>C30</f>
        <v>4.4999999999999998E-2</v>
      </c>
      <c r="E33" s="119"/>
      <c r="F33" s="120"/>
      <c r="G33" s="121"/>
    </row>
    <row r="34" spans="1:7">
      <c r="A34" s="158" t="s">
        <v>494</v>
      </c>
      <c r="B34" s="159"/>
      <c r="C34" s="159"/>
      <c r="D34" s="129">
        <f>'Valuation Output'!D24</f>
        <v>9.8958037259398446E-2</v>
      </c>
      <c r="E34" s="119"/>
      <c r="F34" s="120"/>
      <c r="G34" s="121"/>
    </row>
    <row r="35" spans="1:7">
      <c r="A35" s="158" t="s">
        <v>495</v>
      </c>
      <c r="B35" s="159"/>
      <c r="C35" s="159"/>
      <c r="D35" s="115">
        <f>D32/(D34-D33)</f>
        <v>1276836.899493447</v>
      </c>
      <c r="E35" s="119"/>
      <c r="F35" s="120"/>
      <c r="G35" s="121"/>
    </row>
    <row r="36" spans="1:7">
      <c r="A36" s="158" t="s">
        <v>496</v>
      </c>
      <c r="B36" s="159"/>
      <c r="C36" s="159"/>
      <c r="D36" s="115">
        <f>'Valuation Output'!E28</f>
        <v>496963.31271997868</v>
      </c>
      <c r="E36"/>
      <c r="F36"/>
      <c r="G36" s="134"/>
    </row>
    <row r="37" spans="1:7">
      <c r="A37" s="158" t="s">
        <v>497</v>
      </c>
      <c r="B37" s="159"/>
      <c r="C37" s="159"/>
      <c r="D37" s="115">
        <f>'Valuation Output'!E27</f>
        <v>168701.48173288381</v>
      </c>
      <c r="E37" s="119"/>
      <c r="F37" s="120"/>
      <c r="G37" s="121"/>
    </row>
    <row r="38" spans="1:7" ht="17" thickBot="1">
      <c r="A38" s="160" t="s">
        <v>503</v>
      </c>
      <c r="B38" s="161"/>
      <c r="C38" s="161"/>
      <c r="D38" s="115">
        <f>D36+D37</f>
        <v>665664.79445286246</v>
      </c>
      <c r="E38"/>
      <c r="F38"/>
      <c r="G38" s="134"/>
    </row>
    <row r="39" spans="1:7" ht="17" thickBot="1">
      <c r="A39" s="132" t="s">
        <v>504</v>
      </c>
      <c r="B39" s="133"/>
      <c r="C39" s="133"/>
      <c r="D39" s="136">
        <f>Inputs!B11</f>
        <v>2908.3</v>
      </c>
      <c r="E39" s="148" t="s">
        <v>479</v>
      </c>
      <c r="F39" s="148"/>
      <c r="G39" s="130">
        <f>'Valuation Output'!E32</f>
        <v>198.06</v>
      </c>
    </row>
    <row r="40" spans="1:7" ht="17" thickBot="1">
      <c r="A40" s="132" t="s">
        <v>467</v>
      </c>
      <c r="B40" s="133"/>
      <c r="C40" s="133"/>
      <c r="D40" s="137">
        <f>D38/D39</f>
        <v>228.88450106689902</v>
      </c>
      <c r="E40" s="147" t="s">
        <v>505</v>
      </c>
      <c r="F40" s="148"/>
      <c r="G40" s="135">
        <f>G39/D40-1</f>
        <v>-0.13467273198148766</v>
      </c>
    </row>
  </sheetData>
  <mergeCells count="20">
    <mergeCell ref="A32:C32"/>
    <mergeCell ref="A33:C33"/>
    <mergeCell ref="A34:C34"/>
    <mergeCell ref="A35:C35"/>
    <mergeCell ref="A36:C36"/>
    <mergeCell ref="A1:F1"/>
    <mergeCell ref="A2:G2"/>
    <mergeCell ref="A3:G6"/>
    <mergeCell ref="A7:G7"/>
    <mergeCell ref="A13:G13"/>
    <mergeCell ref="E40:F40"/>
    <mergeCell ref="C8:D8"/>
    <mergeCell ref="C9:D9"/>
    <mergeCell ref="C10:D10"/>
    <mergeCell ref="C11:D11"/>
    <mergeCell ref="C12:E12"/>
    <mergeCell ref="E39:F39"/>
    <mergeCell ref="A37:C37"/>
    <mergeCell ref="A38:C38"/>
    <mergeCell ref="A31:G3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21"/>
  <sheetViews>
    <sheetView workbookViewId="0">
      <selection sqref="A1:AA65536"/>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5" max="5" width="10.7109375" customWidth="1"/>
    <col min="6" max="6" width="9" bestFit="1" customWidth="1"/>
    <col min="7" max="7" width="9.85546875" bestFit="1" customWidth="1"/>
    <col min="8" max="8" width="19.28515625" bestFit="1" customWidth="1"/>
    <col min="9" max="23" width="9.28515625" customWidth="1"/>
  </cols>
  <sheetData>
    <row r="1" spans="1:27" s="11" customFormat="1" ht="84">
      <c r="A1" s="13" t="s">
        <v>91</v>
      </c>
      <c r="B1" s="24" t="s">
        <v>92</v>
      </c>
      <c r="C1" s="25" t="s">
        <v>170</v>
      </c>
      <c r="D1" s="25" t="s">
        <v>416</v>
      </c>
      <c r="E1" s="25" t="s">
        <v>171</v>
      </c>
      <c r="F1" s="24" t="s">
        <v>172</v>
      </c>
      <c r="G1" s="24" t="s">
        <v>173</v>
      </c>
      <c r="H1" s="24" t="s">
        <v>174</v>
      </c>
      <c r="I1" s="24" t="s">
        <v>175</v>
      </c>
      <c r="J1" s="24" t="s">
        <v>176</v>
      </c>
      <c r="K1" s="24" t="s">
        <v>177</v>
      </c>
      <c r="L1" s="24" t="s">
        <v>178</v>
      </c>
      <c r="M1" s="24" t="s">
        <v>179</v>
      </c>
      <c r="N1" s="26" t="s">
        <v>88</v>
      </c>
      <c r="O1" s="24" t="s">
        <v>93</v>
      </c>
      <c r="P1" s="24" t="s">
        <v>180</v>
      </c>
      <c r="Q1" s="24" t="s">
        <v>181</v>
      </c>
      <c r="R1" s="24" t="s">
        <v>182</v>
      </c>
      <c r="S1" s="24" t="s">
        <v>183</v>
      </c>
      <c r="T1" s="24" t="s">
        <v>184</v>
      </c>
      <c r="U1" s="24" t="s">
        <v>185</v>
      </c>
      <c r="V1" s="24" t="s">
        <v>186</v>
      </c>
      <c r="W1" s="24" t="s">
        <v>187</v>
      </c>
      <c r="X1" s="13" t="s">
        <v>87</v>
      </c>
      <c r="Y1" s="13" t="s">
        <v>188</v>
      </c>
      <c r="Z1" s="13" t="s">
        <v>189</v>
      </c>
      <c r="AA1" s="24" t="s">
        <v>417</v>
      </c>
    </row>
    <row r="2" spans="1:27" s="11" customFormat="1">
      <c r="A2" s="29" t="s">
        <v>94</v>
      </c>
      <c r="B2" s="30">
        <v>57</v>
      </c>
      <c r="C2" s="31">
        <v>0.11568399999999998</v>
      </c>
      <c r="D2" s="31">
        <v>9.6130213372469048E-2</v>
      </c>
      <c r="E2" s="31">
        <v>0.31515111490453068</v>
      </c>
      <c r="F2" s="31">
        <v>0.20554353210253967</v>
      </c>
      <c r="G2" s="32">
        <v>1.1806104386629273</v>
      </c>
      <c r="H2" s="32">
        <v>1.3723256229214125</v>
      </c>
      <c r="I2" s="31">
        <v>0.10192697865438498</v>
      </c>
      <c r="J2" s="31">
        <v>0.56414425301504312</v>
      </c>
      <c r="K2" s="31">
        <v>5.3524000000000002E-2</v>
      </c>
      <c r="L2" s="31">
        <v>0.25241808479709577</v>
      </c>
      <c r="M2" s="31">
        <v>8.633158509130047E-2</v>
      </c>
      <c r="N2" s="32">
        <v>3.2834030413330759</v>
      </c>
      <c r="O2" s="32">
        <v>2.2595129005604955</v>
      </c>
      <c r="P2" s="32">
        <v>12.940312997421533</v>
      </c>
      <c r="Q2" s="32">
        <v>22.238594038328291</v>
      </c>
      <c r="R2" s="32">
        <v>5.7632981253415299</v>
      </c>
      <c r="S2" s="32">
        <v>175.73470187151344</v>
      </c>
      <c r="T2" s="31">
        <v>1.2534141364144605E-2</v>
      </c>
      <c r="U2" s="31">
        <v>1.8346746746974021E-2</v>
      </c>
      <c r="V2" s="31">
        <v>-1.6886086216883787E-2</v>
      </c>
      <c r="W2" s="31">
        <v>-9.9340600189793196E-3</v>
      </c>
      <c r="X2" s="31">
        <v>3.2541006196152036E-2</v>
      </c>
      <c r="Y2" s="31">
        <v>2.828444643801165</v>
      </c>
      <c r="Z2" s="31">
        <v>2.828444643801165</v>
      </c>
      <c r="AA2" s="65">
        <v>0.10140072310597556</v>
      </c>
    </row>
    <row r="3" spans="1:27" s="11" customFormat="1">
      <c r="A3" s="29" t="s">
        <v>95</v>
      </c>
      <c r="B3" s="30">
        <v>70</v>
      </c>
      <c r="C3" s="31">
        <v>7.5882564102564082E-2</v>
      </c>
      <c r="D3" s="31">
        <v>8.5393846789115893E-2</v>
      </c>
      <c r="E3" s="31">
        <v>0.16167717664340658</v>
      </c>
      <c r="F3" s="31">
        <v>0.15449878451886198</v>
      </c>
      <c r="G3" s="32">
        <v>0.93085354059484426</v>
      </c>
      <c r="H3" s="32">
        <v>1.0764050153356324</v>
      </c>
      <c r="I3" s="31">
        <v>8.8314630705439087E-2</v>
      </c>
      <c r="J3" s="31">
        <v>0.36402149671230677</v>
      </c>
      <c r="K3" s="31">
        <v>5.0854999999999997E-2</v>
      </c>
      <c r="L3" s="31">
        <v>0.20291777620162876</v>
      </c>
      <c r="M3" s="31">
        <v>7.8133559868173677E-2</v>
      </c>
      <c r="N3" s="32">
        <v>1.9843395804666923</v>
      </c>
      <c r="O3" s="32">
        <v>2.478314246749687</v>
      </c>
      <c r="P3" s="32">
        <v>18.488711603269998</v>
      </c>
      <c r="Q3" s="32">
        <v>28.310279485536824</v>
      </c>
      <c r="R3" s="32">
        <v>5.0771568796832156</v>
      </c>
      <c r="S3" s="32">
        <v>32.517250905909876</v>
      </c>
      <c r="T3" s="31">
        <v>0.45042764203965496</v>
      </c>
      <c r="U3" s="31">
        <v>2.8342846696895605E-2</v>
      </c>
      <c r="V3" s="31">
        <v>2.282923210385782E-2</v>
      </c>
      <c r="W3" s="31">
        <v>0.39247743028218712</v>
      </c>
      <c r="X3" s="31">
        <v>0.13191483651952815</v>
      </c>
      <c r="Y3" s="31">
        <v>0.53694697197206931</v>
      </c>
      <c r="Z3" s="31">
        <v>0.53694697197206931</v>
      </c>
      <c r="AA3" s="65">
        <v>8.7701154266332376E-2</v>
      </c>
    </row>
    <row r="4" spans="1:27" s="11" customFormat="1">
      <c r="A4" s="29" t="s">
        <v>96</v>
      </c>
      <c r="B4" s="30">
        <v>25</v>
      </c>
      <c r="C4" s="31">
        <v>2.9028333333333337E-2</v>
      </c>
      <c r="D4" s="31">
        <v>6.8956114823073109E-2</v>
      </c>
      <c r="E4" s="31">
        <v>0.1092325173386668</v>
      </c>
      <c r="F4" s="31">
        <v>0.23528767545229368</v>
      </c>
      <c r="G4" s="32">
        <v>0.64018804683047448</v>
      </c>
      <c r="H4" s="32">
        <v>1.2668401714816373</v>
      </c>
      <c r="I4" s="31">
        <v>9.7074647888155313E-2</v>
      </c>
      <c r="J4" s="31">
        <v>0.44650998921901031</v>
      </c>
      <c r="K4" s="31">
        <v>5.0854999999999997E-2</v>
      </c>
      <c r="L4" s="31">
        <v>0.61854039037606257</v>
      </c>
      <c r="M4" s="31">
        <v>6.062196095222791E-2</v>
      </c>
      <c r="N4" s="32">
        <v>1.7773199625336142</v>
      </c>
      <c r="O4" s="32">
        <v>0.90579180310273899</v>
      </c>
      <c r="P4" s="32">
        <v>6.1674965255190735</v>
      </c>
      <c r="Q4" s="32">
        <v>13.024537501330959</v>
      </c>
      <c r="R4" s="32">
        <v>2.2359420389310194</v>
      </c>
      <c r="S4" s="32">
        <v>12.658954105086503</v>
      </c>
      <c r="T4" s="31">
        <v>1.0944385248270856E-2</v>
      </c>
      <c r="U4" s="31">
        <v>0.11159925638117965</v>
      </c>
      <c r="V4" s="31">
        <v>6.7202754627620362E-2</v>
      </c>
      <c r="W4" s="31">
        <v>1.1858967293486484</v>
      </c>
      <c r="X4" s="31">
        <v>0.219363538879951</v>
      </c>
      <c r="Y4" s="31">
        <v>7.8632719088479394E-2</v>
      </c>
      <c r="Z4" s="31">
        <v>7.8632719088479353E-2</v>
      </c>
      <c r="AA4" s="65">
        <v>6.7227109104728219E-2</v>
      </c>
    </row>
    <row r="5" spans="1:27" s="11" customFormat="1">
      <c r="A5" s="29" t="s">
        <v>97</v>
      </c>
      <c r="B5" s="30">
        <v>38</v>
      </c>
      <c r="C5" s="31">
        <v>5.7186000000000001E-2</v>
      </c>
      <c r="D5" s="31">
        <v>8.7577811977779155E-2</v>
      </c>
      <c r="E5" s="31">
        <v>0.15293487788906657</v>
      </c>
      <c r="F5" s="31">
        <v>0.32165919331897802</v>
      </c>
      <c r="G5" s="32">
        <v>0.92957565005501674</v>
      </c>
      <c r="H5" s="32">
        <v>1.1946998769689117</v>
      </c>
      <c r="I5" s="31">
        <v>9.3756194340569934E-2</v>
      </c>
      <c r="J5" s="31">
        <v>0.37035509904588476</v>
      </c>
      <c r="K5" s="31">
        <v>5.0854999999999997E-2</v>
      </c>
      <c r="L5" s="31">
        <v>0.3277875013609528</v>
      </c>
      <c r="M5" s="31">
        <v>7.5526310696846052E-2</v>
      </c>
      <c r="N5" s="32">
        <v>1.7730762352050577</v>
      </c>
      <c r="O5" s="32">
        <v>1.2013803591525696</v>
      </c>
      <c r="P5" s="32">
        <v>7.9181161902182877</v>
      </c>
      <c r="Q5" s="32">
        <v>12.388401308447197</v>
      </c>
      <c r="R5" s="32">
        <v>2.5581525508953336</v>
      </c>
      <c r="S5" s="32">
        <v>18.688545427356651</v>
      </c>
      <c r="T5" s="31">
        <v>0.24650261726088157</v>
      </c>
      <c r="U5" s="31">
        <v>2.41727298617933E-2</v>
      </c>
      <c r="V5" s="31">
        <v>5.3650838666078442E-3</v>
      </c>
      <c r="W5" s="31">
        <v>-7.2858762711417155E-2</v>
      </c>
      <c r="X5" s="31">
        <v>9.204171598277805E-2</v>
      </c>
      <c r="Y5" s="31">
        <v>0.74982998278991408</v>
      </c>
      <c r="Z5" s="31">
        <v>0.74982998278991408</v>
      </c>
      <c r="AA5" s="65">
        <v>9.6042064560311724E-2</v>
      </c>
    </row>
    <row r="6" spans="1:27" s="11" customFormat="1">
      <c r="A6" s="29" t="s">
        <v>98</v>
      </c>
      <c r="B6" s="30">
        <v>34</v>
      </c>
      <c r="C6" s="31">
        <v>0.21942111111111109</v>
      </c>
      <c r="D6" s="31">
        <v>4.8197319767260507E-2</v>
      </c>
      <c r="E6" s="31">
        <v>5.1866325086608607E-2</v>
      </c>
      <c r="F6" s="31">
        <v>0.13206977576521484</v>
      </c>
      <c r="G6" s="32">
        <v>1.3040309184380587</v>
      </c>
      <c r="H6" s="32">
        <v>1.5223779065768546</v>
      </c>
      <c r="I6" s="31">
        <v>0.10882938370253531</v>
      </c>
      <c r="J6" s="31">
        <v>0.59698514250325996</v>
      </c>
      <c r="K6" s="31">
        <v>5.3524000000000002E-2</v>
      </c>
      <c r="L6" s="31">
        <v>0.23675434053330363</v>
      </c>
      <c r="M6" s="31">
        <v>9.2567584225424104E-2</v>
      </c>
      <c r="N6" s="32">
        <v>1.0487316786221139</v>
      </c>
      <c r="O6" s="32">
        <v>2.4924481910179397</v>
      </c>
      <c r="P6" s="32">
        <v>21.649291457975476</v>
      </c>
      <c r="Q6" s="32">
        <v>49.578165599480705</v>
      </c>
      <c r="R6" s="32">
        <v>4.5988812443196219</v>
      </c>
      <c r="S6" s="32">
        <v>21.120152874872904</v>
      </c>
      <c r="T6" s="31">
        <v>-2.1993841210595461E-2</v>
      </c>
      <c r="U6" s="31">
        <v>6.409275484587712E-2</v>
      </c>
      <c r="V6" s="31">
        <v>2.6576673289955756E-2</v>
      </c>
      <c r="W6" s="31">
        <v>0.81471031512595593</v>
      </c>
      <c r="X6" s="31">
        <v>9.3709081086337465E-2</v>
      </c>
      <c r="Y6" s="31">
        <v>0.35459224927693617</v>
      </c>
      <c r="Z6" s="31">
        <v>0.35459224927693622</v>
      </c>
      <c r="AA6" s="65">
        <v>5.097954162021133E-2</v>
      </c>
    </row>
    <row r="7" spans="1:27" s="11" customFormat="1">
      <c r="A7" s="29" t="s">
        <v>99</v>
      </c>
      <c r="B7" s="30">
        <v>39</v>
      </c>
      <c r="C7" s="31">
        <v>6.2846956521739161E-2</v>
      </c>
      <c r="D7" s="31">
        <v>5.3068985394390568E-2</v>
      </c>
      <c r="E7" s="31">
        <v>0.10156047044070848</v>
      </c>
      <c r="F7" s="31">
        <v>0.2795040993246159</v>
      </c>
      <c r="G7" s="32">
        <v>1.1211038704345888</v>
      </c>
      <c r="H7" s="32">
        <v>1.3444265903808044</v>
      </c>
      <c r="I7" s="31">
        <v>0.100643623157517</v>
      </c>
      <c r="J7" s="31">
        <v>0.37071964001600449</v>
      </c>
      <c r="K7" s="31">
        <v>5.0854999999999997E-2</v>
      </c>
      <c r="L7" s="31">
        <v>0.2776627158727018</v>
      </c>
      <c r="M7" s="31">
        <v>8.3289044478111765E-2</v>
      </c>
      <c r="N7" s="32">
        <v>2.0047909637588615</v>
      </c>
      <c r="O7" s="32">
        <v>0.81660915840074455</v>
      </c>
      <c r="P7" s="32">
        <v>7.0555269605485504</v>
      </c>
      <c r="Q7" s="32">
        <v>14.11643631329104</v>
      </c>
      <c r="R7" s="32">
        <v>1.9975303469056522</v>
      </c>
      <c r="S7" s="32">
        <v>39.033424628609531</v>
      </c>
      <c r="T7" s="31">
        <v>0.15450924675978886</v>
      </c>
      <c r="U7" s="31">
        <v>3.7078148075236982E-2</v>
      </c>
      <c r="V7" s="31">
        <v>3.1693603646353471E-2</v>
      </c>
      <c r="W7" s="31">
        <v>0.95183324795159374</v>
      </c>
      <c r="X7" s="31">
        <v>5.7236136729090913E-2</v>
      </c>
      <c r="Y7" s="31">
        <v>0.4536555295436519</v>
      </c>
      <c r="Z7" s="31">
        <v>0.45365552954365196</v>
      </c>
      <c r="AA7" s="65">
        <v>5.8520548536996245E-2</v>
      </c>
    </row>
    <row r="8" spans="1:27" s="11" customFormat="1">
      <c r="A8" s="29" t="s">
        <v>190</v>
      </c>
      <c r="B8" s="30">
        <v>15</v>
      </c>
      <c r="C8" s="31">
        <v>7.2753846153846155E-2</v>
      </c>
      <c r="D8" s="31">
        <v>0</v>
      </c>
      <c r="E8" s="31">
        <v>1.7809965864835952E-4</v>
      </c>
      <c r="F8" s="31">
        <v>0.15860164261163576</v>
      </c>
      <c r="G8" s="32">
        <v>0.64400511784529801</v>
      </c>
      <c r="H8" s="32">
        <v>1.0613761697933088</v>
      </c>
      <c r="I8" s="31">
        <v>8.7623303810492215E-2</v>
      </c>
      <c r="J8" s="31">
        <v>0.22510527234137442</v>
      </c>
      <c r="K8" s="31">
        <v>4.5043E-2</v>
      </c>
      <c r="L8" s="31">
        <v>0.68370660862510779</v>
      </c>
      <c r="M8" s="31">
        <v>5.0811819504918643E-2</v>
      </c>
      <c r="N8" s="32">
        <v>0.26645699933051714</v>
      </c>
      <c r="O8" s="32">
        <v>5.265879881670676</v>
      </c>
      <c r="P8" s="32" t="s">
        <v>169</v>
      </c>
      <c r="Q8" s="32" t="s">
        <v>169</v>
      </c>
      <c r="R8" s="32">
        <v>1.0492601893677032</v>
      </c>
      <c r="S8" s="32">
        <v>8.547358658097874</v>
      </c>
      <c r="T8" s="31" t="s">
        <v>169</v>
      </c>
      <c r="U8" s="31">
        <v>1.9731137380717412E-2</v>
      </c>
      <c r="V8" s="31">
        <v>1.2953142452475423E-2</v>
      </c>
      <c r="W8" s="31">
        <v>55.728776313853096</v>
      </c>
      <c r="X8" s="31">
        <v>0.14874034732315899</v>
      </c>
      <c r="Y8" s="31">
        <v>0.24337970298838549</v>
      </c>
      <c r="Z8" s="31">
        <v>0.24337970298838552</v>
      </c>
      <c r="AA8" s="65">
        <v>8.1200893217945561E-4</v>
      </c>
    </row>
    <row r="9" spans="1:27" s="11" customFormat="1">
      <c r="A9" s="29" t="s">
        <v>100</v>
      </c>
      <c r="B9" s="30">
        <v>625</v>
      </c>
      <c r="C9" s="31">
        <v>9.2156242299794702E-2</v>
      </c>
      <c r="D9" s="31">
        <v>3.6415348617892096E-8</v>
      </c>
      <c r="E9" s="31">
        <v>-5.3374958145126011E-4</v>
      </c>
      <c r="F9" s="31">
        <v>0.20724129233055669</v>
      </c>
      <c r="G9" s="32">
        <v>0.33336660673496787</v>
      </c>
      <c r="H9" s="32">
        <v>0.46115813409367462</v>
      </c>
      <c r="I9" s="31">
        <v>6.0013274168309032E-2</v>
      </c>
      <c r="J9" s="31">
        <v>0.1867735328629955</v>
      </c>
      <c r="K9" s="31">
        <v>4.5043E-2</v>
      </c>
      <c r="L9" s="31">
        <v>0.50481828844665777</v>
      </c>
      <c r="M9" s="31">
        <v>4.677137344346035E-2</v>
      </c>
      <c r="N9" s="32">
        <v>0.3671924593155293</v>
      </c>
      <c r="O9" s="32">
        <v>4.4737564903858402</v>
      </c>
      <c r="P9" s="32" t="s">
        <v>169</v>
      </c>
      <c r="Q9" s="32" t="s">
        <v>169</v>
      </c>
      <c r="R9" s="32">
        <v>1.0188589222331499</v>
      </c>
      <c r="S9" s="32">
        <v>35.966292420385749</v>
      </c>
      <c r="T9" s="31" t="s">
        <v>169</v>
      </c>
      <c r="U9" s="31">
        <v>2.7336820130708508E-2</v>
      </c>
      <c r="V9" s="31">
        <v>-0.10087904726752299</v>
      </c>
      <c r="W9" s="31" t="s">
        <v>169</v>
      </c>
      <c r="X9" s="31">
        <v>0.12142592116953591</v>
      </c>
      <c r="Y9" s="31">
        <v>0.32014617865318346</v>
      </c>
      <c r="Z9" s="31">
        <v>0.3201461786531834</v>
      </c>
      <c r="AA9" s="65">
        <v>-1.7660881241903206E-3</v>
      </c>
    </row>
    <row r="10" spans="1:27" s="11" customFormat="1">
      <c r="A10" s="29" t="s">
        <v>101</v>
      </c>
      <c r="B10" s="30">
        <v>19</v>
      </c>
      <c r="C10" s="31">
        <v>0.12062222222222224</v>
      </c>
      <c r="D10" s="31">
        <v>0.20626605729454345</v>
      </c>
      <c r="E10" s="31">
        <v>0.16670846804136458</v>
      </c>
      <c r="F10" s="31">
        <v>0.25595531935006144</v>
      </c>
      <c r="G10" s="32">
        <v>0.97026335212736425</v>
      </c>
      <c r="H10" s="32">
        <v>1.1318349126688121</v>
      </c>
      <c r="I10" s="31">
        <v>9.0864405982765351E-2</v>
      </c>
      <c r="J10" s="31">
        <v>0.4970414041193621</v>
      </c>
      <c r="K10" s="31">
        <v>5.0854999999999997E-2</v>
      </c>
      <c r="L10" s="31">
        <v>0.19656022020066688</v>
      </c>
      <c r="M10" s="31">
        <v>8.0501130833118884E-2</v>
      </c>
      <c r="N10" s="32">
        <v>0.89682311533521308</v>
      </c>
      <c r="O10" s="32">
        <v>3.8916686876869191</v>
      </c>
      <c r="P10" s="32">
        <v>14.843529532980639</v>
      </c>
      <c r="Q10" s="32">
        <v>18.678840886226705</v>
      </c>
      <c r="R10" s="32">
        <v>3.0993348768756093</v>
      </c>
      <c r="S10" s="32">
        <v>35.375901073895371</v>
      </c>
      <c r="T10" s="31">
        <v>0.17116248155736727</v>
      </c>
      <c r="U10" s="31">
        <v>7.6631776152694453E-2</v>
      </c>
      <c r="V10" s="31">
        <v>9.390305849002889E-2</v>
      </c>
      <c r="W10" s="31">
        <v>0.90812968595804455</v>
      </c>
      <c r="X10" s="31">
        <v>8.69908980857384E-2</v>
      </c>
      <c r="Y10" s="31">
        <v>0.54634665208152333</v>
      </c>
      <c r="Z10" s="31">
        <v>0.54634665208152333</v>
      </c>
      <c r="AA10" s="65">
        <v>0.20751043151831927</v>
      </c>
    </row>
    <row r="11" spans="1:27" s="11" customFormat="1">
      <c r="A11" s="29" t="s">
        <v>191</v>
      </c>
      <c r="B11" s="30">
        <v>29</v>
      </c>
      <c r="C11" s="31">
        <v>0.28579076923076918</v>
      </c>
      <c r="D11" s="31">
        <v>0.19303402977387185</v>
      </c>
      <c r="E11" s="31">
        <v>0.3065163030779624</v>
      </c>
      <c r="F11" s="31">
        <v>0.18728623048491203</v>
      </c>
      <c r="G11" s="32">
        <v>0.70183334721111912</v>
      </c>
      <c r="H11" s="32">
        <v>0.76414587542458534</v>
      </c>
      <c r="I11" s="31">
        <v>7.3950710269530928E-2</v>
      </c>
      <c r="J11" s="31">
        <v>0.42961071148670704</v>
      </c>
      <c r="K11" s="31">
        <v>5.0854999999999997E-2</v>
      </c>
      <c r="L11" s="31">
        <v>0.14615787524295451</v>
      </c>
      <c r="M11" s="31">
        <v>6.8716875642939296E-2</v>
      </c>
      <c r="N11" s="32">
        <v>1.6931990505110932</v>
      </c>
      <c r="O11" s="32">
        <v>4.164625625009446</v>
      </c>
      <c r="P11" s="32">
        <v>18.067516918352702</v>
      </c>
      <c r="Q11" s="32">
        <v>21.467253635523878</v>
      </c>
      <c r="R11" s="32">
        <v>7.4226028259444998</v>
      </c>
      <c r="S11" s="32">
        <v>33.673065255533182</v>
      </c>
      <c r="T11" s="31">
        <v>-7.1416168745672318E-2</v>
      </c>
      <c r="U11" s="31">
        <v>4.6538312568521902E-2</v>
      </c>
      <c r="V11" s="31">
        <v>2.386992815326883E-2</v>
      </c>
      <c r="W11" s="31">
        <v>0.25676455571759477</v>
      </c>
      <c r="X11" s="31">
        <v>0.30557353679830446</v>
      </c>
      <c r="Y11" s="31">
        <v>0.6638966866591276</v>
      </c>
      <c r="Z11" s="31">
        <v>0.6638966866591276</v>
      </c>
      <c r="AA11" s="65">
        <v>0.19397268289715019</v>
      </c>
    </row>
    <row r="12" spans="1:27" s="11" customFormat="1">
      <c r="A12" s="29" t="s">
        <v>102</v>
      </c>
      <c r="B12" s="30">
        <v>22</v>
      </c>
      <c r="C12" s="31">
        <v>5.4847058823529415E-2</v>
      </c>
      <c r="D12" s="31">
        <v>0.11778498155713862</v>
      </c>
      <c r="E12" s="31">
        <v>0.12063888924002568</v>
      </c>
      <c r="F12" s="31">
        <v>0.26271149782887182</v>
      </c>
      <c r="G12" s="32">
        <v>0.49975667452480371</v>
      </c>
      <c r="H12" s="32">
        <v>1.0609243999049403</v>
      </c>
      <c r="I12" s="31">
        <v>8.7602522395627255E-2</v>
      </c>
      <c r="J12" s="31">
        <v>0.38457133667076027</v>
      </c>
      <c r="K12" s="31">
        <v>5.0854999999999997E-2</v>
      </c>
      <c r="L12" s="31">
        <v>0.63820798682921376</v>
      </c>
      <c r="M12" s="31">
        <v>5.603594331400262E-2</v>
      </c>
      <c r="N12" s="32">
        <v>1.1159893806472496</v>
      </c>
      <c r="O12" s="32">
        <v>1.2533019633843616</v>
      </c>
      <c r="P12" s="32">
        <v>7.3098296438361263</v>
      </c>
      <c r="Q12" s="32">
        <v>10.673057550494407</v>
      </c>
      <c r="R12" s="32">
        <v>0.80101351287155709</v>
      </c>
      <c r="S12" s="32">
        <v>7.8167811735331334</v>
      </c>
      <c r="T12" s="31">
        <v>0.10922957427443249</v>
      </c>
      <c r="U12" s="31">
        <v>2.5150013344556445E-2</v>
      </c>
      <c r="V12" s="31">
        <v>-2.0612152442738167E-2</v>
      </c>
      <c r="W12" s="31">
        <v>2.1143668601085928</v>
      </c>
      <c r="X12" s="31">
        <v>-2.1565149058570276E-2</v>
      </c>
      <c r="Y12" s="31">
        <v>2.1958759739129407E-3</v>
      </c>
      <c r="Z12" s="31">
        <v>2.1958759739129086E-3</v>
      </c>
      <c r="AA12" s="65">
        <v>0.11731512451023196</v>
      </c>
    </row>
    <row r="13" spans="1:27" s="11" customFormat="1">
      <c r="A13" s="29" t="s">
        <v>103</v>
      </c>
      <c r="B13" s="30">
        <v>27</v>
      </c>
      <c r="C13" s="31">
        <v>0.12787473684210526</v>
      </c>
      <c r="D13" s="31">
        <v>7.7058531092326328E-3</v>
      </c>
      <c r="E13" s="31">
        <v>1.307446941021954E-3</v>
      </c>
      <c r="F13" s="31">
        <v>0.21046665127451775</v>
      </c>
      <c r="G13" s="32">
        <v>0.55077822149952105</v>
      </c>
      <c r="H13" s="32">
        <v>1.120326193984736</v>
      </c>
      <c r="I13" s="31">
        <v>9.0335004923297851E-2</v>
      </c>
      <c r="J13" s="31">
        <v>0.25213732428210645</v>
      </c>
      <c r="K13" s="31">
        <v>5.0854999999999997E-2</v>
      </c>
      <c r="L13" s="31">
        <v>0.69330765887708945</v>
      </c>
      <c r="M13" s="31">
        <v>5.4148674889421655E-2</v>
      </c>
      <c r="N13" s="32">
        <v>0.27949922437037333</v>
      </c>
      <c r="O13" s="32">
        <v>5.6097535469357611</v>
      </c>
      <c r="P13" s="32" t="s">
        <v>169</v>
      </c>
      <c r="Q13" s="32" t="s">
        <v>169</v>
      </c>
      <c r="R13" s="32">
        <v>1.6565413108416178</v>
      </c>
      <c r="S13" s="32">
        <v>222.18514648652769</v>
      </c>
      <c r="T13" s="31" t="s">
        <v>169</v>
      </c>
      <c r="U13" s="31">
        <v>3.4125847634679171E-2</v>
      </c>
      <c r="V13" s="31">
        <v>1.6766162791348155E-2</v>
      </c>
      <c r="W13" s="31">
        <v>56.433655889964861</v>
      </c>
      <c r="X13" s="31">
        <v>0.10413110832014963</v>
      </c>
      <c r="Y13" s="31">
        <v>0.4352511082051424</v>
      </c>
      <c r="Z13" s="31">
        <v>0.43525110820514246</v>
      </c>
      <c r="AA13" s="65">
        <v>5.7932474418426055E-3</v>
      </c>
    </row>
    <row r="14" spans="1:27" s="11" customFormat="1">
      <c r="A14" s="29" t="s">
        <v>104</v>
      </c>
      <c r="B14" s="30">
        <v>44</v>
      </c>
      <c r="C14" s="31">
        <v>6.4077647058823517E-2</v>
      </c>
      <c r="D14" s="31">
        <v>0.13549668839875367</v>
      </c>
      <c r="E14" s="31">
        <v>0.25267057444947799</v>
      </c>
      <c r="F14" s="31">
        <v>0.24749103744997217</v>
      </c>
      <c r="G14" s="32">
        <v>1.2090471865786552</v>
      </c>
      <c r="H14" s="32">
        <v>1.3177985305249351</v>
      </c>
      <c r="I14" s="31">
        <v>9.9418732404147017E-2</v>
      </c>
      <c r="J14" s="31">
        <v>0.28715879840268466</v>
      </c>
      <c r="K14" s="31">
        <v>5.0854999999999997E-2</v>
      </c>
      <c r="L14" s="31">
        <v>0.15361123144803443</v>
      </c>
      <c r="M14" s="31">
        <v>9.0005822872010727E-2</v>
      </c>
      <c r="N14" s="32">
        <v>2.2882186586804418</v>
      </c>
      <c r="O14" s="32">
        <v>2.1109365215921261</v>
      </c>
      <c r="P14" s="32">
        <v>12.010468803767779</v>
      </c>
      <c r="Q14" s="32">
        <v>15.394243623712891</v>
      </c>
      <c r="R14" s="32">
        <v>4.735200284670956</v>
      </c>
      <c r="S14" s="32">
        <v>24.847889315631068</v>
      </c>
      <c r="T14" s="31">
        <v>0.18356211311341869</v>
      </c>
      <c r="U14" s="31">
        <v>3.2512733848203627E-2</v>
      </c>
      <c r="V14" s="31">
        <v>2.4513125773923429E-2</v>
      </c>
      <c r="W14" s="31">
        <v>-7.6166544925225102E-3</v>
      </c>
      <c r="X14" s="31">
        <v>0.21354650605206582</v>
      </c>
      <c r="Y14" s="31">
        <v>0.29019405797616848</v>
      </c>
      <c r="Z14" s="31">
        <v>0.29019405797616848</v>
      </c>
      <c r="AA14" s="65">
        <v>0.13773258950466172</v>
      </c>
    </row>
    <row r="15" spans="1:27" s="11" customFormat="1">
      <c r="A15" s="29" t="s">
        <v>105</v>
      </c>
      <c r="B15" s="30">
        <v>162</v>
      </c>
      <c r="C15" s="31">
        <v>6.6924269662921379E-2</v>
      </c>
      <c r="D15" s="31">
        <v>0.11098788170854047</v>
      </c>
      <c r="E15" s="31">
        <v>0.27452359974428153</v>
      </c>
      <c r="F15" s="31">
        <v>0.24242512766060723</v>
      </c>
      <c r="G15" s="32">
        <v>0.92964265743301178</v>
      </c>
      <c r="H15" s="32">
        <v>1.0221017216409709</v>
      </c>
      <c r="I15" s="31">
        <v>8.5816679195484663E-2</v>
      </c>
      <c r="J15" s="31">
        <v>0.41290054994468384</v>
      </c>
      <c r="K15" s="31">
        <v>5.0854999999999997E-2</v>
      </c>
      <c r="L15" s="31">
        <v>0.15210606535531057</v>
      </c>
      <c r="M15" s="31">
        <v>7.8564957246433781E-2</v>
      </c>
      <c r="N15" s="32">
        <v>2.7218927299604339</v>
      </c>
      <c r="O15" s="32">
        <v>2.6819987829385279</v>
      </c>
      <c r="P15" s="32">
        <v>16.123377912677118</v>
      </c>
      <c r="Q15" s="32">
        <v>23.493439699858502</v>
      </c>
      <c r="R15" s="32">
        <v>5.5355120575616938</v>
      </c>
      <c r="S15" s="32">
        <v>86.899382361961813</v>
      </c>
      <c r="T15" s="31">
        <v>0.13484425179191181</v>
      </c>
      <c r="U15" s="31">
        <v>2.9848449272908677E-2</v>
      </c>
      <c r="V15" s="31">
        <v>1.6940121240038436E-2</v>
      </c>
      <c r="W15" s="31">
        <v>0.25446821033167139</v>
      </c>
      <c r="X15" s="31">
        <v>0.1399754737551486</v>
      </c>
      <c r="Y15" s="31">
        <v>0.59783007780719277</v>
      </c>
      <c r="Z15" s="31">
        <v>0.59783007780719277</v>
      </c>
      <c r="AA15" s="65">
        <v>0.11307358791595411</v>
      </c>
    </row>
    <row r="16" spans="1:27" s="11" customFormat="1">
      <c r="A16" s="29" t="s">
        <v>106</v>
      </c>
      <c r="B16" s="30">
        <v>10</v>
      </c>
      <c r="C16" s="31">
        <v>0.16231666666666669</v>
      </c>
      <c r="D16" s="31">
        <v>0.19465081924755748</v>
      </c>
      <c r="E16" s="31">
        <v>0.11311872163563386</v>
      </c>
      <c r="F16" s="31">
        <v>0.25555176669754759</v>
      </c>
      <c r="G16" s="32">
        <v>0.73562954032076278</v>
      </c>
      <c r="H16" s="32">
        <v>1.2767983158980267</v>
      </c>
      <c r="I16" s="31">
        <v>9.7532722531309235E-2</v>
      </c>
      <c r="J16" s="31">
        <v>0.3300530419558696</v>
      </c>
      <c r="K16" s="31">
        <v>5.0854999999999997E-2</v>
      </c>
      <c r="L16" s="31">
        <v>0.50426003463258229</v>
      </c>
      <c r="M16" s="31">
        <v>6.7583976535791179E-2</v>
      </c>
      <c r="N16" s="32">
        <v>0.77672236932259209</v>
      </c>
      <c r="O16" s="32">
        <v>2.5465853835816081</v>
      </c>
      <c r="P16" s="32">
        <v>7.8008723610498603</v>
      </c>
      <c r="Q16" s="32">
        <v>13.348955942597875</v>
      </c>
      <c r="R16" s="32">
        <v>2.063094529414669</v>
      </c>
      <c r="S16" s="32">
        <v>16.12065991866249</v>
      </c>
      <c r="T16" s="31">
        <v>-9.7741192310436191E-4</v>
      </c>
      <c r="U16" s="31">
        <v>0.14079353806475833</v>
      </c>
      <c r="V16" s="31">
        <v>1.6512641327761278E-2</v>
      </c>
      <c r="W16" s="31">
        <v>0.15767366778442643</v>
      </c>
      <c r="X16" s="31">
        <v>0.19466771140821634</v>
      </c>
      <c r="Y16" s="31">
        <v>0.21927067291667543</v>
      </c>
      <c r="Z16" s="31">
        <v>0.21927067291667546</v>
      </c>
      <c r="AA16" s="65">
        <v>0.19087795085663556</v>
      </c>
    </row>
    <row r="17" spans="1:27" s="11" customFormat="1">
      <c r="A17" s="29" t="s">
        <v>107</v>
      </c>
      <c r="B17" s="30">
        <v>32</v>
      </c>
      <c r="C17" s="31">
        <v>0.11316100000000001</v>
      </c>
      <c r="D17" s="31">
        <v>7.8809382448858323E-2</v>
      </c>
      <c r="E17" s="31">
        <v>0.11808931523559212</v>
      </c>
      <c r="F17" s="31">
        <v>0.23971308008564993</v>
      </c>
      <c r="G17" s="32">
        <v>0.87469078478798268</v>
      </c>
      <c r="H17" s="32">
        <v>1.096267077331708</v>
      </c>
      <c r="I17" s="31">
        <v>8.9228285557258563E-2</v>
      </c>
      <c r="J17" s="31">
        <v>0.38924523542650602</v>
      </c>
      <c r="K17" s="31">
        <v>5.0854999999999997E-2</v>
      </c>
      <c r="L17" s="31">
        <v>0.31354657676699077</v>
      </c>
      <c r="M17" s="31">
        <v>7.3210120441106613E-2</v>
      </c>
      <c r="N17" s="32">
        <v>1.6175128141587387</v>
      </c>
      <c r="O17" s="32">
        <v>1.1499985705299101</v>
      </c>
      <c r="P17" s="32">
        <v>8.0995322699832801</v>
      </c>
      <c r="Q17" s="32">
        <v>14.05606834124257</v>
      </c>
      <c r="R17" s="32">
        <v>1.9757813391316583</v>
      </c>
      <c r="S17" s="32">
        <v>12.407994201775024</v>
      </c>
      <c r="T17" s="31">
        <v>0.14739172149447363</v>
      </c>
      <c r="U17" s="31">
        <v>5.5075323588956941E-2</v>
      </c>
      <c r="V17" s="31">
        <v>3.0793498175279994E-2</v>
      </c>
      <c r="W17" s="31">
        <v>0.17366700473212501</v>
      </c>
      <c r="X17" s="31">
        <v>8.8946041576985921E-2</v>
      </c>
      <c r="Y17" s="31">
        <v>1.3126657214952435</v>
      </c>
      <c r="Z17" s="31">
        <v>1.3126657214952435</v>
      </c>
      <c r="AA17" s="65">
        <v>8.0172535926678418E-2</v>
      </c>
    </row>
    <row r="18" spans="1:27" s="11" customFormat="1">
      <c r="A18" s="29" t="s">
        <v>108</v>
      </c>
      <c r="B18" s="30">
        <v>4</v>
      </c>
      <c r="C18" s="31">
        <v>-7.5500000000000038E-3</v>
      </c>
      <c r="D18" s="31">
        <v>1.5232688891083214E-2</v>
      </c>
      <c r="E18" s="31">
        <v>1.5720852535763625E-2</v>
      </c>
      <c r="F18" s="31">
        <v>0.44293366295838488</v>
      </c>
      <c r="G18" s="32">
        <v>0.81346085769352849</v>
      </c>
      <c r="H18" s="32">
        <v>1.1332797311390761</v>
      </c>
      <c r="I18" s="31">
        <v>9.0930867632397494E-2</v>
      </c>
      <c r="J18" s="31">
        <v>0.37242278384437877</v>
      </c>
      <c r="K18" s="31">
        <v>5.0854999999999997E-2</v>
      </c>
      <c r="L18" s="31">
        <v>0.41012862019663632</v>
      </c>
      <c r="M18" s="31">
        <v>6.9280334592114287E-2</v>
      </c>
      <c r="N18" s="32">
        <v>1.2786447256557913</v>
      </c>
      <c r="O18" s="32">
        <v>1.1597139266470613</v>
      </c>
      <c r="P18" s="32">
        <v>15.396063877133198</v>
      </c>
      <c r="Q18" s="32">
        <v>73.615159171578384</v>
      </c>
      <c r="R18" s="32">
        <v>1.9746042510627253</v>
      </c>
      <c r="S18" s="32">
        <v>30.527729815250837</v>
      </c>
      <c r="T18" s="31">
        <v>0.17621388838495999</v>
      </c>
      <c r="U18" s="31">
        <v>4.511777011805717E-2</v>
      </c>
      <c r="V18" s="31">
        <v>-5.7903354329949218E-3</v>
      </c>
      <c r="W18" s="31">
        <v>-5.556514170837235</v>
      </c>
      <c r="X18" s="31">
        <v>-2.3605004225089869E-2</v>
      </c>
      <c r="Y18" s="31">
        <v>1.037037037037037E-2</v>
      </c>
      <c r="Z18" s="31">
        <v>1.0370370370370363E-2</v>
      </c>
      <c r="AA18" s="65">
        <v>1.4639496833568348E-2</v>
      </c>
    </row>
    <row r="19" spans="1:27" s="11" customFormat="1">
      <c r="A19" s="29" t="s">
        <v>109</v>
      </c>
      <c r="B19" s="30">
        <v>68</v>
      </c>
      <c r="C19" s="31">
        <v>7.3318750000000016E-2</v>
      </c>
      <c r="D19" s="31">
        <v>0.13090390749762712</v>
      </c>
      <c r="E19" s="31">
        <v>0.13505275648152232</v>
      </c>
      <c r="F19" s="31">
        <v>0.18266700211687126</v>
      </c>
      <c r="G19" s="32">
        <v>0.93813574342911976</v>
      </c>
      <c r="H19" s="32">
        <v>1.0873832852797658</v>
      </c>
      <c r="I19" s="31">
        <v>8.8819631122869225E-2</v>
      </c>
      <c r="J19" s="31">
        <v>0.36600539277751015</v>
      </c>
      <c r="K19" s="31">
        <v>5.0854999999999997E-2</v>
      </c>
      <c r="L19" s="31">
        <v>0.21148852013848732</v>
      </c>
      <c r="M19" s="31">
        <v>7.8101735296179364E-2</v>
      </c>
      <c r="N19" s="32">
        <v>1.15732408251221</v>
      </c>
      <c r="O19" s="32">
        <v>2.6791416225374163</v>
      </c>
      <c r="P19" s="32">
        <v>12.849678147864511</v>
      </c>
      <c r="Q19" s="32">
        <v>19.995555424351952</v>
      </c>
      <c r="R19" s="32">
        <v>2.67276074057165</v>
      </c>
      <c r="S19" s="32">
        <v>60.901134435897625</v>
      </c>
      <c r="T19" s="31">
        <v>0.22747765886505658</v>
      </c>
      <c r="U19" s="31">
        <v>8.4587824919642812E-2</v>
      </c>
      <c r="V19" s="31">
        <v>9.8115172777548026E-2</v>
      </c>
      <c r="W19" s="31">
        <v>1.0348496791866486</v>
      </c>
      <c r="X19" s="31">
        <v>0.14943273384769459</v>
      </c>
      <c r="Y19" s="31">
        <v>0.33249927210754887</v>
      </c>
      <c r="Z19" s="31">
        <v>0.33249927210754882</v>
      </c>
      <c r="AA19" s="65">
        <v>0.1304736636407548</v>
      </c>
    </row>
    <row r="20" spans="1:27" s="11" customFormat="1">
      <c r="A20" s="29" t="s">
        <v>110</v>
      </c>
      <c r="B20" s="30">
        <v>18</v>
      </c>
      <c r="C20" s="31">
        <v>5.559999999999999E-2</v>
      </c>
      <c r="D20" s="31">
        <v>0.20509759118732937</v>
      </c>
      <c r="E20" s="31">
        <v>0.29497550992564786</v>
      </c>
      <c r="F20" s="31">
        <v>0.13126063867339174</v>
      </c>
      <c r="G20" s="32">
        <v>1.2427250283125129</v>
      </c>
      <c r="H20" s="32">
        <v>1.2707580825145446</v>
      </c>
      <c r="I20" s="31">
        <v>9.7254871795669051E-2</v>
      </c>
      <c r="J20" s="31">
        <v>0.55692259899700314</v>
      </c>
      <c r="K20" s="31">
        <v>5.3524000000000002E-2</v>
      </c>
      <c r="L20" s="31">
        <v>0.18396815851589854</v>
      </c>
      <c r="M20" s="31">
        <v>8.6748105912023726E-2</v>
      </c>
      <c r="N20" s="32">
        <v>1.4739520943470472</v>
      </c>
      <c r="O20" s="32">
        <v>1.329263856564374</v>
      </c>
      <c r="P20" s="32">
        <v>2.7528990930238861</v>
      </c>
      <c r="Q20" s="32">
        <v>4.0368281544460292</v>
      </c>
      <c r="R20" s="32">
        <v>1.7901440274639588</v>
      </c>
      <c r="S20" s="32">
        <v>91.912422983759726</v>
      </c>
      <c r="T20" s="31">
        <v>6.1300782894183045E-2</v>
      </c>
      <c r="U20" s="31">
        <v>9.3046119803254237E-2</v>
      </c>
      <c r="V20" s="31">
        <v>1.5940120019722653E-2</v>
      </c>
      <c r="W20" s="31">
        <v>0.13283664539899678</v>
      </c>
      <c r="X20" s="31">
        <v>0.29069215958320355</v>
      </c>
      <c r="Y20" s="31">
        <v>0.15155665948302102</v>
      </c>
      <c r="Z20" s="31">
        <v>0.15155665948302099</v>
      </c>
      <c r="AA20" s="65">
        <v>0.20552884089594509</v>
      </c>
    </row>
    <row r="21" spans="1:27" s="11" customFormat="1">
      <c r="A21" s="29" t="s">
        <v>111</v>
      </c>
      <c r="B21" s="30">
        <v>72</v>
      </c>
      <c r="C21" s="31">
        <v>0.10926473684210528</v>
      </c>
      <c r="D21" s="31">
        <v>6.9781750755169278E-2</v>
      </c>
      <c r="E21" s="31">
        <v>0.24167411086330845</v>
      </c>
      <c r="F21" s="31">
        <v>0.18859681218443272</v>
      </c>
      <c r="G21" s="32">
        <v>0.85869750711737747</v>
      </c>
      <c r="H21" s="32">
        <v>0.99732353782806837</v>
      </c>
      <c r="I21" s="31">
        <v>8.4676882740091136E-2</v>
      </c>
      <c r="J21" s="31">
        <v>0.49612772702274627</v>
      </c>
      <c r="K21" s="31">
        <v>5.0854999999999997E-2</v>
      </c>
      <c r="L21" s="31">
        <v>0.22566035729965525</v>
      </c>
      <c r="M21" s="31">
        <v>7.4175635228796638E-2</v>
      </c>
      <c r="N21" s="32">
        <v>3.5867521403435378</v>
      </c>
      <c r="O21" s="32">
        <v>1.3742206681743261</v>
      </c>
      <c r="P21" s="32">
        <v>12.610910959671749</v>
      </c>
      <c r="Q21" s="32">
        <v>18.862943171557092</v>
      </c>
      <c r="R21" s="32">
        <v>4.3745780390573517</v>
      </c>
      <c r="S21" s="32">
        <v>76.132199815532758</v>
      </c>
      <c r="T21" s="31">
        <v>0.13853121727988529</v>
      </c>
      <c r="U21" s="31">
        <v>1.2325750009423415E-2</v>
      </c>
      <c r="V21" s="31">
        <v>8.2343910033029176E-3</v>
      </c>
      <c r="W21" s="31">
        <v>0.23795588571918946</v>
      </c>
      <c r="X21" s="31">
        <v>0.18772570752648005</v>
      </c>
      <c r="Y21" s="31">
        <v>0.57072644434029085</v>
      </c>
      <c r="Z21" s="31">
        <v>0.57072644434029085</v>
      </c>
      <c r="AA21" s="65">
        <v>7.303438673884674E-2</v>
      </c>
    </row>
    <row r="22" spans="1:27" s="11" customFormat="1">
      <c r="A22" s="29" t="s">
        <v>112</v>
      </c>
      <c r="B22" s="30">
        <v>36</v>
      </c>
      <c r="C22" s="31">
        <v>2.3118148148148145E-2</v>
      </c>
      <c r="D22" s="31">
        <v>0.21063899949335566</v>
      </c>
      <c r="E22" s="31">
        <v>0.37798197124632166</v>
      </c>
      <c r="F22" s="31">
        <v>0.146118607992441</v>
      </c>
      <c r="G22" s="32">
        <v>1.1003543807483607</v>
      </c>
      <c r="H22" s="32">
        <v>1.1329223650294353</v>
      </c>
      <c r="I22" s="31">
        <v>9.0914428791354029E-2</v>
      </c>
      <c r="J22" s="31">
        <v>0.38898164531276785</v>
      </c>
      <c r="K22" s="31">
        <v>5.0854999999999997E-2</v>
      </c>
      <c r="L22" s="31">
        <v>5.7417446747048767E-2</v>
      </c>
      <c r="M22" s="31">
        <v>8.7884327608428986E-2</v>
      </c>
      <c r="N22" s="32">
        <v>1.9227871093142761</v>
      </c>
      <c r="O22" s="32">
        <v>5.5117305732812101</v>
      </c>
      <c r="P22" s="32">
        <v>21.831632280697495</v>
      </c>
      <c r="Q22" s="32">
        <v>25.971419409717786</v>
      </c>
      <c r="R22" s="32">
        <v>30.982880033408666</v>
      </c>
      <c r="S22" s="32">
        <v>31.833390779893396</v>
      </c>
      <c r="T22" s="31">
        <v>-9.8693444874868835E-2</v>
      </c>
      <c r="U22" s="31">
        <v>3.0597659642645401E-2</v>
      </c>
      <c r="V22" s="31">
        <v>9.0047013395217704E-3</v>
      </c>
      <c r="W22" s="31">
        <v>9.2441186690531002E-2</v>
      </c>
      <c r="X22" s="31">
        <v>-1.2342890084991339E-5</v>
      </c>
      <c r="Y22" s="31">
        <v>0.17443899392066986</v>
      </c>
      <c r="Z22" s="31">
        <v>0.17443899392066986</v>
      </c>
      <c r="AA22" s="65">
        <v>0.21483117342726249</v>
      </c>
    </row>
    <row r="23" spans="1:27" s="11" customFormat="1">
      <c r="A23" s="29" t="s">
        <v>192</v>
      </c>
      <c r="B23" s="30">
        <v>11</v>
      </c>
      <c r="C23" s="31">
        <v>9.3214285714285708E-2</v>
      </c>
      <c r="D23" s="31">
        <v>0.19042805922763226</v>
      </c>
      <c r="E23" s="31">
        <v>0.16917184600449708</v>
      </c>
      <c r="F23" s="31">
        <v>0.20587654716037279</v>
      </c>
      <c r="G23" s="32">
        <v>0.85045702070612572</v>
      </c>
      <c r="H23" s="32">
        <v>0.93781621828777395</v>
      </c>
      <c r="I23" s="31">
        <v>8.1939546041237599E-2</v>
      </c>
      <c r="J23" s="31">
        <v>0.30297083677405678</v>
      </c>
      <c r="K23" s="31">
        <v>5.0854999999999997E-2</v>
      </c>
      <c r="L23" s="31">
        <v>0.13984162501138236</v>
      </c>
      <c r="M23" s="31">
        <v>7.5814721150101336E-2</v>
      </c>
      <c r="N23" s="32">
        <v>1.0504344600135633</v>
      </c>
      <c r="O23" s="32">
        <v>4.0960651964189765</v>
      </c>
      <c r="P23" s="32">
        <v>14.937131868626217</v>
      </c>
      <c r="Q23" s="32">
        <v>21.867430131104488</v>
      </c>
      <c r="R23" s="32">
        <v>3.7678129120418093</v>
      </c>
      <c r="S23" s="32">
        <v>63.097848899177691</v>
      </c>
      <c r="T23" s="31">
        <v>0.22904316172646905</v>
      </c>
      <c r="U23" s="31">
        <v>9.466841831568E-2</v>
      </c>
      <c r="V23" s="31">
        <v>3.4544525640674763E-2</v>
      </c>
      <c r="W23" s="31">
        <v>0.39648111433244615</v>
      </c>
      <c r="X23" s="31">
        <v>0.1720397075859865</v>
      </c>
      <c r="Y23" s="31">
        <v>0.15193309779614278</v>
      </c>
      <c r="Z23" s="31">
        <v>0.15193309779614284</v>
      </c>
      <c r="AA23" s="65">
        <v>0.18714102189619572</v>
      </c>
    </row>
    <row r="24" spans="1:27" s="11" customFormat="1">
      <c r="A24" s="29" t="s">
        <v>113</v>
      </c>
      <c r="B24" s="30">
        <v>23</v>
      </c>
      <c r="C24" s="31">
        <v>6.9406363636363641E-2</v>
      </c>
      <c r="D24" s="31">
        <v>0.22931748516386233</v>
      </c>
      <c r="E24" s="31">
        <v>0.20395197737613438</v>
      </c>
      <c r="F24" s="31">
        <v>0.17651836241260768</v>
      </c>
      <c r="G24" s="32">
        <v>1.0923486152033832</v>
      </c>
      <c r="H24" s="32">
        <v>1.1948544445210565</v>
      </c>
      <c r="I24" s="31">
        <v>9.3763304447968598E-2</v>
      </c>
      <c r="J24" s="31">
        <v>0.5225050340018127</v>
      </c>
      <c r="K24" s="31">
        <v>5.3524000000000002E-2</v>
      </c>
      <c r="L24" s="31">
        <v>0.1607420785589129</v>
      </c>
      <c r="M24" s="31">
        <v>8.5144265258040405E-2</v>
      </c>
      <c r="N24" s="32">
        <v>0.93313862274715875</v>
      </c>
      <c r="O24" s="32">
        <v>2.4285333531334716</v>
      </c>
      <c r="P24" s="32">
        <v>8.9346371681963657</v>
      </c>
      <c r="Q24" s="32">
        <v>10.510496860016763</v>
      </c>
      <c r="R24" s="32">
        <v>1.8732585871718974</v>
      </c>
      <c r="S24" s="32">
        <v>13.800008820068092</v>
      </c>
      <c r="T24" s="31">
        <v>5.0020771018464777E-2</v>
      </c>
      <c r="U24" s="31">
        <v>4.4830248929640291E-2</v>
      </c>
      <c r="V24" s="31">
        <v>4.6101030377602686E-2</v>
      </c>
      <c r="W24" s="31">
        <v>0.25080420620828026</v>
      </c>
      <c r="X24" s="31">
        <v>0.15867710900985088</v>
      </c>
      <c r="Y24" s="31">
        <v>8.1605407127575316E-2</v>
      </c>
      <c r="Z24" s="31">
        <v>8.1605407127575358E-2</v>
      </c>
      <c r="AA24" s="65">
        <v>0.23068357288812125</v>
      </c>
    </row>
    <row r="25" spans="1:27" s="11" customFormat="1">
      <c r="A25" s="29" t="s">
        <v>193</v>
      </c>
      <c r="B25" s="30">
        <v>572</v>
      </c>
      <c r="C25" s="31">
        <v>0.18950851190476192</v>
      </c>
      <c r="D25" s="31">
        <v>1.0772125793898567E-2</v>
      </c>
      <c r="E25" s="31">
        <v>1.5551579144381567E-2</v>
      </c>
      <c r="F25" s="31">
        <v>0.16414119075344816</v>
      </c>
      <c r="G25" s="32">
        <v>1.0890964696256169</v>
      </c>
      <c r="H25" s="32">
        <v>1.1233547439492362</v>
      </c>
      <c r="I25" s="31">
        <v>9.0474318221664865E-2</v>
      </c>
      <c r="J25" s="31">
        <v>0.6198094773831897</v>
      </c>
      <c r="K25" s="31">
        <v>5.3524000000000002E-2</v>
      </c>
      <c r="L25" s="31">
        <v>0.14082267604024337</v>
      </c>
      <c r="M25" s="31">
        <v>8.3386527301056959E-2</v>
      </c>
      <c r="N25" s="32">
        <v>0.40681193428310364</v>
      </c>
      <c r="O25" s="32">
        <v>6.8880470352138108</v>
      </c>
      <c r="P25" s="32">
        <v>13.519816800069261</v>
      </c>
      <c r="Q25" s="32" t="s">
        <v>169</v>
      </c>
      <c r="R25" s="32">
        <v>6.135291677851848</v>
      </c>
      <c r="S25" s="32">
        <v>30.391605386786914</v>
      </c>
      <c r="T25" s="31">
        <v>9.9810417479148511E-2</v>
      </c>
      <c r="U25" s="31">
        <v>3.8231005472018041E-2</v>
      </c>
      <c r="V25" s="31">
        <v>3.468871974612317E-2</v>
      </c>
      <c r="W25" s="31" t="s">
        <v>169</v>
      </c>
      <c r="X25" s="31">
        <v>-0.11590040227481527</v>
      </c>
      <c r="Y25" s="31">
        <v>8.849667367975925E-4</v>
      </c>
      <c r="Z25" s="31">
        <v>8.8496673679760995E-4</v>
      </c>
      <c r="AA25" s="65">
        <v>3.8302994165288748E-2</v>
      </c>
    </row>
    <row r="26" spans="1:27" s="11" customFormat="1">
      <c r="A26" s="29" t="s">
        <v>194</v>
      </c>
      <c r="B26" s="30">
        <v>245</v>
      </c>
      <c r="C26" s="31">
        <v>0.41537666666666667</v>
      </c>
      <c r="D26" s="31">
        <v>0.1816047184019137</v>
      </c>
      <c r="E26" s="31">
        <v>0.13375270622156929</v>
      </c>
      <c r="F26" s="31">
        <v>0.14924679402968208</v>
      </c>
      <c r="G26" s="32">
        <v>0.94399768677855111</v>
      </c>
      <c r="H26" s="32">
        <v>1.0269619624933468</v>
      </c>
      <c r="I26" s="31">
        <v>8.6040250274693947E-2</v>
      </c>
      <c r="J26" s="31">
        <v>0.6530341383257241</v>
      </c>
      <c r="K26" s="31">
        <v>6.0879000000000003E-2</v>
      </c>
      <c r="L26" s="31">
        <v>0.13828827500212321</v>
      </c>
      <c r="M26" s="31">
        <v>8.0456031403846245E-2</v>
      </c>
      <c r="N26" s="32">
        <v>0.64296181942943686</v>
      </c>
      <c r="O26" s="32">
        <v>5.0792398099384464</v>
      </c>
      <c r="P26" s="32">
        <v>16.617974116905632</v>
      </c>
      <c r="Q26" s="32">
        <v>27.428480363585575</v>
      </c>
      <c r="R26" s="32">
        <v>5.1951082931130115</v>
      </c>
      <c r="S26" s="32">
        <v>57.625877349549583</v>
      </c>
      <c r="T26" s="31">
        <v>0.22369121415285234</v>
      </c>
      <c r="U26" s="31">
        <v>5.3053463594413347E-2</v>
      </c>
      <c r="V26" s="31">
        <v>0.1297351632612678</v>
      </c>
      <c r="W26" s="31">
        <v>0.85392631754367632</v>
      </c>
      <c r="X26" s="31">
        <v>0.17320808107952249</v>
      </c>
      <c r="Y26" s="31">
        <v>0.69958361802549229</v>
      </c>
      <c r="Z26" s="31">
        <v>0.69958361802549229</v>
      </c>
      <c r="AA26" s="65">
        <v>0.21327300590991013</v>
      </c>
    </row>
    <row r="27" spans="1:27" s="11" customFormat="1">
      <c r="A27" s="29" t="s">
        <v>195</v>
      </c>
      <c r="B27" s="30">
        <v>31</v>
      </c>
      <c r="C27" s="31">
        <v>4.1181874999999993E-2</v>
      </c>
      <c r="D27" s="31">
        <v>5.8152137730714419E-2</v>
      </c>
      <c r="E27" s="31">
        <v>5.9280308281626143E-2</v>
      </c>
      <c r="F27" s="31">
        <v>0.32156187378758871</v>
      </c>
      <c r="G27" s="32">
        <v>1.1467394309363781</v>
      </c>
      <c r="H27" s="32">
        <v>1.2251855531141391</v>
      </c>
      <c r="I27" s="31">
        <v>9.5158535443250397E-2</v>
      </c>
      <c r="J27" s="31">
        <v>0.43781301036597053</v>
      </c>
      <c r="K27" s="31">
        <v>5.0854999999999997E-2</v>
      </c>
      <c r="L27" s="31">
        <v>0.16383109786985448</v>
      </c>
      <c r="M27" s="31">
        <v>8.5817330971523803E-2</v>
      </c>
      <c r="N27" s="32">
        <v>1.2894168928698895</v>
      </c>
      <c r="O27" s="32">
        <v>2.3038717172014334</v>
      </c>
      <c r="P27" s="32">
        <v>10.79885515422891</v>
      </c>
      <c r="Q27" s="32">
        <v>31.741208061314889</v>
      </c>
      <c r="R27" s="32">
        <v>2.7160288491807298</v>
      </c>
      <c r="S27" s="32">
        <v>34.573469860937713</v>
      </c>
      <c r="T27" s="31">
        <v>9.0768336455339341E-2</v>
      </c>
      <c r="U27" s="31">
        <v>2.9240501681576912E-2</v>
      </c>
      <c r="V27" s="31">
        <v>3.3245288819538331E-3</v>
      </c>
      <c r="W27" s="31">
        <v>0.97503980207358554</v>
      </c>
      <c r="X27" s="31">
        <v>1.6746880536467494E-2</v>
      </c>
      <c r="Y27" s="31">
        <v>0.38078808076847676</v>
      </c>
      <c r="Z27" s="31">
        <v>0.3807880807684767</v>
      </c>
      <c r="AA27" s="65">
        <v>5.1629989846851708E-2</v>
      </c>
    </row>
    <row r="28" spans="1:27" s="11" customFormat="1">
      <c r="A28" s="29" t="s">
        <v>114</v>
      </c>
      <c r="B28" s="30">
        <v>103</v>
      </c>
      <c r="C28" s="31">
        <v>0.14907829787234042</v>
      </c>
      <c r="D28" s="31">
        <v>9.0010627576211533E-2</v>
      </c>
      <c r="E28" s="31">
        <v>0.13265964322266596</v>
      </c>
      <c r="F28" s="31">
        <v>0.21670554463683422</v>
      </c>
      <c r="G28" s="32">
        <v>1.145843471951508</v>
      </c>
      <c r="H28" s="32">
        <v>1.2410543592858396</v>
      </c>
      <c r="I28" s="31">
        <v>9.5888500527148618E-2</v>
      </c>
      <c r="J28" s="31">
        <v>0.54423898938240323</v>
      </c>
      <c r="K28" s="31">
        <v>5.3524000000000002E-2</v>
      </c>
      <c r="L28" s="31">
        <v>0.17619594793469248</v>
      </c>
      <c r="M28" s="31">
        <v>8.6066369218673763E-2</v>
      </c>
      <c r="N28" s="32">
        <v>1.4659763013390332</v>
      </c>
      <c r="O28" s="32">
        <v>2.9757179784329062</v>
      </c>
      <c r="P28" s="32">
        <v>14.654554784871266</v>
      </c>
      <c r="Q28" s="32">
        <v>28.89201617695047</v>
      </c>
      <c r="R28" s="32">
        <v>2.9236490003601276</v>
      </c>
      <c r="S28" s="32">
        <v>24.688706144324069</v>
      </c>
      <c r="T28" s="31">
        <v>0.28273149237542999</v>
      </c>
      <c r="U28" s="31">
        <v>6.1632530290405142E-2</v>
      </c>
      <c r="V28" s="31">
        <v>9.8179239343670066E-2</v>
      </c>
      <c r="W28" s="31">
        <v>2.1463997544763114</v>
      </c>
      <c r="X28" s="31">
        <v>0.23703235618633814</v>
      </c>
      <c r="Y28" s="31">
        <v>0.17177866341194353</v>
      </c>
      <c r="Z28" s="31">
        <v>0.17177866341194359</v>
      </c>
      <c r="AA28" s="65">
        <v>9.5714676405284388E-2</v>
      </c>
    </row>
    <row r="29" spans="1:27" s="11" customFormat="1">
      <c r="A29" s="29" t="s">
        <v>115</v>
      </c>
      <c r="B29" s="30">
        <v>13</v>
      </c>
      <c r="C29" s="31">
        <v>-6.3210000000000002E-2</v>
      </c>
      <c r="D29" s="31">
        <v>-7.643401586021315E-4</v>
      </c>
      <c r="E29" s="31">
        <v>9.5426355462240233E-3</v>
      </c>
      <c r="F29" s="31">
        <v>0.6944234404536862</v>
      </c>
      <c r="G29" s="32">
        <v>1.3029636093516688</v>
      </c>
      <c r="H29" s="32">
        <v>1.2951787766557901</v>
      </c>
      <c r="I29" s="31">
        <v>9.8378223726166336E-2</v>
      </c>
      <c r="J29" s="31">
        <v>0.39424154982087117</v>
      </c>
      <c r="K29" s="31">
        <v>5.0854999999999997E-2</v>
      </c>
      <c r="L29" s="31">
        <v>0.15486981955971799</v>
      </c>
      <c r="M29" s="31">
        <v>8.904933447437148E-2</v>
      </c>
      <c r="N29" s="32">
        <v>1.6732153737167332</v>
      </c>
      <c r="O29" s="32">
        <v>0.84607344479761215</v>
      </c>
      <c r="P29" s="32">
        <v>19.143941698748328</v>
      </c>
      <c r="Q29" s="32" t="s">
        <v>169</v>
      </c>
      <c r="R29" s="32">
        <v>1.9031490452094928</v>
      </c>
      <c r="S29" s="32">
        <v>38.632883209912393</v>
      </c>
      <c r="T29" s="31">
        <v>0.15533542696520905</v>
      </c>
      <c r="U29" s="31">
        <v>1.5568092728386464E-2</v>
      </c>
      <c r="V29" s="31">
        <v>-2.2079528200980025E-3</v>
      </c>
      <c r="W29" s="31" t="s">
        <v>169</v>
      </c>
      <c r="X29" s="31">
        <v>-6.6268001387247435E-2</v>
      </c>
      <c r="Y29" s="31">
        <v>0</v>
      </c>
      <c r="Z29" s="31">
        <v>0</v>
      </c>
      <c r="AA29" s="65">
        <v>5.6724354829463522E-3</v>
      </c>
    </row>
    <row r="30" spans="1:27" s="11" customFormat="1">
      <c r="A30" s="29" t="s">
        <v>196</v>
      </c>
      <c r="B30" s="30">
        <v>129</v>
      </c>
      <c r="C30" s="31">
        <v>0.15823965116279071</v>
      </c>
      <c r="D30" s="31">
        <v>9.4816605584407423E-2</v>
      </c>
      <c r="E30" s="31">
        <v>0.15114383953059968</v>
      </c>
      <c r="F30" s="31">
        <v>0.22613287894821063</v>
      </c>
      <c r="G30" s="32">
        <v>0.8772051743933108</v>
      </c>
      <c r="H30" s="32">
        <v>0.93395459906726541</v>
      </c>
      <c r="I30" s="31">
        <v>8.1761911557094211E-2</v>
      </c>
      <c r="J30" s="31">
        <v>0.42942643620556031</v>
      </c>
      <c r="K30" s="31">
        <v>5.0854999999999997E-2</v>
      </c>
      <c r="L30" s="31">
        <v>0.14673840734826454</v>
      </c>
      <c r="M30" s="31">
        <v>7.5361085152728532E-2</v>
      </c>
      <c r="N30" s="32">
        <v>1.6768879249052682</v>
      </c>
      <c r="O30" s="32">
        <v>2.1770119295764263</v>
      </c>
      <c r="P30" s="32">
        <v>13.589599841576854</v>
      </c>
      <c r="Q30" s="32">
        <v>22.109356359942485</v>
      </c>
      <c r="R30" s="32">
        <v>3.2790176756415139</v>
      </c>
      <c r="S30" s="32">
        <v>102.2602762874735</v>
      </c>
      <c r="T30" s="31">
        <v>0.24013986599713918</v>
      </c>
      <c r="U30" s="31">
        <v>4.0634673225505777E-2</v>
      </c>
      <c r="V30" s="31">
        <v>4.116813973531535E-2</v>
      </c>
      <c r="W30" s="31">
        <v>0.70431641073104712</v>
      </c>
      <c r="X30" s="31">
        <v>8.797660106927524E-2</v>
      </c>
      <c r="Y30" s="31">
        <v>0.28526884031561212</v>
      </c>
      <c r="Z30" s="31">
        <v>0.28526884031561206</v>
      </c>
      <c r="AA30" s="65">
        <v>9.7970185070913832E-2</v>
      </c>
    </row>
    <row r="31" spans="1:27" s="11" customFormat="1">
      <c r="A31" s="29" t="s">
        <v>197</v>
      </c>
      <c r="B31" s="30">
        <v>77</v>
      </c>
      <c r="C31" s="31">
        <v>6.5536666666666632E-2</v>
      </c>
      <c r="D31" s="31">
        <v>0.10360185076313747</v>
      </c>
      <c r="E31" s="31">
        <v>0.18528356431084828</v>
      </c>
      <c r="F31" s="31">
        <v>0.2368733194672781</v>
      </c>
      <c r="G31" s="32">
        <v>0.92403959370273336</v>
      </c>
      <c r="H31" s="32">
        <v>1.0580761393416174</v>
      </c>
      <c r="I31" s="31">
        <v>8.7471502409714408E-2</v>
      </c>
      <c r="J31" s="31">
        <v>0.36589093646977811</v>
      </c>
      <c r="K31" s="31">
        <v>5.0854999999999997E-2</v>
      </c>
      <c r="L31" s="31">
        <v>0.21102553579017477</v>
      </c>
      <c r="M31" s="31">
        <v>7.7061559464289858E-2</v>
      </c>
      <c r="N31" s="32">
        <v>2.037850068990315</v>
      </c>
      <c r="O31" s="32">
        <v>1.5719288338742232</v>
      </c>
      <c r="P31" s="32">
        <v>11.036891379802853</v>
      </c>
      <c r="Q31" s="32">
        <v>14.820564347673916</v>
      </c>
      <c r="R31" s="32">
        <v>3.7460429418716128</v>
      </c>
      <c r="S31" s="32">
        <v>36.142452668814599</v>
      </c>
      <c r="T31" s="31">
        <v>0.1894488945698595</v>
      </c>
      <c r="U31" s="31">
        <v>3.7420769095906761E-2</v>
      </c>
      <c r="V31" s="31">
        <v>2.8433401793941292E-2</v>
      </c>
      <c r="W31" s="31">
        <v>0.66623551016856597</v>
      </c>
      <c r="X31" s="31">
        <v>0.21241763392703947</v>
      </c>
      <c r="Y31" s="31">
        <v>0.2474936008483172</v>
      </c>
      <c r="Z31" s="31">
        <v>0.24749360084831717</v>
      </c>
      <c r="AA31" s="65">
        <v>0.10638181139347136</v>
      </c>
    </row>
    <row r="32" spans="1:27" s="11" customFormat="1">
      <c r="A32" s="29" t="s">
        <v>116</v>
      </c>
      <c r="B32" s="30">
        <v>98</v>
      </c>
      <c r="C32" s="31">
        <v>0.15469137931034482</v>
      </c>
      <c r="D32" s="31">
        <v>7.0067935835321643E-2</v>
      </c>
      <c r="E32" s="31">
        <v>7.5578911739182089E-2</v>
      </c>
      <c r="F32" s="31">
        <v>0.19997160037162454</v>
      </c>
      <c r="G32" s="32">
        <v>0.86571919280395593</v>
      </c>
      <c r="H32" s="32">
        <v>0.99455942915170392</v>
      </c>
      <c r="I32" s="31">
        <v>8.4549733740978378E-2</v>
      </c>
      <c r="J32" s="31">
        <v>0.61185830172417144</v>
      </c>
      <c r="K32" s="31">
        <v>5.3524000000000002E-2</v>
      </c>
      <c r="L32" s="31">
        <v>0.22327359258810395</v>
      </c>
      <c r="M32" s="31">
        <v>7.4634882763526755E-2</v>
      </c>
      <c r="N32" s="32">
        <v>1.105934104413193</v>
      </c>
      <c r="O32" s="32">
        <v>3.0674272548861663</v>
      </c>
      <c r="P32" s="32">
        <v>16.372327269203399</v>
      </c>
      <c r="Q32" s="32">
        <v>42.533399418877075</v>
      </c>
      <c r="R32" s="32">
        <v>2.5929691561863222</v>
      </c>
      <c r="S32" s="32">
        <v>31.168325364687774</v>
      </c>
      <c r="T32" s="31">
        <v>3.8054347095575536E-2</v>
      </c>
      <c r="U32" s="31">
        <v>4.3745016460205635E-2</v>
      </c>
      <c r="V32" s="31">
        <v>-2.2575917320574641E-2</v>
      </c>
      <c r="W32" s="31">
        <v>-0.20650613209517016</v>
      </c>
      <c r="X32" s="31">
        <v>-2.7275543810870717E-3</v>
      </c>
      <c r="Y32" s="31">
        <v>3.4346522556140007E-3</v>
      </c>
      <c r="Z32" s="31">
        <v>3.4346522556140124E-3</v>
      </c>
      <c r="AA32" s="65">
        <v>7.0525654364218135E-2</v>
      </c>
    </row>
    <row r="33" spans="1:27" s="11" customFormat="1">
      <c r="A33" s="29" t="s">
        <v>117</v>
      </c>
      <c r="B33" s="30">
        <v>57</v>
      </c>
      <c r="C33" s="31">
        <v>0.13381230769230767</v>
      </c>
      <c r="D33" s="31">
        <v>0.13553472241576553</v>
      </c>
      <c r="E33" s="31">
        <v>0.29942483961191058</v>
      </c>
      <c r="F33" s="31">
        <v>0.24029481031347999</v>
      </c>
      <c r="G33" s="32">
        <v>0.78573019548056033</v>
      </c>
      <c r="H33" s="32">
        <v>0.90699903446977015</v>
      </c>
      <c r="I33" s="31">
        <v>8.0521955585609428E-2</v>
      </c>
      <c r="J33" s="31">
        <v>0.4606641855124769</v>
      </c>
      <c r="K33" s="31">
        <v>5.0854999999999997E-2</v>
      </c>
      <c r="L33" s="31">
        <v>0.17996903176435833</v>
      </c>
      <c r="M33" s="31">
        <v>7.2894741035876967E-2</v>
      </c>
      <c r="N33" s="32">
        <v>2.2902044972728537</v>
      </c>
      <c r="O33" s="32">
        <v>3.3833883540504326</v>
      </c>
      <c r="P33" s="32">
        <v>15.00034560192311</v>
      </c>
      <c r="Q33" s="32">
        <v>24.256339038064446</v>
      </c>
      <c r="R33" s="32">
        <v>6.2476402280431014</v>
      </c>
      <c r="S33" s="32">
        <v>31.275191037772736</v>
      </c>
      <c r="T33" s="31">
        <v>0.10180591590590521</v>
      </c>
      <c r="U33" s="31">
        <v>7.8381742161797524E-2</v>
      </c>
      <c r="V33" s="31">
        <v>6.4845913725881957E-2</v>
      </c>
      <c r="W33" s="31">
        <v>0.70099824399013422</v>
      </c>
      <c r="X33" s="31">
        <v>0.2101163487107984</v>
      </c>
      <c r="Y33" s="31">
        <v>0.3634221878468773</v>
      </c>
      <c r="Z33" s="31">
        <v>0.3634221878468773</v>
      </c>
      <c r="AA33" s="65">
        <v>0.13822317401919318</v>
      </c>
    </row>
    <row r="34" spans="1:27" s="11" customFormat="1">
      <c r="A34" s="29" t="s">
        <v>118</v>
      </c>
      <c r="B34" s="30">
        <v>42</v>
      </c>
      <c r="C34" s="31">
        <v>0.21383809523809522</v>
      </c>
      <c r="D34" s="31">
        <v>0.1017867183533354</v>
      </c>
      <c r="E34" s="31">
        <v>0.17930588293067248</v>
      </c>
      <c r="F34" s="31">
        <v>0.20906218860773967</v>
      </c>
      <c r="G34" s="32">
        <v>0.76921333535098557</v>
      </c>
      <c r="H34" s="32">
        <v>0.99162450807266023</v>
      </c>
      <c r="I34" s="31">
        <v>8.4414727371342368E-2</v>
      </c>
      <c r="J34" s="31">
        <v>0.54139722238781107</v>
      </c>
      <c r="K34" s="31">
        <v>5.3524000000000002E-2</v>
      </c>
      <c r="L34" s="31">
        <v>0.31178335075736729</v>
      </c>
      <c r="M34" s="31">
        <v>7.0611539867688589E-2</v>
      </c>
      <c r="N34" s="32">
        <v>1.8306605351728302</v>
      </c>
      <c r="O34" s="32">
        <v>1.1055363962241</v>
      </c>
      <c r="P34" s="32">
        <v>8.9728445584552468</v>
      </c>
      <c r="Q34" s="32">
        <v>10.564710180101258</v>
      </c>
      <c r="R34" s="32">
        <v>2.7330367548600969</v>
      </c>
      <c r="S34" s="32">
        <v>21.611875005333811</v>
      </c>
      <c r="T34" s="31">
        <v>0.14722500458801463</v>
      </c>
      <c r="U34" s="31">
        <v>3.3959385963758186E-2</v>
      </c>
      <c r="V34" s="31">
        <v>2.6989790167118995E-2</v>
      </c>
      <c r="W34" s="31">
        <v>0.53012035842397032</v>
      </c>
      <c r="X34" s="31">
        <v>0.27512096983755308</v>
      </c>
      <c r="Y34" s="31">
        <v>0.17330466660689933</v>
      </c>
      <c r="Z34" s="31">
        <v>0.17330466660689936</v>
      </c>
      <c r="AA34" s="65">
        <v>0.10487455135329483</v>
      </c>
    </row>
    <row r="35" spans="1:27" s="11" customFormat="1">
      <c r="A35" s="29" t="s">
        <v>119</v>
      </c>
      <c r="B35" s="30">
        <v>192</v>
      </c>
      <c r="C35" s="31">
        <v>0.19123907563025216</v>
      </c>
      <c r="D35" s="31">
        <v>0.15992933926673833</v>
      </c>
      <c r="E35" s="31">
        <v>9.6330086209587031E-3</v>
      </c>
      <c r="F35" s="31">
        <v>0.18997827291193156</v>
      </c>
      <c r="G35" s="32">
        <v>0.32851469580529807</v>
      </c>
      <c r="H35" s="32">
        <v>1.1400490933846248</v>
      </c>
      <c r="I35" s="31">
        <v>9.1242258295692741E-2</v>
      </c>
      <c r="J35" s="31">
        <v>0.3810213497605191</v>
      </c>
      <c r="K35" s="31">
        <v>5.0854999999999997E-2</v>
      </c>
      <c r="L35" s="31">
        <v>0.77415085291115138</v>
      </c>
      <c r="M35" s="31">
        <v>5.0134067433140084E-2</v>
      </c>
      <c r="N35" s="32">
        <v>6.7119149808869766E-2</v>
      </c>
      <c r="O35" s="32">
        <v>18.642987157381903</v>
      </c>
      <c r="P35" s="32">
        <v>57.680538877058737</v>
      </c>
      <c r="Q35" s="32">
        <v>77.49458222836256</v>
      </c>
      <c r="R35" s="32">
        <v>3.380815208699703</v>
      </c>
      <c r="S35" s="32">
        <v>25.806044221433432</v>
      </c>
      <c r="T35" s="31">
        <v>12.604428612688091</v>
      </c>
      <c r="U35" s="31">
        <v>2.8409763229394477E-2</v>
      </c>
      <c r="V35" s="31">
        <v>2.7841238176068952E-2</v>
      </c>
      <c r="W35" s="31">
        <v>0.20105976764142242</v>
      </c>
      <c r="X35" s="31">
        <v>0.21311643829434393</v>
      </c>
      <c r="Y35" s="31">
        <v>0.31700384210797466</v>
      </c>
      <c r="Z35" s="31">
        <v>0.31700384210797461</v>
      </c>
      <c r="AA35" s="65">
        <v>0.16014177442862765</v>
      </c>
    </row>
    <row r="36" spans="1:27" s="11" customFormat="1">
      <c r="A36" s="29" t="s">
        <v>120</v>
      </c>
      <c r="B36" s="30">
        <v>93</v>
      </c>
      <c r="C36" s="31">
        <v>6.4526666666666663E-2</v>
      </c>
      <c r="D36" s="31">
        <v>0.10491049844080848</v>
      </c>
      <c r="E36" s="31">
        <v>0.16632787981640612</v>
      </c>
      <c r="F36" s="31">
        <v>0.22335961513857117</v>
      </c>
      <c r="G36" s="32">
        <v>0.56908998002411471</v>
      </c>
      <c r="H36" s="32">
        <v>0.70750533667560889</v>
      </c>
      <c r="I36" s="31">
        <v>7.1345245487078018E-2</v>
      </c>
      <c r="J36" s="31">
        <v>0.35521016825252899</v>
      </c>
      <c r="K36" s="31">
        <v>5.0854999999999997E-2</v>
      </c>
      <c r="L36" s="31">
        <v>0.2689285723195291</v>
      </c>
      <c r="M36" s="31">
        <v>6.2415742385434035E-2</v>
      </c>
      <c r="N36" s="32">
        <v>1.7135538990520314</v>
      </c>
      <c r="O36" s="32">
        <v>1.7282134371080651</v>
      </c>
      <c r="P36" s="32">
        <v>11.437949138986205</v>
      </c>
      <c r="Q36" s="32">
        <v>16.118698126776067</v>
      </c>
      <c r="R36" s="32">
        <v>2.3044996770005595</v>
      </c>
      <c r="S36" s="32">
        <v>30.03172173237634</v>
      </c>
      <c r="T36" s="31">
        <v>7.7500137053759716E-2</v>
      </c>
      <c r="U36" s="31">
        <v>4.469492651895738E-2</v>
      </c>
      <c r="V36" s="31">
        <v>3.3044851127673275E-2</v>
      </c>
      <c r="W36" s="31">
        <v>0.46455600027816707</v>
      </c>
      <c r="X36" s="31">
        <v>8.9774903428867805E-2</v>
      </c>
      <c r="Y36" s="31">
        <v>0.76422137793570577</v>
      </c>
      <c r="Z36" s="31">
        <v>0.76422137793570577</v>
      </c>
      <c r="AA36" s="65">
        <v>0.10671025642607875</v>
      </c>
    </row>
    <row r="37" spans="1:27" s="11" customFormat="1">
      <c r="A37" s="29" t="s">
        <v>121</v>
      </c>
      <c r="B37" s="30">
        <v>14</v>
      </c>
      <c r="C37" s="31">
        <v>0.18654000000000004</v>
      </c>
      <c r="D37" s="31">
        <v>2.2317777961135557E-2</v>
      </c>
      <c r="E37" s="31">
        <v>0.14961754390226162</v>
      </c>
      <c r="F37" s="31">
        <v>0.2440190000210877</v>
      </c>
      <c r="G37" s="32">
        <v>0.73507044655838505</v>
      </c>
      <c r="H37" s="32">
        <v>0.96571097077283663</v>
      </c>
      <c r="I37" s="31">
        <v>8.3222704655550483E-2</v>
      </c>
      <c r="J37" s="31">
        <v>0.27303412055804871</v>
      </c>
      <c r="K37" s="31">
        <v>5.0854999999999997E-2</v>
      </c>
      <c r="L37" s="31">
        <v>0.30860321409511282</v>
      </c>
      <c r="M37" s="31">
        <v>6.9310422852764508E-2</v>
      </c>
      <c r="N37" s="32">
        <v>8.0191460013825839</v>
      </c>
      <c r="O37" s="32">
        <v>0.40048850227638738</v>
      </c>
      <c r="P37" s="32">
        <v>11.256367425384894</v>
      </c>
      <c r="Q37" s="32">
        <v>18.0515417386402</v>
      </c>
      <c r="R37" s="32">
        <v>4.1027570359655128</v>
      </c>
      <c r="S37" s="32">
        <v>26.104224353465391</v>
      </c>
      <c r="T37" s="31">
        <v>5.7756762830022068E-2</v>
      </c>
      <c r="U37" s="31">
        <v>9.3056479659282213E-3</v>
      </c>
      <c r="V37" s="31">
        <v>8.9900828796691135E-3</v>
      </c>
      <c r="W37" s="31">
        <v>0.47194525861898456</v>
      </c>
      <c r="X37" s="31">
        <v>0.21114375328629606</v>
      </c>
      <c r="Y37" s="31">
        <v>0.38161390503630449</v>
      </c>
      <c r="Z37" s="31">
        <v>0.38161390503630455</v>
      </c>
      <c r="AA37" s="65">
        <v>2.2183644509181345E-2</v>
      </c>
    </row>
    <row r="38" spans="1:27" s="11" customFormat="1">
      <c r="A38" s="29" t="s">
        <v>122</v>
      </c>
      <c r="B38" s="30">
        <v>31</v>
      </c>
      <c r="C38" s="31">
        <v>3.1330476190476186E-2</v>
      </c>
      <c r="D38" s="31">
        <v>5.8633420949189427E-2</v>
      </c>
      <c r="E38" s="31">
        <v>0.1031461588962982</v>
      </c>
      <c r="F38" s="31">
        <v>0.34491477746639632</v>
      </c>
      <c r="G38" s="32">
        <v>0.86118748521761213</v>
      </c>
      <c r="H38" s="32">
        <v>1.1071062452097284</v>
      </c>
      <c r="I38" s="31">
        <v>8.9726887279647505E-2</v>
      </c>
      <c r="J38" s="31">
        <v>0.46652480430214993</v>
      </c>
      <c r="K38" s="31">
        <v>5.0854999999999997E-2</v>
      </c>
      <c r="L38" s="31">
        <v>0.32226061623577029</v>
      </c>
      <c r="M38" s="31">
        <v>7.3102868020993375E-2</v>
      </c>
      <c r="N38" s="32">
        <v>1.9608741359470769</v>
      </c>
      <c r="O38" s="32">
        <v>1.0479459257763848</v>
      </c>
      <c r="P38" s="32">
        <v>9.3651533150560073</v>
      </c>
      <c r="Q38" s="32">
        <v>16.699225224322326</v>
      </c>
      <c r="R38" s="32">
        <v>2.2525462393242712</v>
      </c>
      <c r="S38" s="32">
        <v>19.580017118656851</v>
      </c>
      <c r="T38" s="31">
        <v>0.13973769506770378</v>
      </c>
      <c r="U38" s="31">
        <v>3.2449167583192058E-2</v>
      </c>
      <c r="V38" s="31">
        <v>7.2155187930717318E-2</v>
      </c>
      <c r="W38" s="31">
        <v>0.97314551193468091</v>
      </c>
      <c r="X38" s="31">
        <v>-6.5262790801996332E-2</v>
      </c>
      <c r="Y38" s="31">
        <v>8.5617107786026027E-3</v>
      </c>
      <c r="Z38" s="31">
        <v>8.5617107786025715E-3</v>
      </c>
      <c r="AA38" s="65">
        <v>6.1113859297196843E-2</v>
      </c>
    </row>
    <row r="39" spans="1:27" s="11" customFormat="1">
      <c r="A39" s="29" t="s">
        <v>198</v>
      </c>
      <c r="B39" s="30">
        <v>17</v>
      </c>
      <c r="C39" s="31">
        <v>3.7350000000000001E-2</v>
      </c>
      <c r="D39" s="31">
        <v>0.23439691972396948</v>
      </c>
      <c r="E39" s="31">
        <v>4.1502730750869E-2</v>
      </c>
      <c r="F39" s="31">
        <v>7.0572558077555192E-2</v>
      </c>
      <c r="G39" s="32">
        <v>0.55608601915516875</v>
      </c>
      <c r="H39" s="32">
        <v>1.1067077196296322</v>
      </c>
      <c r="I39" s="31">
        <v>8.9708555102963078E-2</v>
      </c>
      <c r="J39" s="31">
        <v>0.5733620520250774</v>
      </c>
      <c r="K39" s="31">
        <v>5.3524000000000002E-2</v>
      </c>
      <c r="L39" s="31">
        <v>0.58576061978789462</v>
      </c>
      <c r="M39" s="31">
        <v>6.0675004825720386E-2</v>
      </c>
      <c r="N39" s="32">
        <v>0.19933188854202233</v>
      </c>
      <c r="O39" s="32">
        <v>7.4719645715662937</v>
      </c>
      <c r="P39" s="32">
        <v>12.631994561427968</v>
      </c>
      <c r="Q39" s="32">
        <v>33.578774668897871</v>
      </c>
      <c r="R39" s="32">
        <v>0.85442228941416143</v>
      </c>
      <c r="S39" s="32">
        <v>39.872418108542938</v>
      </c>
      <c r="T39" s="31">
        <v>-0.27981625458988918</v>
      </c>
      <c r="U39" s="31">
        <v>0.44316771676285083</v>
      </c>
      <c r="V39" s="31">
        <v>0.20460875674779533</v>
      </c>
      <c r="W39" s="31">
        <v>1.1590198207962661</v>
      </c>
      <c r="X39" s="31">
        <v>0.10675101428653834</v>
      </c>
      <c r="Y39" s="31">
        <v>0.2559530242443892</v>
      </c>
      <c r="Z39" s="31">
        <v>0.25595302424438926</v>
      </c>
      <c r="AA39" s="65">
        <v>0.21775570853782217</v>
      </c>
    </row>
    <row r="40" spans="1:27" s="11" customFormat="1">
      <c r="A40" s="29" t="s">
        <v>123</v>
      </c>
      <c r="B40" s="30">
        <v>230</v>
      </c>
      <c r="C40" s="31">
        <v>0.17948400000000009</v>
      </c>
      <c r="D40" s="31">
        <v>0.13294967540797936</v>
      </c>
      <c r="E40" s="31">
        <v>0.13081181602888342</v>
      </c>
      <c r="F40" s="31">
        <v>0.20580162761975571</v>
      </c>
      <c r="G40" s="32">
        <v>1.0054180718910262</v>
      </c>
      <c r="H40" s="32">
        <v>1.0620798954428441</v>
      </c>
      <c r="I40" s="31">
        <v>8.7655675190370819E-2</v>
      </c>
      <c r="J40" s="31">
        <v>0.52205534504314732</v>
      </c>
      <c r="K40" s="31">
        <v>5.3524000000000002E-2</v>
      </c>
      <c r="L40" s="31">
        <v>0.11239729750559911</v>
      </c>
      <c r="M40" s="31">
        <v>8.2315378901711811E-2</v>
      </c>
      <c r="N40" s="32">
        <v>0.9916960692418304</v>
      </c>
      <c r="O40" s="32">
        <v>5.1610656647278397</v>
      </c>
      <c r="P40" s="32">
        <v>21.511372797591477</v>
      </c>
      <c r="Q40" s="32">
        <v>36.992220884124826</v>
      </c>
      <c r="R40" s="32">
        <v>4.6291469613257821</v>
      </c>
      <c r="S40" s="32">
        <v>61.891562138745677</v>
      </c>
      <c r="T40" s="31">
        <v>0.25574201971953897</v>
      </c>
      <c r="U40" s="31">
        <v>4.9018238448480196E-2</v>
      </c>
      <c r="V40" s="31">
        <v>2.0771729298397056E-2</v>
      </c>
      <c r="W40" s="31">
        <v>0.49512455251752285</v>
      </c>
      <c r="X40" s="31">
        <v>8.305797928561881E-2</v>
      </c>
      <c r="Y40" s="31">
        <v>0.41765478553209229</v>
      </c>
      <c r="Z40" s="31">
        <v>0.41765478553209223</v>
      </c>
      <c r="AA40" s="65">
        <v>0.13835739605834813</v>
      </c>
    </row>
    <row r="41" spans="1:27" s="11" customFormat="1">
      <c r="A41" s="29" t="s">
        <v>199</v>
      </c>
      <c r="B41" s="30">
        <v>119</v>
      </c>
      <c r="C41" s="31">
        <v>0.12421877192982453</v>
      </c>
      <c r="D41" s="31">
        <v>3.9183419890367124E-2</v>
      </c>
      <c r="E41" s="31">
        <v>0.45741028306204884</v>
      </c>
      <c r="F41" s="31">
        <v>0.22529394737980976</v>
      </c>
      <c r="G41" s="32">
        <v>0.94030624894969284</v>
      </c>
      <c r="H41" s="32">
        <v>1.0326229061406076</v>
      </c>
      <c r="I41" s="31">
        <v>8.6300653682467948E-2</v>
      </c>
      <c r="J41" s="31">
        <v>0.49525733448964099</v>
      </c>
      <c r="K41" s="31">
        <v>5.0854999999999997E-2</v>
      </c>
      <c r="L41" s="31">
        <v>0.2117523051840508</v>
      </c>
      <c r="M41" s="31">
        <v>7.6102788936416088E-2</v>
      </c>
      <c r="N41" s="32">
        <v>12.880997802478152</v>
      </c>
      <c r="O41" s="32">
        <v>0.6094709713815003</v>
      </c>
      <c r="P41" s="32">
        <v>11.292454334901061</v>
      </c>
      <c r="Q41" s="32">
        <v>15.455594645482641</v>
      </c>
      <c r="R41" s="32">
        <v>3.3377128034800818</v>
      </c>
      <c r="S41" s="32">
        <v>80.168287304864251</v>
      </c>
      <c r="T41" s="31">
        <v>-6.5254137415651933E-2</v>
      </c>
      <c r="U41" s="31">
        <v>7.0548223798331212E-3</v>
      </c>
      <c r="V41" s="31">
        <v>1.9151402871181444E-2</v>
      </c>
      <c r="W41" s="31">
        <v>0.6275372045055494</v>
      </c>
      <c r="X41" s="31">
        <v>0.15620310034184115</v>
      </c>
      <c r="Y41" s="31">
        <v>0.29625921121923621</v>
      </c>
      <c r="Z41" s="31">
        <v>0.29625921121923615</v>
      </c>
      <c r="AA41" s="65">
        <v>3.8635101743000333E-2</v>
      </c>
    </row>
    <row r="42" spans="1:27" s="11" customFormat="1">
      <c r="A42" s="29" t="s">
        <v>124</v>
      </c>
      <c r="B42" s="30">
        <v>128</v>
      </c>
      <c r="C42" s="31">
        <v>0.19666706896551731</v>
      </c>
      <c r="D42" s="31">
        <v>0.14008066391084326</v>
      </c>
      <c r="E42" s="31">
        <v>0.14281217248637942</v>
      </c>
      <c r="F42" s="31">
        <v>0.11691985958691149</v>
      </c>
      <c r="G42" s="32">
        <v>1.1875339477983193</v>
      </c>
      <c r="H42" s="32">
        <v>1.2747542568245518</v>
      </c>
      <c r="I42" s="31">
        <v>9.7438695813929388E-2</v>
      </c>
      <c r="J42" s="31">
        <v>0.54153165246921775</v>
      </c>
      <c r="K42" s="31">
        <v>5.3524000000000002E-2</v>
      </c>
      <c r="L42" s="31">
        <v>0.13845034763183783</v>
      </c>
      <c r="M42" s="31">
        <v>8.9506086810682825E-2</v>
      </c>
      <c r="N42" s="32">
        <v>1.0414718449585996</v>
      </c>
      <c r="O42" s="32">
        <v>5.2888957340712599</v>
      </c>
      <c r="P42" s="32">
        <v>21.435576546426841</v>
      </c>
      <c r="Q42" s="32">
        <v>36.529531221176818</v>
      </c>
      <c r="R42" s="32">
        <v>4.0887278277055206</v>
      </c>
      <c r="S42" s="32">
        <v>44.436443878627578</v>
      </c>
      <c r="T42" s="31">
        <v>0.22945875273735597</v>
      </c>
      <c r="U42" s="31">
        <v>4.5108188895623375E-2</v>
      </c>
      <c r="V42" s="31">
        <v>2.6677271844225636E-2</v>
      </c>
      <c r="W42" s="31">
        <v>0.31339455513224623</v>
      </c>
      <c r="X42" s="31">
        <v>5.17765805634577E-2</v>
      </c>
      <c r="Y42" s="31">
        <v>0.19727330771004128</v>
      </c>
      <c r="Z42" s="31">
        <v>0.19727330771004126</v>
      </c>
      <c r="AA42" s="65">
        <v>0.14149228552648924</v>
      </c>
    </row>
    <row r="43" spans="1:27" s="11" customFormat="1">
      <c r="A43" s="29" t="s">
        <v>125</v>
      </c>
      <c r="B43" s="30">
        <v>32</v>
      </c>
      <c r="C43" s="31">
        <v>0.11040782608695648</v>
      </c>
      <c r="D43" s="31">
        <v>0.16243511385197026</v>
      </c>
      <c r="E43" s="31">
        <v>0.20906182388989658</v>
      </c>
      <c r="F43" s="31">
        <v>0.23441748751073238</v>
      </c>
      <c r="G43" s="32">
        <v>1.3535915929813263</v>
      </c>
      <c r="H43" s="32">
        <v>1.3695349346617718</v>
      </c>
      <c r="I43" s="31">
        <v>0.1017986069944415</v>
      </c>
      <c r="J43" s="31">
        <v>0.32313883781178943</v>
      </c>
      <c r="K43" s="31">
        <v>5.0854999999999997E-2</v>
      </c>
      <c r="L43" s="31">
        <v>0.14104057563334713</v>
      </c>
      <c r="M43" s="31">
        <v>9.2820336720647989E-2</v>
      </c>
      <c r="N43" s="32">
        <v>1.5490492448976174</v>
      </c>
      <c r="O43" s="32">
        <v>1.3227511565241321</v>
      </c>
      <c r="P43" s="32">
        <v>7.7926513257951306</v>
      </c>
      <c r="Q43" s="32">
        <v>8.1068864527413051</v>
      </c>
      <c r="R43" s="32">
        <v>2.0034988997912557</v>
      </c>
      <c r="S43" s="32">
        <v>10.663226208304753</v>
      </c>
      <c r="T43" s="31">
        <v>0.58510809678996634</v>
      </c>
      <c r="U43" s="31">
        <v>5.1362234787959054E-3</v>
      </c>
      <c r="V43" s="31">
        <v>3.6279568408271621E-3</v>
      </c>
      <c r="W43" s="31">
        <v>-4.9962200704110622E-2</v>
      </c>
      <c r="X43" s="31">
        <v>0.2288315257494398</v>
      </c>
      <c r="Y43" s="31">
        <v>6.4331005164984509E-2</v>
      </c>
      <c r="Z43" s="31">
        <v>6.4331005164984467E-2</v>
      </c>
      <c r="AA43" s="65">
        <v>0.16303748138534604</v>
      </c>
    </row>
    <row r="44" spans="1:27" s="11" customFormat="1">
      <c r="A44" s="29" t="s">
        <v>200</v>
      </c>
      <c r="B44" s="30">
        <v>32</v>
      </c>
      <c r="C44" s="31">
        <v>0.18106894736842105</v>
      </c>
      <c r="D44" s="31">
        <v>0.11569354150132667</v>
      </c>
      <c r="E44" s="31">
        <v>0.20156640226109454</v>
      </c>
      <c r="F44" s="31">
        <v>0.20295530643789431</v>
      </c>
      <c r="G44" s="32">
        <v>0.55999610695192847</v>
      </c>
      <c r="H44" s="32">
        <v>0.87957632490356097</v>
      </c>
      <c r="I44" s="31">
        <v>7.92605109455638E-2</v>
      </c>
      <c r="J44" s="31">
        <v>0.46328064944317854</v>
      </c>
      <c r="K44" s="31">
        <v>5.0854999999999997E-2</v>
      </c>
      <c r="L44" s="31">
        <v>0.44365037194401546</v>
      </c>
      <c r="M44" s="31">
        <v>6.1017935533001388E-2</v>
      </c>
      <c r="N44" s="32">
        <v>1.8739472690562888</v>
      </c>
      <c r="O44" s="32">
        <v>1.5597693131250068</v>
      </c>
      <c r="P44" s="32">
        <v>8.7526157560373488</v>
      </c>
      <c r="Q44" s="32">
        <v>13.412731417361721</v>
      </c>
      <c r="R44" s="32">
        <v>5.1168203803504957</v>
      </c>
      <c r="S44" s="32">
        <v>22.866077429053238</v>
      </c>
      <c r="T44" s="31">
        <v>0.11173413334158254</v>
      </c>
      <c r="U44" s="31">
        <v>6.2482428184781058E-2</v>
      </c>
      <c r="V44" s="31">
        <v>2.2041129079390705E-2</v>
      </c>
      <c r="W44" s="31">
        <v>0.34919798188250589</v>
      </c>
      <c r="X44" s="31">
        <v>0.61965679511239247</v>
      </c>
      <c r="Y44" s="31">
        <v>0.12781126030710444</v>
      </c>
      <c r="Z44" s="31">
        <v>0.12781126030710444</v>
      </c>
      <c r="AA44" s="65">
        <v>0.11548052103864387</v>
      </c>
    </row>
    <row r="45" spans="1:27" s="11" customFormat="1">
      <c r="A45" s="29" t="s">
        <v>126</v>
      </c>
      <c r="B45" s="30">
        <v>68</v>
      </c>
      <c r="C45" s="31">
        <v>0.10244649999999998</v>
      </c>
      <c r="D45" s="31">
        <v>0.17139569325713905</v>
      </c>
      <c r="E45" s="31">
        <v>9.9886217562338883E-2</v>
      </c>
      <c r="F45" s="31">
        <v>0.19265003883365289</v>
      </c>
      <c r="G45" s="32">
        <v>1.0481897733536769</v>
      </c>
      <c r="H45" s="32">
        <v>1.3434280675321946</v>
      </c>
      <c r="I45" s="31">
        <v>0.10059769110648095</v>
      </c>
      <c r="J45" s="31">
        <v>0.40799721064073169</v>
      </c>
      <c r="K45" s="31">
        <v>5.0854999999999997E-2</v>
      </c>
      <c r="L45" s="31">
        <v>0.32736720549245807</v>
      </c>
      <c r="M45" s="31">
        <v>8.0151500516447996E-2</v>
      </c>
      <c r="N45" s="32">
        <v>0.80682265774953521</v>
      </c>
      <c r="O45" s="32">
        <v>4.2252788004104538</v>
      </c>
      <c r="P45" s="32">
        <v>14.975440441167427</v>
      </c>
      <c r="Q45" s="32">
        <v>30.72977186409063</v>
      </c>
      <c r="R45" s="32">
        <v>11.056315096413167</v>
      </c>
      <c r="S45" s="32">
        <v>32.221437920653571</v>
      </c>
      <c r="T45" s="31">
        <v>2.9915132671853681E-2</v>
      </c>
      <c r="U45" s="31">
        <v>6.7121787001380398E-2</v>
      </c>
      <c r="V45" s="31">
        <v>1.1171667233667715E-2</v>
      </c>
      <c r="W45" s="31">
        <v>0.21810072641597461</v>
      </c>
      <c r="X45" s="31">
        <v>0.35869098916068981</v>
      </c>
      <c r="Y45" s="31">
        <v>8.4312715869453519E-2</v>
      </c>
      <c r="Z45" s="31">
        <v>8.4312715869453547E-2</v>
      </c>
      <c r="AA45" s="65">
        <v>0.13535100750457585</v>
      </c>
    </row>
    <row r="46" spans="1:27" s="11" customFormat="1">
      <c r="A46" s="29" t="s">
        <v>127</v>
      </c>
      <c r="B46" s="30">
        <v>19</v>
      </c>
      <c r="C46" s="31">
        <v>1.2966000000000004E-2</v>
      </c>
      <c r="D46" s="31">
        <v>0.18741354888420905</v>
      </c>
      <c r="E46" s="31">
        <v>0.34643044644482202</v>
      </c>
      <c r="F46" s="31">
        <v>0.21275453790671961</v>
      </c>
      <c r="G46" s="32">
        <v>0.72017362703721888</v>
      </c>
      <c r="H46" s="32">
        <v>0.78003056940732951</v>
      </c>
      <c r="I46" s="31">
        <v>7.4681406192737165E-2</v>
      </c>
      <c r="J46" s="31">
        <v>0.30174609465978208</v>
      </c>
      <c r="K46" s="31">
        <v>5.0854999999999997E-2</v>
      </c>
      <c r="L46" s="31">
        <v>0.12885250541972054</v>
      </c>
      <c r="M46" s="31">
        <v>6.9973115518875056E-2</v>
      </c>
      <c r="N46" s="32">
        <v>2.0853364698894605</v>
      </c>
      <c r="O46" s="32">
        <v>3.5947530981601123</v>
      </c>
      <c r="P46" s="32">
        <v>15.882966794732814</v>
      </c>
      <c r="Q46" s="32">
        <v>19.029316891424514</v>
      </c>
      <c r="R46" s="32">
        <v>8.1778697175979076</v>
      </c>
      <c r="S46" s="32">
        <v>42.516743245220731</v>
      </c>
      <c r="T46" s="31">
        <v>5.1144494166001073E-2</v>
      </c>
      <c r="U46" s="31">
        <v>3.5230919372632036E-2</v>
      </c>
      <c r="V46" s="31">
        <v>1.1090429343845635E-2</v>
      </c>
      <c r="W46" s="31">
        <v>2.0432115095575496E-2</v>
      </c>
      <c r="X46" s="31">
        <v>0.3641117785082732</v>
      </c>
      <c r="Y46" s="31">
        <v>0.66555865382705948</v>
      </c>
      <c r="Z46" s="31">
        <v>0.66555865382705948</v>
      </c>
      <c r="AA46" s="65">
        <v>0.18897485799818362</v>
      </c>
    </row>
    <row r="47" spans="1:27" s="11" customFormat="1">
      <c r="A47" s="29" t="s">
        <v>128</v>
      </c>
      <c r="B47" s="30">
        <v>18</v>
      </c>
      <c r="C47" s="31">
        <v>4.7169999999999997E-2</v>
      </c>
      <c r="D47" s="31">
        <v>0.11632760029506121</v>
      </c>
      <c r="E47" s="31">
        <v>0.22740740434639165</v>
      </c>
      <c r="F47" s="31">
        <v>0.25775980471928395</v>
      </c>
      <c r="G47" s="32">
        <v>0.77238249143783833</v>
      </c>
      <c r="H47" s="32">
        <v>0.93074336988492989</v>
      </c>
      <c r="I47" s="31">
        <v>8.1614195014706778E-2</v>
      </c>
      <c r="J47" s="31">
        <v>0.33828737962659511</v>
      </c>
      <c r="K47" s="31">
        <v>5.0854999999999997E-2</v>
      </c>
      <c r="L47" s="31">
        <v>0.26289829475513876</v>
      </c>
      <c r="M47" s="31">
        <v>7.0185231902356454E-2</v>
      </c>
      <c r="N47" s="32">
        <v>2.1851130805639345</v>
      </c>
      <c r="O47" s="32">
        <v>2.3329330913412769</v>
      </c>
      <c r="P47" s="32">
        <v>12.153718575448424</v>
      </c>
      <c r="Q47" s="32">
        <v>19.061250080564882</v>
      </c>
      <c r="R47" s="32">
        <v>4.0576322144266381</v>
      </c>
      <c r="S47" s="32">
        <v>24.757228147387533</v>
      </c>
      <c r="T47" s="31">
        <v>0.15732336315134232</v>
      </c>
      <c r="U47" s="31">
        <v>1.9033801691390826E-2</v>
      </c>
      <c r="V47" s="31">
        <v>-3.6251195768292693E-2</v>
      </c>
      <c r="W47" s="31">
        <v>-0.26314035240567679</v>
      </c>
      <c r="X47" s="31">
        <v>8.4289167807033175E-2</v>
      </c>
      <c r="Y47" s="31">
        <v>0.60703971407145041</v>
      </c>
      <c r="Z47" s="31">
        <v>0.60703971407145041</v>
      </c>
      <c r="AA47" s="65">
        <v>0.1233982054939375</v>
      </c>
    </row>
    <row r="48" spans="1:27" s="11" customFormat="1">
      <c r="A48" s="29" t="s">
        <v>129</v>
      </c>
      <c r="B48" s="30">
        <v>21</v>
      </c>
      <c r="C48" s="31">
        <v>7.7637272727272721E-2</v>
      </c>
      <c r="D48" s="31">
        <v>0.15227330392370475</v>
      </c>
      <c r="E48" s="31">
        <v>0.15653546538570912</v>
      </c>
      <c r="F48" s="31">
        <v>0.20671990280364713</v>
      </c>
      <c r="G48" s="32">
        <v>0.8946178159376359</v>
      </c>
      <c r="H48" s="32">
        <v>1.0331486323510635</v>
      </c>
      <c r="I48" s="31">
        <v>8.632483708814892E-2</v>
      </c>
      <c r="J48" s="31">
        <v>0.40381703602170393</v>
      </c>
      <c r="K48" s="31">
        <v>5.0854999999999997E-2</v>
      </c>
      <c r="L48" s="31">
        <v>0.20592429100406523</v>
      </c>
      <c r="M48" s="31">
        <v>7.6402666078989212E-2</v>
      </c>
      <c r="N48" s="32">
        <v>1.187979918303592</v>
      </c>
      <c r="O48" s="32">
        <v>2.6563933238175803</v>
      </c>
      <c r="P48" s="32">
        <v>11.479314259662191</v>
      </c>
      <c r="Q48" s="32">
        <v>17.340883842855348</v>
      </c>
      <c r="R48" s="32">
        <v>2.855054505130747</v>
      </c>
      <c r="S48" s="32">
        <v>92.17728773965159</v>
      </c>
      <c r="T48" s="31">
        <v>-9.3256253318981707E-5</v>
      </c>
      <c r="U48" s="31">
        <v>9.2788698704108791E-3</v>
      </c>
      <c r="V48" s="31">
        <v>-2.5998498392279908E-2</v>
      </c>
      <c r="W48" s="31">
        <v>0.3789687523388437</v>
      </c>
      <c r="X48" s="31">
        <v>0.13524697097521135</v>
      </c>
      <c r="Y48" s="31">
        <v>0.32753059692538994</v>
      </c>
      <c r="Z48" s="31">
        <v>0.32753059692538988</v>
      </c>
      <c r="AA48" s="65">
        <v>0.15267058429114069</v>
      </c>
    </row>
    <row r="49" spans="1:27" s="11" customFormat="1">
      <c r="A49" s="29" t="s">
        <v>130</v>
      </c>
      <c r="B49" s="30">
        <v>23</v>
      </c>
      <c r="C49" s="31">
        <v>-6.2500000000000121E-4</v>
      </c>
      <c r="D49" s="31">
        <v>6.5616738438321659E-4</v>
      </c>
      <c r="E49" s="31">
        <v>1.0816809572142688E-3</v>
      </c>
      <c r="F49" s="31">
        <v>0.17734932983816021</v>
      </c>
      <c r="G49" s="32">
        <v>0.53983111888386293</v>
      </c>
      <c r="H49" s="32">
        <v>0.76576086532748944</v>
      </c>
      <c r="I49" s="31">
        <v>7.4024999805064523E-2</v>
      </c>
      <c r="J49" s="31">
        <v>0.30849684925039994</v>
      </c>
      <c r="K49" s="31">
        <v>5.0854999999999997E-2</v>
      </c>
      <c r="L49" s="31">
        <v>0.47983380623416055</v>
      </c>
      <c r="M49" s="31">
        <v>5.68067635541461E-2</v>
      </c>
      <c r="N49" s="32">
        <v>0.93697128407023411</v>
      </c>
      <c r="O49" s="32">
        <v>1.5653336469693586</v>
      </c>
      <c r="P49" s="32">
        <v>17.24492070332478</v>
      </c>
      <c r="Q49" s="32" t="s">
        <v>169</v>
      </c>
      <c r="R49" s="32">
        <v>1.6173451473258358</v>
      </c>
      <c r="S49" s="32">
        <v>176.37863200216751</v>
      </c>
      <c r="T49" s="31">
        <v>0.28615881247116098</v>
      </c>
      <c r="U49" s="31">
        <v>1.8122427617276609E-3</v>
      </c>
      <c r="V49" s="31">
        <v>-2.5614435950617652E-2</v>
      </c>
      <c r="W49" s="31" t="s">
        <v>169</v>
      </c>
      <c r="X49" s="31">
        <v>1.3240127450855269E-2</v>
      </c>
      <c r="Y49" s="31">
        <v>3.812072472103254</v>
      </c>
      <c r="Z49" s="31">
        <v>3.812072472103254</v>
      </c>
      <c r="AA49" s="65">
        <v>1.2852923105425914E-3</v>
      </c>
    </row>
    <row r="50" spans="1:27" s="11" customFormat="1">
      <c r="A50" s="29" t="s">
        <v>131</v>
      </c>
      <c r="B50" s="30">
        <v>50</v>
      </c>
      <c r="C50" s="31">
        <v>6.1676590909090896E-2</v>
      </c>
      <c r="D50" s="31">
        <v>7.4121043407829504E-2</v>
      </c>
      <c r="E50" s="31">
        <v>0.11118635097908262</v>
      </c>
      <c r="F50" s="31">
        <v>0.18944213157737264</v>
      </c>
      <c r="G50" s="32">
        <v>0.67520761727476519</v>
      </c>
      <c r="H50" s="32">
        <v>0.73875776033737084</v>
      </c>
      <c r="I50" s="31">
        <v>7.2782856975519061E-2</v>
      </c>
      <c r="J50" s="31">
        <v>0.27404177841998512</v>
      </c>
      <c r="K50" s="31">
        <v>5.0854999999999997E-2</v>
      </c>
      <c r="L50" s="31">
        <v>0.16235416986823059</v>
      </c>
      <c r="M50" s="31">
        <v>6.715864763210716E-2</v>
      </c>
      <c r="N50" s="32">
        <v>1.6945936593477595</v>
      </c>
      <c r="O50" s="32">
        <v>1.3577625752259637</v>
      </c>
      <c r="P50" s="32">
        <v>11.773604889791214</v>
      </c>
      <c r="Q50" s="32">
        <v>15.658885816047809</v>
      </c>
      <c r="R50" s="32">
        <v>2.2989008715036703</v>
      </c>
      <c r="S50" s="32">
        <v>20.722521356503638</v>
      </c>
      <c r="T50" s="31">
        <v>-0.40937489754024503</v>
      </c>
      <c r="U50" s="31">
        <v>7.7982820927461833E-3</v>
      </c>
      <c r="V50" s="31">
        <v>-1.3016926116446899E-3</v>
      </c>
      <c r="W50" s="31">
        <v>0.28662293809310668</v>
      </c>
      <c r="X50" s="31">
        <v>0.10356883343367865</v>
      </c>
      <c r="Y50" s="31">
        <v>0.35133432350759741</v>
      </c>
      <c r="Z50" s="31">
        <v>0.35133432350759741</v>
      </c>
      <c r="AA50" s="65">
        <v>7.4917280524282939E-2</v>
      </c>
    </row>
    <row r="51" spans="1:27" s="11" customFormat="1">
      <c r="A51" s="29" t="s">
        <v>201</v>
      </c>
      <c r="B51" s="30">
        <v>334</v>
      </c>
      <c r="C51" s="31">
        <v>4.6036862745098023E-2</v>
      </c>
      <c r="D51" s="31">
        <v>0.14999164034895529</v>
      </c>
      <c r="E51" s="31">
        <v>6.1639717527291187E-2</v>
      </c>
      <c r="F51" s="31">
        <v>0.18978292304498715</v>
      </c>
      <c r="G51" s="32">
        <v>0.39129392968006665</v>
      </c>
      <c r="H51" s="32">
        <v>0.45700546948270204</v>
      </c>
      <c r="I51" s="31">
        <v>5.9822251596204294E-2</v>
      </c>
      <c r="J51" s="31">
        <v>0.15150889761067693</v>
      </c>
      <c r="K51" s="31">
        <v>4.5043E-2</v>
      </c>
      <c r="L51" s="31">
        <v>0.28742573556682555</v>
      </c>
      <c r="M51" s="31">
        <v>5.2337684983253967E-2</v>
      </c>
      <c r="N51" s="32">
        <v>0.47398717524974837</v>
      </c>
      <c r="O51" s="32">
        <v>5.415454683531844</v>
      </c>
      <c r="P51" s="32">
        <v>34.845251313805413</v>
      </c>
      <c r="Q51" s="32">
        <v>34.896040662166058</v>
      </c>
      <c r="R51" s="32">
        <v>2.0039088032674184</v>
      </c>
      <c r="S51" s="32">
        <v>69.378833078564355</v>
      </c>
      <c r="T51" s="31" t="s">
        <v>169</v>
      </c>
      <c r="U51" s="31">
        <v>2.9725746882996038E-2</v>
      </c>
      <c r="V51" s="31">
        <v>6.1361471889236401E-2</v>
      </c>
      <c r="W51" s="31">
        <v>0.54669683230965871</v>
      </c>
      <c r="X51" s="31">
        <v>0.13783634813168708</v>
      </c>
      <c r="Y51" s="31">
        <v>0.42105650684678592</v>
      </c>
      <c r="Z51" s="31">
        <v>0.42105650684678597</v>
      </c>
      <c r="AA51" s="65">
        <v>0.14670723243602463</v>
      </c>
    </row>
    <row r="52" spans="1:27" s="11" customFormat="1">
      <c r="A52" s="29" t="s">
        <v>132</v>
      </c>
      <c r="B52" s="30">
        <v>103</v>
      </c>
      <c r="C52" s="31">
        <v>4.712599999999998E-2</v>
      </c>
      <c r="D52" s="31">
        <v>0.14779213072591901</v>
      </c>
      <c r="E52" s="31">
        <v>0.24909385325604075</v>
      </c>
      <c r="F52" s="31">
        <v>0.21716795174857764</v>
      </c>
      <c r="G52" s="32">
        <v>0.9376095544061418</v>
      </c>
      <c r="H52" s="32">
        <v>1.0260564286029479</v>
      </c>
      <c r="I52" s="31">
        <v>8.5998595715735593E-2</v>
      </c>
      <c r="J52" s="31">
        <v>0.33444214078623241</v>
      </c>
      <c r="K52" s="31">
        <v>5.0854999999999997E-2</v>
      </c>
      <c r="L52" s="31">
        <v>0.14430985657050793</v>
      </c>
      <c r="M52" s="31">
        <v>7.9092309019652585E-2</v>
      </c>
      <c r="N52" s="32">
        <v>1.8716132403381998</v>
      </c>
      <c r="O52" s="32">
        <v>3.0699195050801884</v>
      </c>
      <c r="P52" s="32">
        <v>15.461408447841649</v>
      </c>
      <c r="Q52" s="32">
        <v>20.31238382156512</v>
      </c>
      <c r="R52" s="32">
        <v>4.3438247500417724</v>
      </c>
      <c r="S52" s="32">
        <v>26.951754964203868</v>
      </c>
      <c r="T52" s="31">
        <v>0.25173396431408457</v>
      </c>
      <c r="U52" s="31">
        <v>2.4425884717957834E-2</v>
      </c>
      <c r="V52" s="31">
        <v>6.4279580722076277E-2</v>
      </c>
      <c r="W52" s="31">
        <v>0.66768064881451694</v>
      </c>
      <c r="X52" s="31">
        <v>0.19022656097823037</v>
      </c>
      <c r="Y52" s="31">
        <v>0.3626998107382271</v>
      </c>
      <c r="Z52" s="31">
        <v>0.3626998107382271</v>
      </c>
      <c r="AA52" s="65">
        <v>0.15061465678939701</v>
      </c>
    </row>
    <row r="53" spans="1:27" s="11" customFormat="1">
      <c r="A53" s="29" t="s">
        <v>133</v>
      </c>
      <c r="B53" s="30">
        <v>68</v>
      </c>
      <c r="C53" s="31">
        <v>-1.3133333333333325E-2</v>
      </c>
      <c r="D53" s="31">
        <v>0.19621084093017843</v>
      </c>
      <c r="E53" s="31">
        <v>0.2402669710602103</v>
      </c>
      <c r="F53" s="31">
        <v>0.35286412829106101</v>
      </c>
      <c r="G53" s="32">
        <v>0.91212435483261867</v>
      </c>
      <c r="H53" s="32">
        <v>0.96247840953991504</v>
      </c>
      <c r="I53" s="31">
        <v>8.307400683883609E-2</v>
      </c>
      <c r="J53" s="31">
        <v>0.605593652790272</v>
      </c>
      <c r="K53" s="31">
        <v>5.3524000000000002E-2</v>
      </c>
      <c r="L53" s="31">
        <v>0.13659352614226641</v>
      </c>
      <c r="M53" s="31">
        <v>7.7209909233881727E-2</v>
      </c>
      <c r="N53" s="32">
        <v>1.2535014116480827</v>
      </c>
      <c r="O53" s="32">
        <v>2.937914549631262</v>
      </c>
      <c r="P53" s="32">
        <v>10.355846578641355</v>
      </c>
      <c r="Q53" s="32">
        <v>14.873774197012049</v>
      </c>
      <c r="R53" s="32">
        <v>3.2224919928098128</v>
      </c>
      <c r="S53" s="32">
        <v>33.132597557421676</v>
      </c>
      <c r="T53" s="31">
        <v>0.1532155838029568</v>
      </c>
      <c r="U53" s="31">
        <v>0.13030144622632117</v>
      </c>
      <c r="V53" s="31">
        <v>5.9114049217197283E-2</v>
      </c>
      <c r="W53" s="31">
        <v>0.63149629307441901</v>
      </c>
      <c r="X53" s="31">
        <v>0.12165895420384185</v>
      </c>
      <c r="Y53" s="31">
        <v>0.95470595148672233</v>
      </c>
      <c r="Z53" s="31">
        <v>0.95470595148672233</v>
      </c>
      <c r="AA53" s="65">
        <v>0.19557867619586258</v>
      </c>
    </row>
    <row r="54" spans="1:27" s="11" customFormat="1">
      <c r="A54" s="29" t="s">
        <v>134</v>
      </c>
      <c r="B54" s="30">
        <v>17</v>
      </c>
      <c r="C54" s="31">
        <v>0.15850384615384616</v>
      </c>
      <c r="D54" s="31">
        <v>7.2923117575051641E-2</v>
      </c>
      <c r="E54" s="31">
        <v>0.12926389341779917</v>
      </c>
      <c r="F54" s="31">
        <v>0.44322557458970102</v>
      </c>
      <c r="G54" s="32">
        <v>0.87643280799530487</v>
      </c>
      <c r="H54" s="32">
        <v>1.1394185236914496</v>
      </c>
      <c r="I54" s="31">
        <v>9.1213252089806685E-2</v>
      </c>
      <c r="J54" s="31">
        <v>0.30280062793938978</v>
      </c>
      <c r="K54" s="31">
        <v>5.0854999999999997E-2</v>
      </c>
      <c r="L54" s="31">
        <v>0.34456840647253745</v>
      </c>
      <c r="M54" s="31">
        <v>7.2926316901414823E-2</v>
      </c>
      <c r="N54" s="32">
        <v>2.0704085648273138</v>
      </c>
      <c r="O54" s="32">
        <v>1.1711022809028628</v>
      </c>
      <c r="P54" s="32">
        <v>9.3426486012209295</v>
      </c>
      <c r="Q54" s="32">
        <v>15.610563143808655</v>
      </c>
      <c r="R54" s="32">
        <v>2.5364199127790323</v>
      </c>
      <c r="S54" s="32">
        <v>249.15655023807091</v>
      </c>
      <c r="T54" s="31">
        <v>9.126079195854167E-2</v>
      </c>
      <c r="U54" s="31">
        <v>2.2936760875543978E-2</v>
      </c>
      <c r="V54" s="31">
        <v>1.9833530163557829E-2</v>
      </c>
      <c r="W54" s="31">
        <v>0.16580160140452149</v>
      </c>
      <c r="X54" s="31">
        <v>2.6638000470444002E-2</v>
      </c>
      <c r="Y54" s="31">
        <v>2.2516908050975011</v>
      </c>
      <c r="Z54" s="31">
        <v>2.2516908050975011</v>
      </c>
      <c r="AA54" s="65">
        <v>7.5269931494080691E-2</v>
      </c>
    </row>
    <row r="55" spans="1:27" s="11" customFormat="1">
      <c r="A55" s="29" t="s">
        <v>135</v>
      </c>
      <c r="B55" s="30">
        <v>4</v>
      </c>
      <c r="C55" s="31">
        <v>1.7600000000000001E-2</v>
      </c>
      <c r="D55" s="31">
        <v>0.15595793751029599</v>
      </c>
      <c r="E55" s="31">
        <v>0.17039770081786265</v>
      </c>
      <c r="F55" s="31">
        <v>0.29512418516063021</v>
      </c>
      <c r="G55" s="32">
        <v>0.64404501383935209</v>
      </c>
      <c r="H55" s="32">
        <v>0.67065158444684592</v>
      </c>
      <c r="I55" s="31">
        <v>6.9649972884554906E-2</v>
      </c>
      <c r="J55" s="31">
        <v>0.26444809223182186</v>
      </c>
      <c r="K55" s="31">
        <v>5.0854999999999997E-2</v>
      </c>
      <c r="L55" s="31">
        <v>0.11113222576377609</v>
      </c>
      <c r="M55" s="31">
        <v>6.6148338379420288E-2</v>
      </c>
      <c r="N55" s="32">
        <v>1.3700896826288935</v>
      </c>
      <c r="O55" s="32">
        <v>1.3474820849008362</v>
      </c>
      <c r="P55" s="32">
        <v>6.2381265148709089</v>
      </c>
      <c r="Q55" s="32">
        <v>8.5388407205521357</v>
      </c>
      <c r="R55" s="32">
        <v>1.816944677335053</v>
      </c>
      <c r="S55" s="32">
        <v>8.0182128970163014</v>
      </c>
      <c r="T55" s="31">
        <v>3.3696495250123547E-2</v>
      </c>
      <c r="U55" s="31">
        <v>7.3867785953544554E-2</v>
      </c>
      <c r="V55" s="31">
        <v>-2.148426775026158E-4</v>
      </c>
      <c r="W55" s="31">
        <v>-1.671215236463339E-2</v>
      </c>
      <c r="X55" s="31">
        <v>0.19851813516763073</v>
      </c>
      <c r="Y55" s="31">
        <v>0.37142296537371583</v>
      </c>
      <c r="Z55" s="31">
        <v>0.37142296537371577</v>
      </c>
      <c r="AA55" s="65">
        <v>0.15779316761156298</v>
      </c>
    </row>
    <row r="56" spans="1:27" s="11" customFormat="1">
      <c r="A56" s="29" t="s">
        <v>136</v>
      </c>
      <c r="B56" s="30">
        <v>166</v>
      </c>
      <c r="C56" s="31">
        <v>0.2328005882352942</v>
      </c>
      <c r="D56" s="31">
        <v>0.37265839691067637</v>
      </c>
      <c r="E56" s="31">
        <v>0.28405709355869363</v>
      </c>
      <c r="F56" s="31">
        <v>0.20342463510697406</v>
      </c>
      <c r="G56" s="32">
        <v>0.82142049675943762</v>
      </c>
      <c r="H56" s="32">
        <v>0.92989873869595874</v>
      </c>
      <c r="I56" s="31">
        <v>8.1575341980014093E-2</v>
      </c>
      <c r="J56" s="31">
        <v>0.46310335310672146</v>
      </c>
      <c r="K56" s="31">
        <v>5.0854999999999997E-2</v>
      </c>
      <c r="L56" s="31">
        <v>0.18884246603997282</v>
      </c>
      <c r="M56" s="31">
        <v>7.3373140940301229E-2</v>
      </c>
      <c r="N56" s="32">
        <v>0.79856329783464552</v>
      </c>
      <c r="O56" s="32">
        <v>2.6500043086455731</v>
      </c>
      <c r="P56" s="32">
        <v>4.6683778175149708</v>
      </c>
      <c r="Q56" s="32">
        <v>6.9825673409011877</v>
      </c>
      <c r="R56" s="32">
        <v>1.9431230096211636</v>
      </c>
      <c r="S56" s="32">
        <v>16.325943214833998</v>
      </c>
      <c r="T56" s="31">
        <v>9.9951288617362785E-3</v>
      </c>
      <c r="U56" s="31">
        <v>0.30047596852821296</v>
      </c>
      <c r="V56" s="31">
        <v>0.16046402665504775</v>
      </c>
      <c r="W56" s="31">
        <v>0.50395048936072928</v>
      </c>
      <c r="X56" s="31">
        <v>0.31094799857184063</v>
      </c>
      <c r="Y56" s="31">
        <v>0.31272316107697362</v>
      </c>
      <c r="Z56" s="31">
        <v>0.31272316107697362</v>
      </c>
      <c r="AA56" s="65">
        <v>0.37686234244190675</v>
      </c>
    </row>
    <row r="57" spans="1:27" s="11" customFormat="1">
      <c r="A57" s="29" t="s">
        <v>137</v>
      </c>
      <c r="B57" s="30">
        <v>24</v>
      </c>
      <c r="C57" s="31">
        <v>0.27451533333333339</v>
      </c>
      <c r="D57" s="31">
        <v>0.37953024273539593</v>
      </c>
      <c r="E57" s="31">
        <v>0.20602082553480802</v>
      </c>
      <c r="F57" s="31">
        <v>0.18244447623517368</v>
      </c>
      <c r="G57" s="32">
        <v>0.52912157126984105</v>
      </c>
      <c r="H57" s="32">
        <v>0.79075215100878704</v>
      </c>
      <c r="I57" s="31">
        <v>7.5174598946404214E-2</v>
      </c>
      <c r="J57" s="31">
        <v>0.32547547332498222</v>
      </c>
      <c r="K57" s="31">
        <v>5.0854999999999997E-2</v>
      </c>
      <c r="L57" s="31">
        <v>0.4125209705549901</v>
      </c>
      <c r="M57" s="31">
        <v>5.9897565896131919E-2</v>
      </c>
      <c r="N57" s="32">
        <v>0.59413677185269997</v>
      </c>
      <c r="O57" s="32">
        <v>3.5771916018946355</v>
      </c>
      <c r="P57" s="32">
        <v>7.3117668440851462</v>
      </c>
      <c r="Q57" s="32">
        <v>9.2923197649384655</v>
      </c>
      <c r="R57" s="32">
        <v>2.3169738478309978</v>
      </c>
      <c r="S57" s="32">
        <v>18.412840120237689</v>
      </c>
      <c r="T57" s="31">
        <v>2.5338522415672818E-2</v>
      </c>
      <c r="U57" s="31">
        <v>0.16531343804567911</v>
      </c>
      <c r="V57" s="31">
        <v>0.13121071073961837</v>
      </c>
      <c r="W57" s="31">
        <v>0.40284567963839019</v>
      </c>
      <c r="X57" s="31">
        <v>0.42406084058617804</v>
      </c>
      <c r="Y57" s="31">
        <v>0.39844096378722926</v>
      </c>
      <c r="Z57" s="31">
        <v>0.39844096378722926</v>
      </c>
      <c r="AA57" s="65">
        <v>0.38210569457340066</v>
      </c>
    </row>
    <row r="58" spans="1:27" s="11" customFormat="1">
      <c r="A58" s="29" t="s">
        <v>138</v>
      </c>
      <c r="B58" s="30">
        <v>100</v>
      </c>
      <c r="C58" s="31">
        <v>7.7372121212121239E-2</v>
      </c>
      <c r="D58" s="31">
        <v>8.7209149027514102E-2</v>
      </c>
      <c r="E58" s="31">
        <v>0.28021406956927292</v>
      </c>
      <c r="F58" s="31">
        <v>0.2183798745548326</v>
      </c>
      <c r="G58" s="32">
        <v>0.85290173814940118</v>
      </c>
      <c r="H58" s="32">
        <v>0.9795500315745983</v>
      </c>
      <c r="I58" s="31">
        <v>8.385930145243152E-2</v>
      </c>
      <c r="J58" s="31">
        <v>0.43728736432048126</v>
      </c>
      <c r="K58" s="31">
        <v>5.0854999999999997E-2</v>
      </c>
      <c r="L58" s="31">
        <v>0.24322695079309051</v>
      </c>
      <c r="M58" s="31">
        <v>7.2739439201454981E-2</v>
      </c>
      <c r="N58" s="32">
        <v>3.553462668606814</v>
      </c>
      <c r="O58" s="32">
        <v>0.62823830145194459</v>
      </c>
      <c r="P58" s="32">
        <v>5.4241303880351577</v>
      </c>
      <c r="Q58" s="32">
        <v>7.0794352962597635</v>
      </c>
      <c r="R58" s="32">
        <v>1.9840962070304522</v>
      </c>
      <c r="S58" s="32">
        <v>70.298228177707173</v>
      </c>
      <c r="T58" s="31">
        <v>6.3418447061245012E-2</v>
      </c>
      <c r="U58" s="31">
        <v>2.3634819010543238E-2</v>
      </c>
      <c r="V58" s="31">
        <v>5.7629495091217316E-3</v>
      </c>
      <c r="W58" s="31">
        <v>0.15485672710250106</v>
      </c>
      <c r="X58" s="31">
        <v>0.29646913716435203</v>
      </c>
      <c r="Y58" s="31">
        <v>0.18808725311152891</v>
      </c>
      <c r="Z58" s="31">
        <v>0.18808725311152896</v>
      </c>
      <c r="AA58" s="65">
        <v>8.846245675775162E-2</v>
      </c>
    </row>
    <row r="59" spans="1:27" s="11" customFormat="1">
      <c r="A59" s="29" t="s">
        <v>139</v>
      </c>
      <c r="B59" s="30">
        <v>11</v>
      </c>
      <c r="C59" s="31">
        <v>4.6280999999999996E-2</v>
      </c>
      <c r="D59" s="31">
        <v>0.10136344113969289</v>
      </c>
      <c r="E59" s="31">
        <v>0.14468950470501363</v>
      </c>
      <c r="F59" s="31">
        <v>0.2143667790493376</v>
      </c>
      <c r="G59" s="32">
        <v>0.59401445549826037</v>
      </c>
      <c r="H59" s="32">
        <v>0.86758967833953515</v>
      </c>
      <c r="I59" s="31">
        <v>7.8709125203618613E-2</v>
      </c>
      <c r="J59" s="31">
        <v>0.22797402634512051</v>
      </c>
      <c r="K59" s="31">
        <v>4.5043E-2</v>
      </c>
      <c r="L59" s="31">
        <v>0.41684587791945077</v>
      </c>
      <c r="M59" s="31">
        <v>5.9981542467188606E-2</v>
      </c>
      <c r="N59" s="32">
        <v>1.8070981130643691</v>
      </c>
      <c r="O59" s="32">
        <v>1.4851151918346988</v>
      </c>
      <c r="P59" s="32">
        <v>9.2815278201038112</v>
      </c>
      <c r="Q59" s="32">
        <v>14.548466635999445</v>
      </c>
      <c r="R59" s="32">
        <v>2.9619162642561543</v>
      </c>
      <c r="S59" s="32">
        <v>17.370818385055024</v>
      </c>
      <c r="T59" s="31">
        <v>7.6715870784513529E-2</v>
      </c>
      <c r="U59" s="31">
        <v>6.7633210085312132E-2</v>
      </c>
      <c r="V59" s="31">
        <v>3.8600392724298972E-2</v>
      </c>
      <c r="W59" s="31">
        <v>0.70321264532913874</v>
      </c>
      <c r="X59" s="31">
        <v>0.19622775667533635</v>
      </c>
      <c r="Y59" s="31">
        <v>0.25848828708559801</v>
      </c>
      <c r="Z59" s="31">
        <v>0.25848828708559801</v>
      </c>
      <c r="AA59" s="65">
        <v>0.10208646007753597</v>
      </c>
    </row>
    <row r="60" spans="1:27" s="11" customFormat="1">
      <c r="A60" s="29" t="s">
        <v>140</v>
      </c>
      <c r="B60" s="30">
        <v>7</v>
      </c>
      <c r="C60" s="31">
        <v>3.8425000000000001E-2</v>
      </c>
      <c r="D60" s="31">
        <v>9.9619899214932001E-2</v>
      </c>
      <c r="E60" s="31">
        <v>0.18901373691463047</v>
      </c>
      <c r="F60" s="31">
        <v>0.30911701363962674</v>
      </c>
      <c r="G60" s="32">
        <v>1.5902925666995296</v>
      </c>
      <c r="H60" s="32">
        <v>1.9382231536190784</v>
      </c>
      <c r="I60" s="31">
        <v>0.12795826506647762</v>
      </c>
      <c r="J60" s="31">
        <v>0.43036486711913036</v>
      </c>
      <c r="K60" s="31">
        <v>5.0854999999999997E-2</v>
      </c>
      <c r="L60" s="31">
        <v>0.27203680189153673</v>
      </c>
      <c r="M60" s="31">
        <v>0.10352473153234908</v>
      </c>
      <c r="N60" s="32">
        <v>2.1382237014668712</v>
      </c>
      <c r="O60" s="32">
        <v>1.039978868393705</v>
      </c>
      <c r="P60" s="32">
        <v>7.0633686570128136</v>
      </c>
      <c r="Q60" s="32">
        <v>10.309929699692999</v>
      </c>
      <c r="R60" s="32">
        <v>2.420835985244048</v>
      </c>
      <c r="S60" s="32">
        <v>19.990268135629133</v>
      </c>
      <c r="T60" s="31">
        <v>0.12896672468828177</v>
      </c>
      <c r="U60" s="31">
        <v>7.5908105941041221E-2</v>
      </c>
      <c r="V60" s="31">
        <v>5.0747159393665635E-2</v>
      </c>
      <c r="W60" s="31">
        <v>0.99702940057992662</v>
      </c>
      <c r="X60" s="31">
        <v>0.15165444471442061</v>
      </c>
      <c r="Y60" s="31">
        <v>0.27578599007170435</v>
      </c>
      <c r="Z60" s="31">
        <v>0.27578599007170435</v>
      </c>
      <c r="AA60" s="65">
        <v>0.10140987860769964</v>
      </c>
    </row>
    <row r="61" spans="1:27" s="11" customFormat="1">
      <c r="A61" s="29" t="s">
        <v>141</v>
      </c>
      <c r="B61" s="30">
        <v>50</v>
      </c>
      <c r="C61" s="31">
        <v>5.3279999999999987E-2</v>
      </c>
      <c r="D61" s="31">
        <v>0.16292988851641926</v>
      </c>
      <c r="E61" s="31">
        <v>5.7838808795451627E-2</v>
      </c>
      <c r="F61" s="31">
        <v>0.16140322753814085</v>
      </c>
      <c r="G61" s="32">
        <v>0.3885061927976376</v>
      </c>
      <c r="H61" s="32">
        <v>0.65062741829817849</v>
      </c>
      <c r="I61" s="31">
        <v>6.8728861241716205E-2</v>
      </c>
      <c r="J61" s="31">
        <v>0.20394370124554315</v>
      </c>
      <c r="K61" s="31">
        <v>4.5043E-2</v>
      </c>
      <c r="L61" s="31">
        <v>0.48166097793207796</v>
      </c>
      <c r="M61" s="31">
        <v>5.189644229561903E-2</v>
      </c>
      <c r="N61" s="32">
        <v>0.4114319764618295</v>
      </c>
      <c r="O61" s="32">
        <v>3.7153854274683433</v>
      </c>
      <c r="P61" s="32">
        <v>11.691846058595218</v>
      </c>
      <c r="Q61" s="32">
        <v>22.339910401761529</v>
      </c>
      <c r="R61" s="32">
        <v>1.7113225687107074</v>
      </c>
      <c r="S61" s="32">
        <v>23.19158205893271</v>
      </c>
      <c r="T61" s="31">
        <v>8.2551593545111768E-2</v>
      </c>
      <c r="U61" s="31">
        <v>0.33954089511344704</v>
      </c>
      <c r="V61" s="31">
        <v>0.22702951827873996</v>
      </c>
      <c r="W61" s="31">
        <v>1.7342755771524554</v>
      </c>
      <c r="X61" s="31">
        <v>8.6033634105900814E-2</v>
      </c>
      <c r="Y61" s="31">
        <v>0.76674406940227546</v>
      </c>
      <c r="Z61" s="31">
        <v>0.76674406940227546</v>
      </c>
      <c r="AA61" s="65">
        <v>0.16287010099737925</v>
      </c>
    </row>
    <row r="62" spans="1:27" s="11" customFormat="1">
      <c r="A62" s="29" t="s">
        <v>142</v>
      </c>
      <c r="B62" s="30">
        <v>61</v>
      </c>
      <c r="C62" s="31">
        <v>0.116358</v>
      </c>
      <c r="D62" s="31">
        <v>9.4815347859160626E-2</v>
      </c>
      <c r="E62" s="31">
        <v>4.6929693296862557E-2</v>
      </c>
      <c r="F62" s="31">
        <v>0.22878493646304626</v>
      </c>
      <c r="G62" s="32">
        <v>0.83008391475465471</v>
      </c>
      <c r="H62" s="32">
        <v>0.86895093981506022</v>
      </c>
      <c r="I62" s="31">
        <v>7.8771743231492775E-2</v>
      </c>
      <c r="J62" s="31">
        <v>0.63609473927989657</v>
      </c>
      <c r="K62" s="31">
        <v>5.3524000000000002E-2</v>
      </c>
      <c r="L62" s="31">
        <v>0.13198988940179562</v>
      </c>
      <c r="M62" s="31">
        <v>7.3673139684637678E-2</v>
      </c>
      <c r="N62" s="32">
        <v>0.50505304327330192</v>
      </c>
      <c r="O62" s="32">
        <v>3.955802095084481</v>
      </c>
      <c r="P62" s="32">
        <v>13.009572620028603</v>
      </c>
      <c r="Q62" s="32">
        <v>40.056477737396648</v>
      </c>
      <c r="R62" s="32">
        <v>2.0363465513114485</v>
      </c>
      <c r="S62" s="32">
        <v>34.232639448888236</v>
      </c>
      <c r="T62" s="31">
        <v>9.8325052009865355E-2</v>
      </c>
      <c r="U62" s="31">
        <v>0.25407970239525501</v>
      </c>
      <c r="V62" s="31">
        <v>9.5405975749894428E-2</v>
      </c>
      <c r="W62" s="31">
        <v>1.4626231735473461</v>
      </c>
      <c r="X62" s="31">
        <v>-2.3341970007055318E-2</v>
      </c>
      <c r="Y62" s="31">
        <v>8.8351216929083726E-3</v>
      </c>
      <c r="Z62" s="31">
        <v>8.8351216929083431E-3</v>
      </c>
      <c r="AA62" s="65">
        <v>9.4817432437201393E-2</v>
      </c>
    </row>
    <row r="63" spans="1:27" s="11" customFormat="1">
      <c r="A63" s="29" t="s">
        <v>364</v>
      </c>
      <c r="B63" s="30">
        <v>13</v>
      </c>
      <c r="C63" s="31">
        <v>1.886888888888889E-2</v>
      </c>
      <c r="D63" s="31">
        <v>7.586053639846746E-2</v>
      </c>
      <c r="E63" s="31">
        <v>0.11743909189085758</v>
      </c>
      <c r="F63" s="31">
        <v>0.33496727251475661</v>
      </c>
      <c r="G63" s="32">
        <v>0.80705437488394349</v>
      </c>
      <c r="H63" s="32">
        <v>0.91822392434292299</v>
      </c>
      <c r="I63" s="31">
        <v>8.1038300519774453E-2</v>
      </c>
      <c r="J63" s="31">
        <v>0.31017152439390305</v>
      </c>
      <c r="K63" s="31">
        <v>5.0854999999999997E-2</v>
      </c>
      <c r="L63" s="31">
        <v>0.22320484003526761</v>
      </c>
      <c r="M63" s="31">
        <v>7.1463471220523392E-2</v>
      </c>
      <c r="N63" s="32">
        <v>1.8067191265961897</v>
      </c>
      <c r="O63" s="32">
        <v>1.6155964877241813</v>
      </c>
      <c r="P63" s="32">
        <v>11.874911514750378</v>
      </c>
      <c r="Q63" s="32">
        <v>22.460692247101811</v>
      </c>
      <c r="R63" s="32">
        <v>2.0327328801923263</v>
      </c>
      <c r="S63" s="32">
        <v>33.966609637973768</v>
      </c>
      <c r="T63" s="31">
        <v>0.11799856960408685</v>
      </c>
      <c r="U63" s="31">
        <v>3.7843627075351223E-2</v>
      </c>
      <c r="V63" s="31">
        <v>-1.4497011494252865E-2</v>
      </c>
      <c r="W63" s="31">
        <v>-0.12400404330731554</v>
      </c>
      <c r="X63" s="31">
        <v>2.5384759683220643E-2</v>
      </c>
      <c r="Y63" s="31">
        <v>0.96086621256907867</v>
      </c>
      <c r="Z63" s="31">
        <v>0.96086621256907867</v>
      </c>
      <c r="AA63" s="65">
        <v>7.2628247793605716E-2</v>
      </c>
    </row>
    <row r="64" spans="1:27" s="11" customFormat="1">
      <c r="A64" s="29" t="s">
        <v>143</v>
      </c>
      <c r="B64" s="30">
        <v>181</v>
      </c>
      <c r="C64" s="31">
        <v>7.9506184210526312E-2</v>
      </c>
      <c r="D64" s="31">
        <v>0.22306419369090053</v>
      </c>
      <c r="E64" s="31">
        <v>2.604602253380742E-2</v>
      </c>
      <c r="F64" s="31">
        <v>3.423555993824276E-2</v>
      </c>
      <c r="G64" s="32">
        <v>0.65364907272884065</v>
      </c>
      <c r="H64" s="32">
        <v>1.0241702628809981</v>
      </c>
      <c r="I64" s="31">
        <v>8.5911832092525911E-2</v>
      </c>
      <c r="J64" s="31">
        <v>0.23590766129106594</v>
      </c>
      <c r="K64" s="31">
        <v>4.5043E-2</v>
      </c>
      <c r="L64" s="31">
        <v>0.4437436539441254</v>
      </c>
      <c r="M64" s="31">
        <v>6.2779660856208216E-2</v>
      </c>
      <c r="N64" s="32">
        <v>0.13519492153145526</v>
      </c>
      <c r="O64" s="32">
        <v>11.736514441111494</v>
      </c>
      <c r="P64" s="32">
        <v>21.912087518157193</v>
      </c>
      <c r="Q64" s="32">
        <v>53.479159627199742</v>
      </c>
      <c r="R64" s="32">
        <v>1.9827496103359104</v>
      </c>
      <c r="S64" s="32">
        <v>123.35864097594961</v>
      </c>
      <c r="T64" s="31">
        <v>1.1777065426859592</v>
      </c>
      <c r="U64" s="31">
        <v>2.0877749230665748E-2</v>
      </c>
      <c r="V64" s="31">
        <v>-0.16888406313044227</v>
      </c>
      <c r="W64" s="31">
        <v>-0.82957560768677063</v>
      </c>
      <c r="X64" s="31">
        <v>4.1547193007393492E-2</v>
      </c>
      <c r="Y64" s="31">
        <v>2.320757535648835</v>
      </c>
      <c r="Z64" s="31">
        <v>2.320757535648835</v>
      </c>
      <c r="AA64" s="65">
        <v>0.19653209531683402</v>
      </c>
    </row>
    <row r="65" spans="1:27" s="11" customFormat="1">
      <c r="A65" s="29" t="s">
        <v>144</v>
      </c>
      <c r="B65" s="30">
        <v>17</v>
      </c>
      <c r="C65" s="31">
        <v>0.55561666666666665</v>
      </c>
      <c r="D65" s="31">
        <v>0.1260895802230371</v>
      </c>
      <c r="E65" s="31">
        <v>2.9287042485061747E-2</v>
      </c>
      <c r="F65" s="31">
        <v>0.24259357814440308</v>
      </c>
      <c r="G65" s="32">
        <v>0.4314363177605709</v>
      </c>
      <c r="H65" s="32">
        <v>0.66859406140799615</v>
      </c>
      <c r="I65" s="31">
        <v>6.9555326824767824E-2</v>
      </c>
      <c r="J65" s="31">
        <v>0.34240037014717128</v>
      </c>
      <c r="K65" s="31">
        <v>5.0854999999999997E-2</v>
      </c>
      <c r="L65" s="31">
        <v>0.48479507760579099</v>
      </c>
      <c r="M65" s="31">
        <v>5.4325937012590225E-2</v>
      </c>
      <c r="N65" s="32">
        <v>0.26632691318970303</v>
      </c>
      <c r="O65" s="32">
        <v>4.3826293726146881</v>
      </c>
      <c r="P65" s="32">
        <v>17.93205737756681</v>
      </c>
      <c r="Q65" s="32">
        <v>36.271131152719285</v>
      </c>
      <c r="R65" s="32">
        <v>1.3514347597641898</v>
      </c>
      <c r="S65" s="32">
        <v>8.0221176983239513</v>
      </c>
      <c r="T65" s="31">
        <v>4.0784818863112492E-2</v>
      </c>
      <c r="U65" s="31">
        <v>2.5419140294122532E-2</v>
      </c>
      <c r="V65" s="31">
        <v>-5.9288075101082707E-2</v>
      </c>
      <c r="W65" s="31">
        <v>-0.97271208117751418</v>
      </c>
      <c r="X65" s="31">
        <v>-8.5380378934187581E-2</v>
      </c>
      <c r="Y65" s="31">
        <v>0</v>
      </c>
      <c r="Z65" s="31">
        <v>0</v>
      </c>
      <c r="AA65" s="65">
        <v>0.11158676233778687</v>
      </c>
    </row>
    <row r="66" spans="1:27" s="11" customFormat="1">
      <c r="A66" s="29" t="s">
        <v>145</v>
      </c>
      <c r="B66" s="30">
        <v>11</v>
      </c>
      <c r="C66" s="31">
        <v>9.080400000000001E-2</v>
      </c>
      <c r="D66" s="31">
        <v>0.16131826431281968</v>
      </c>
      <c r="E66" s="31">
        <v>5.3122203722769448E-2</v>
      </c>
      <c r="F66" s="31">
        <v>0.17400095021907827</v>
      </c>
      <c r="G66" s="32">
        <v>0.51252675181814633</v>
      </c>
      <c r="H66" s="32">
        <v>0.56357223766363951</v>
      </c>
      <c r="I66" s="31">
        <v>6.4724322932527417E-2</v>
      </c>
      <c r="J66" s="31">
        <v>0.35907096541478567</v>
      </c>
      <c r="K66" s="31">
        <v>5.0854999999999997E-2</v>
      </c>
      <c r="L66" s="31">
        <v>0.24171470192446345</v>
      </c>
      <c r="M66" s="31">
        <v>5.8298803382405277E-2</v>
      </c>
      <c r="N66" s="32">
        <v>0.37242041233481304</v>
      </c>
      <c r="O66" s="32">
        <v>4.7788406442155482</v>
      </c>
      <c r="P66" s="32">
        <v>18.009159397595386</v>
      </c>
      <c r="Q66" s="32">
        <v>28.438668024742345</v>
      </c>
      <c r="R66" s="32">
        <v>1.2470691827068427</v>
      </c>
      <c r="S66" s="32">
        <v>33.226230825792904</v>
      </c>
      <c r="T66" s="31">
        <v>2.0129995050321732</v>
      </c>
      <c r="U66" s="31">
        <v>2.8403728757630749E-2</v>
      </c>
      <c r="V66" s="31">
        <v>-5.1359511631743945E-2</v>
      </c>
      <c r="W66" s="31">
        <v>-0.59412378257803355</v>
      </c>
      <c r="X66" s="31">
        <v>9.1092056157810561E-2</v>
      </c>
      <c r="Y66" s="31">
        <v>0.24923181973369751</v>
      </c>
      <c r="Z66" s="31">
        <v>0.24923181973369757</v>
      </c>
      <c r="AA66" s="65">
        <v>0.1643542931994576</v>
      </c>
    </row>
    <row r="67" spans="1:27" s="11" customFormat="1">
      <c r="A67" s="29" t="s">
        <v>146</v>
      </c>
      <c r="B67" s="30">
        <v>60</v>
      </c>
      <c r="C67" s="31">
        <v>5.4392666666666666E-2</v>
      </c>
      <c r="D67" s="31">
        <v>-2.8357035717595817E-3</v>
      </c>
      <c r="E67" s="31">
        <v>6.7119159647465029E-4</v>
      </c>
      <c r="F67" s="31">
        <v>0.18035278243626368</v>
      </c>
      <c r="G67" s="32">
        <v>0.88284638532075765</v>
      </c>
      <c r="H67" s="32">
        <v>1.0801188936162607</v>
      </c>
      <c r="I67" s="31">
        <v>8.8485469106347997E-2</v>
      </c>
      <c r="J67" s="31">
        <v>0.44192228893495522</v>
      </c>
      <c r="K67" s="31">
        <v>5.0854999999999997E-2</v>
      </c>
      <c r="L67" s="31">
        <v>0.30827148132425231</v>
      </c>
      <c r="M67" s="31">
        <v>7.2965782106321375E-2</v>
      </c>
      <c r="N67" s="32">
        <v>1.44524314073108</v>
      </c>
      <c r="O67" s="32">
        <v>1.5074220348746605</v>
      </c>
      <c r="P67" s="32">
        <v>14.981930532197556</v>
      </c>
      <c r="Q67" s="32" t="s">
        <v>169</v>
      </c>
      <c r="R67" s="32">
        <v>2.8721502379113324</v>
      </c>
      <c r="S67" s="32">
        <v>104.23604792269977</v>
      </c>
      <c r="T67" s="31">
        <v>9.6938280068516611E-2</v>
      </c>
      <c r="U67" s="31">
        <v>1.3030956034781528E-2</v>
      </c>
      <c r="V67" s="31">
        <v>-1.1660648443319731E-2</v>
      </c>
      <c r="W67" s="31" t="s">
        <v>169</v>
      </c>
      <c r="X67" s="31">
        <v>-8.2699453594316241E-2</v>
      </c>
      <c r="Y67" s="31">
        <v>7.6188461338059024E-3</v>
      </c>
      <c r="Z67" s="31">
        <v>7.6188461338059232E-3</v>
      </c>
      <c r="AA67" s="65">
        <v>4.8652777182227547E-4</v>
      </c>
    </row>
    <row r="68" spans="1:27" s="11" customFormat="1">
      <c r="A68" s="29" t="s">
        <v>147</v>
      </c>
      <c r="B68" s="30">
        <v>55</v>
      </c>
      <c r="C68" s="31">
        <v>0.10951862068965518</v>
      </c>
      <c r="D68" s="31">
        <v>9.6590436589090084E-2</v>
      </c>
      <c r="E68" s="31">
        <v>9.5367541711306333E-2</v>
      </c>
      <c r="F68" s="31">
        <v>0.27908973850786251</v>
      </c>
      <c r="G68" s="32">
        <v>0.84887800605574826</v>
      </c>
      <c r="H68" s="32">
        <v>1.17128693009822</v>
      </c>
      <c r="I68" s="31">
        <v>9.2679198784518121E-2</v>
      </c>
      <c r="J68" s="31">
        <v>0.44295221149390968</v>
      </c>
      <c r="K68" s="31">
        <v>5.0854999999999997E-2</v>
      </c>
      <c r="L68" s="31">
        <v>0.36938218119030658</v>
      </c>
      <c r="M68" s="31">
        <v>7.2533852304847587E-2</v>
      </c>
      <c r="N68" s="32">
        <v>1.28318501683349</v>
      </c>
      <c r="O68" s="32">
        <v>1.8421118883204324</v>
      </c>
      <c r="P68" s="32">
        <v>9.9873894498440308</v>
      </c>
      <c r="Q68" s="32">
        <v>21.71796210872423</v>
      </c>
      <c r="R68" s="32">
        <v>3.4596231451635577</v>
      </c>
      <c r="S68" s="32">
        <v>27.700115574206265</v>
      </c>
      <c r="T68" s="31">
        <v>0.18037794033907653</v>
      </c>
      <c r="U68" s="31">
        <v>7.1115609943383618E-2</v>
      </c>
      <c r="V68" s="31">
        <v>3.2100923079553575E-2</v>
      </c>
      <c r="W68" s="31">
        <v>0.56158342782299575</v>
      </c>
      <c r="X68" s="31">
        <v>2.5626629604530146E-2</v>
      </c>
      <c r="Y68" s="31">
        <v>1.9958513365724233</v>
      </c>
      <c r="Z68" s="31">
        <v>1.9958513365724233</v>
      </c>
      <c r="AA68" s="65">
        <v>8.10090946051851E-2</v>
      </c>
    </row>
    <row r="69" spans="1:27" s="11" customFormat="1">
      <c r="A69" s="29" t="s">
        <v>148</v>
      </c>
      <c r="B69" s="30">
        <v>1</v>
      </c>
      <c r="C69" s="31">
        <v>6.9500000000000006E-2</v>
      </c>
      <c r="D69" s="31">
        <v>9.6556719411633601E-2</v>
      </c>
      <c r="E69" s="31">
        <v>0.30116910073399067</v>
      </c>
      <c r="F69" s="31">
        <v>0.22953020134228189</v>
      </c>
      <c r="G69" s="32">
        <v>0.60985091839783168</v>
      </c>
      <c r="H69" s="32">
        <v>0.65514402605202471</v>
      </c>
      <c r="I69" s="31">
        <v>6.8936625198393137E-2</v>
      </c>
      <c r="J69" s="31">
        <v>0.17094029032718663</v>
      </c>
      <c r="K69" s="31">
        <v>4.5043E-2</v>
      </c>
      <c r="L69" s="31">
        <v>0.29842458571273739</v>
      </c>
      <c r="M69" s="31">
        <v>5.8445695343822532E-2</v>
      </c>
      <c r="N69" s="32">
        <v>4.0484415459074663</v>
      </c>
      <c r="O69" s="32">
        <v>0.68963176352401712</v>
      </c>
      <c r="P69" s="32">
        <v>7.2830308277311326</v>
      </c>
      <c r="Q69" s="32">
        <v>7.1425014429623443</v>
      </c>
      <c r="R69" s="32">
        <v>1.3077640132466577</v>
      </c>
      <c r="S69" s="32">
        <v>9.3446099912357585</v>
      </c>
      <c r="T69" s="31">
        <v>0.17093826610207266</v>
      </c>
      <c r="U69" s="31">
        <v>1.4486293737463784E-3</v>
      </c>
      <c r="V69" s="31">
        <v>4.3263873412079337E-2</v>
      </c>
      <c r="W69" s="31">
        <v>0.75607995316740739</v>
      </c>
      <c r="X69" s="31">
        <v>0.31234601697235148</v>
      </c>
      <c r="Y69" s="31">
        <v>0.18930762489044697</v>
      </c>
      <c r="Z69" s="31">
        <v>0.18930762489044695</v>
      </c>
      <c r="AA69" s="65">
        <v>9.6553255050935372E-2</v>
      </c>
    </row>
    <row r="70" spans="1:27" s="11" customFormat="1">
      <c r="A70" s="29" t="s">
        <v>202</v>
      </c>
      <c r="B70" s="30">
        <v>64</v>
      </c>
      <c r="C70" s="31">
        <v>6.7960000000000007E-2</v>
      </c>
      <c r="D70" s="31">
        <v>0.15800225916236191</v>
      </c>
      <c r="E70" s="31">
        <v>0.19557552942837814</v>
      </c>
      <c r="F70" s="31">
        <v>0.19967846424718289</v>
      </c>
      <c r="G70" s="32">
        <v>1.0243276951296387</v>
      </c>
      <c r="H70" s="32">
        <v>1.194577320424228</v>
      </c>
      <c r="I70" s="31">
        <v>9.375055673951449E-2</v>
      </c>
      <c r="J70" s="31">
        <v>0.35372310643077254</v>
      </c>
      <c r="K70" s="31">
        <v>5.0854999999999997E-2</v>
      </c>
      <c r="L70" s="31">
        <v>0.20462608516509845</v>
      </c>
      <c r="M70" s="31">
        <v>8.2371442002662512E-2</v>
      </c>
      <c r="N70" s="32">
        <v>1.6196890156518917</v>
      </c>
      <c r="O70" s="32">
        <v>4.1943615958584566</v>
      </c>
      <c r="P70" s="32">
        <v>16.598910443571427</v>
      </c>
      <c r="Q70" s="32">
        <v>29.333020694460565</v>
      </c>
      <c r="R70" s="32" t="s">
        <v>169</v>
      </c>
      <c r="S70" s="32">
        <v>94.189098132402151</v>
      </c>
      <c r="T70" s="31">
        <v>8.6042887900802303E-3</v>
      </c>
      <c r="U70" s="31">
        <v>5.7944026102845256E-2</v>
      </c>
      <c r="V70" s="31">
        <v>3.5722685370995058E-2</v>
      </c>
      <c r="W70" s="31">
        <v>0.34511083241843721</v>
      </c>
      <c r="X70" s="31" t="s">
        <v>169</v>
      </c>
      <c r="Y70" s="31">
        <v>0.53075598955740277</v>
      </c>
      <c r="Z70" s="31">
        <v>0.53075598955740277</v>
      </c>
      <c r="AA70" s="65">
        <v>0.13614064338279905</v>
      </c>
    </row>
    <row r="71" spans="1:27" s="11" customFormat="1">
      <c r="A71" s="29" t="s">
        <v>149</v>
      </c>
      <c r="B71" s="30">
        <v>30</v>
      </c>
      <c r="C71" s="31">
        <v>0.17498636363636366</v>
      </c>
      <c r="D71" s="31">
        <v>6.1756206429810209E-2</v>
      </c>
      <c r="E71" s="31">
        <v>0.13195481158300898</v>
      </c>
      <c r="F71" s="31">
        <v>0.23751485780163534</v>
      </c>
      <c r="G71" s="32">
        <v>1.0587643053346871</v>
      </c>
      <c r="H71" s="32">
        <v>1.4944959500823904</v>
      </c>
      <c r="I71" s="31">
        <v>0.10754681370378996</v>
      </c>
      <c r="J71" s="31">
        <v>0.46787574959813977</v>
      </c>
      <c r="K71" s="31">
        <v>5.0854999999999997E-2</v>
      </c>
      <c r="L71" s="31">
        <v>0.36513247499984208</v>
      </c>
      <c r="M71" s="31">
        <v>8.2204588449865917E-2</v>
      </c>
      <c r="N71" s="32">
        <v>2.6698337874045341</v>
      </c>
      <c r="O71" s="32">
        <v>1.0494760169508079</v>
      </c>
      <c r="P71" s="32">
        <v>11.625721407059311</v>
      </c>
      <c r="Q71" s="32">
        <v>17.424466432833757</v>
      </c>
      <c r="R71" s="32">
        <v>6.9701147308624885</v>
      </c>
      <c r="S71" s="32">
        <v>17.888727923754509</v>
      </c>
      <c r="T71" s="31">
        <v>9.9833697994084286E-2</v>
      </c>
      <c r="U71" s="31">
        <v>1.9066371040589995E-2</v>
      </c>
      <c r="V71" s="31">
        <v>2.1762603098834987E-2</v>
      </c>
      <c r="W71" s="31">
        <v>0.71346116785558666</v>
      </c>
      <c r="X71" s="31">
        <v>0.47328545526154348</v>
      </c>
      <c r="Y71" s="31">
        <v>5.7941597498037609E-2</v>
      </c>
      <c r="Z71" s="31">
        <v>5.7941597498037622E-2</v>
      </c>
      <c r="AA71" s="65">
        <v>5.7130049786012285E-2</v>
      </c>
    </row>
    <row r="72" spans="1:27" s="11" customFormat="1">
      <c r="A72" s="29" t="s">
        <v>150</v>
      </c>
      <c r="B72" s="30">
        <v>16</v>
      </c>
      <c r="C72" s="31">
        <v>8.9053846153846164E-2</v>
      </c>
      <c r="D72" s="31">
        <v>0.12513815577176424</v>
      </c>
      <c r="E72" s="31">
        <v>0.39426101011063314</v>
      </c>
      <c r="F72" s="31">
        <v>0.24040748843756385</v>
      </c>
      <c r="G72" s="32">
        <v>1.704153179546406</v>
      </c>
      <c r="H72" s="32">
        <v>1.9381785697071496</v>
      </c>
      <c r="I72" s="31">
        <v>0.12795621420652886</v>
      </c>
      <c r="J72" s="31">
        <v>0.45210582664645632</v>
      </c>
      <c r="K72" s="31">
        <v>5.0854999999999997E-2</v>
      </c>
      <c r="L72" s="31">
        <v>0.16613035370375878</v>
      </c>
      <c r="M72" s="31">
        <v>0.11303522243500778</v>
      </c>
      <c r="N72" s="32">
        <v>3.6418165867455921</v>
      </c>
      <c r="O72" s="32">
        <v>2.1699324764427979</v>
      </c>
      <c r="P72" s="32">
        <v>13.331901910729169</v>
      </c>
      <c r="Q72" s="32">
        <v>17.190761080323021</v>
      </c>
      <c r="R72" s="32" t="s">
        <v>169</v>
      </c>
      <c r="S72" s="32">
        <v>27.87080707923468</v>
      </c>
      <c r="T72" s="31">
        <v>8.4696827644573189E-2</v>
      </c>
      <c r="U72" s="31">
        <v>2.4278467792407967E-2</v>
      </c>
      <c r="V72" s="31">
        <v>8.4849635897816383E-3</v>
      </c>
      <c r="W72" s="31">
        <v>2.3337337560001278E-2</v>
      </c>
      <c r="X72" s="31" t="s">
        <v>169</v>
      </c>
      <c r="Y72" s="31">
        <v>0.46644741818218693</v>
      </c>
      <c r="Z72" s="31">
        <v>0.46644741818218693</v>
      </c>
      <c r="AA72" s="65">
        <v>0.1238432505090802</v>
      </c>
    </row>
    <row r="73" spans="1:27" s="11" customFormat="1">
      <c r="A73" s="29" t="s">
        <v>151</v>
      </c>
      <c r="B73" s="30">
        <v>62</v>
      </c>
      <c r="C73" s="31">
        <v>5.8054594594594583E-2</v>
      </c>
      <c r="D73" s="31">
        <v>0.11953213688630857</v>
      </c>
      <c r="E73" s="31">
        <v>0.18608587925495401</v>
      </c>
      <c r="F73" s="31">
        <v>0.23449866940082945</v>
      </c>
      <c r="G73" s="32">
        <v>0.90932555384051728</v>
      </c>
      <c r="H73" s="32">
        <v>1.106042693037566</v>
      </c>
      <c r="I73" s="31">
        <v>8.967796387972804E-2</v>
      </c>
      <c r="J73" s="31">
        <v>0.37735750438183585</v>
      </c>
      <c r="K73" s="31">
        <v>5.0854999999999997E-2</v>
      </c>
      <c r="L73" s="31">
        <v>0.24408909195893314</v>
      </c>
      <c r="M73" s="31">
        <v>7.7098414186277886E-2</v>
      </c>
      <c r="N73" s="32">
        <v>1.8156573835628624</v>
      </c>
      <c r="O73" s="32">
        <v>1.8130781123729549</v>
      </c>
      <c r="P73" s="32">
        <v>11.632873296385332</v>
      </c>
      <c r="Q73" s="32">
        <v>13.822749735595126</v>
      </c>
      <c r="R73" s="32">
        <v>4.0303872285760063</v>
      </c>
      <c r="S73" s="32">
        <v>28.908314358128138</v>
      </c>
      <c r="T73" s="31">
        <v>0.17415504658831088</v>
      </c>
      <c r="U73" s="31">
        <v>6.25565357934217E-2</v>
      </c>
      <c r="V73" s="31">
        <v>9.2151064103531105E-2</v>
      </c>
      <c r="W73" s="31">
        <v>1.0375036244575058</v>
      </c>
      <c r="X73" s="31">
        <v>0.25451622985825711</v>
      </c>
      <c r="Y73" s="31">
        <v>0.25220531066727753</v>
      </c>
      <c r="Z73" s="31">
        <v>0.25220531066727747</v>
      </c>
      <c r="AA73" s="65">
        <v>0.121685531334811</v>
      </c>
    </row>
    <row r="74" spans="1:27" s="11" customFormat="1">
      <c r="A74" s="29" t="s">
        <v>152</v>
      </c>
      <c r="B74" s="30">
        <v>26</v>
      </c>
      <c r="C74" s="31">
        <v>0.18063052631578944</v>
      </c>
      <c r="D74" s="31">
        <v>4.4133968058007046E-2</v>
      </c>
      <c r="E74" s="31">
        <v>9.8929938052508604E-2</v>
      </c>
      <c r="F74" s="31">
        <v>0.21721237165566823</v>
      </c>
      <c r="G74" s="32">
        <v>1.1710629087177289</v>
      </c>
      <c r="H74" s="32">
        <v>1.2466770513434235</v>
      </c>
      <c r="I74" s="31">
        <v>9.6147144361797485E-2</v>
      </c>
      <c r="J74" s="31">
        <v>0.38283198873816127</v>
      </c>
      <c r="K74" s="31">
        <v>5.0854999999999997E-2</v>
      </c>
      <c r="L74" s="31">
        <v>0.1183525185747442</v>
      </c>
      <c r="M74" s="31">
        <v>8.9282000671898204E-2</v>
      </c>
      <c r="N74" s="32">
        <v>2.411559428998697</v>
      </c>
      <c r="O74" s="32">
        <v>1.5688483400026725</v>
      </c>
      <c r="P74" s="32">
        <v>16.631295752592539</v>
      </c>
      <c r="Q74" s="32">
        <v>38.46582980994355</v>
      </c>
      <c r="R74" s="32">
        <v>7.2422855039301099</v>
      </c>
      <c r="S74" s="32">
        <v>29.844016342968811</v>
      </c>
      <c r="T74" s="31">
        <v>7.6876136239185482E-3</v>
      </c>
      <c r="U74" s="31">
        <v>5.2009664806773569E-2</v>
      </c>
      <c r="V74" s="31">
        <v>2.2820227937652104E-2</v>
      </c>
      <c r="W74" s="31">
        <v>0.79447833647214905</v>
      </c>
      <c r="X74" s="31">
        <v>0.1955014547502191</v>
      </c>
      <c r="Y74" s="31">
        <v>0.21744723060022958</v>
      </c>
      <c r="Z74" s="31">
        <v>0.21744723060022952</v>
      </c>
      <c r="AA74" s="65">
        <v>4.6967034911053938E-2</v>
      </c>
    </row>
    <row r="75" spans="1:27" s="11" customFormat="1">
      <c r="A75" s="29" t="s">
        <v>153</v>
      </c>
      <c r="B75" s="30">
        <v>14</v>
      </c>
      <c r="C75" s="31">
        <v>6.5912499999999999E-2</v>
      </c>
      <c r="D75" s="31">
        <v>2.4225596853965255E-2</v>
      </c>
      <c r="E75" s="31">
        <v>0.10989245466725754</v>
      </c>
      <c r="F75" s="31">
        <v>0.22911929074099627</v>
      </c>
      <c r="G75" s="32">
        <v>0.36476114906597701</v>
      </c>
      <c r="H75" s="32">
        <v>0.49360805956180459</v>
      </c>
      <c r="I75" s="31">
        <v>6.1505970739843013E-2</v>
      </c>
      <c r="J75" s="31">
        <v>0.25647926947712857</v>
      </c>
      <c r="K75" s="31">
        <v>5.0854999999999997E-2</v>
      </c>
      <c r="L75" s="31">
        <v>0.35831710070912415</v>
      </c>
      <c r="M75" s="31">
        <v>5.3133991745464119E-2</v>
      </c>
      <c r="N75" s="32">
        <v>4.7564463793562597</v>
      </c>
      <c r="O75" s="32">
        <v>0.41252131113329121</v>
      </c>
      <c r="P75" s="32">
        <v>6.3798048221013888</v>
      </c>
      <c r="Q75" s="32">
        <v>19.804920951092498</v>
      </c>
      <c r="R75" s="32">
        <v>2.903171334143174</v>
      </c>
      <c r="S75" s="32">
        <v>16.757683247241964</v>
      </c>
      <c r="T75" s="31">
        <v>-2.4323899281002599E-3</v>
      </c>
      <c r="U75" s="31">
        <v>2.6633515324994268E-2</v>
      </c>
      <c r="V75" s="31">
        <v>1.326060238245387E-2</v>
      </c>
      <c r="W75" s="31">
        <v>1.1428223096616057</v>
      </c>
      <c r="X75" s="31">
        <v>0.14777603490447422</v>
      </c>
      <c r="Y75" s="31">
        <v>0.36924015550657879</v>
      </c>
      <c r="Z75" s="31">
        <v>0.36924015550657874</v>
      </c>
      <c r="AA75" s="65">
        <v>2.6473632076435664E-2</v>
      </c>
    </row>
    <row r="76" spans="1:27" s="11" customFormat="1">
      <c r="A76" s="29" t="s">
        <v>462</v>
      </c>
      <c r="B76" s="30">
        <v>28</v>
      </c>
      <c r="C76" s="31">
        <v>4.1101851851851841E-2</v>
      </c>
      <c r="D76" s="31">
        <v>0.36745097043843167</v>
      </c>
      <c r="E76" s="31">
        <v>4.458562834006221E-2</v>
      </c>
      <c r="F76" s="31">
        <v>4.2019303588884428E-2</v>
      </c>
      <c r="G76" s="32">
        <v>0.78667470190348754</v>
      </c>
      <c r="H76" s="32">
        <v>1.1208677660313939</v>
      </c>
      <c r="I76" s="31">
        <v>9.0359917237444118E-2</v>
      </c>
      <c r="J76" s="31">
        <v>0.20718002005434216</v>
      </c>
      <c r="K76" s="31">
        <v>4.5043E-2</v>
      </c>
      <c r="L76" s="31">
        <v>0.37042376508860575</v>
      </c>
      <c r="M76" s="31">
        <v>6.9402204719419811E-2</v>
      </c>
      <c r="N76" s="32">
        <v>0.13065981426778428</v>
      </c>
      <c r="O76" s="32">
        <v>12.151988991799444</v>
      </c>
      <c r="P76" s="32">
        <v>17.431873861346652</v>
      </c>
      <c r="Q76" s="32">
        <v>34.711010000762485</v>
      </c>
      <c r="R76" s="32">
        <v>1.9356719923817578</v>
      </c>
      <c r="S76" s="32">
        <v>74.090504225084899</v>
      </c>
      <c r="T76" s="31">
        <v>-9.8708986919809769E-2</v>
      </c>
      <c r="U76" s="31">
        <v>5.1678638509569011E-2</v>
      </c>
      <c r="V76" s="31">
        <v>-0.26525961554732042</v>
      </c>
      <c r="W76" s="31">
        <v>-0.81803643279498717</v>
      </c>
      <c r="X76" s="31">
        <v>6.523063162826355E-2</v>
      </c>
      <c r="Y76" s="31">
        <v>1.5557235045106812</v>
      </c>
      <c r="Z76" s="31">
        <v>1.5557235045106812</v>
      </c>
      <c r="AA76" s="65">
        <v>0.35009709985829468</v>
      </c>
    </row>
    <row r="77" spans="1:27" s="11" customFormat="1">
      <c r="A77" s="29" t="s">
        <v>154</v>
      </c>
      <c r="B77" s="30">
        <v>105</v>
      </c>
      <c r="C77" s="31">
        <v>0.12071967741935487</v>
      </c>
      <c r="D77" s="31">
        <v>4.6172630818204483E-2</v>
      </c>
      <c r="E77" s="31">
        <v>0.13499345989584943</v>
      </c>
      <c r="F77" s="31">
        <v>0.24714983147031147</v>
      </c>
      <c r="G77" s="32">
        <v>0.97306921831208426</v>
      </c>
      <c r="H77" s="32">
        <v>1.1814057462278666</v>
      </c>
      <c r="I77" s="31">
        <v>9.3144664326481857E-2</v>
      </c>
      <c r="J77" s="31">
        <v>0.44007853687551313</v>
      </c>
      <c r="K77" s="31">
        <v>5.0854999999999997E-2</v>
      </c>
      <c r="L77" s="31">
        <v>0.26552004840016741</v>
      </c>
      <c r="M77" s="31">
        <v>7.8540155092339942E-2</v>
      </c>
      <c r="N77" s="32">
        <v>3.1090000638677036</v>
      </c>
      <c r="O77" s="32">
        <v>0.98357084492498503</v>
      </c>
      <c r="P77" s="32">
        <v>9.3415485589048952</v>
      </c>
      <c r="Q77" s="32">
        <v>20.317569846397642</v>
      </c>
      <c r="R77" s="32">
        <v>4.7786065628780694</v>
      </c>
      <c r="S77" s="32">
        <v>48.788376528460567</v>
      </c>
      <c r="T77" s="31">
        <v>5.0599261894710514E-2</v>
      </c>
      <c r="U77" s="31">
        <v>2.5889269223510269E-2</v>
      </c>
      <c r="V77" s="31">
        <v>2.6622349307585433E-2</v>
      </c>
      <c r="W77" s="31">
        <v>0.55230156249920015</v>
      </c>
      <c r="X77" s="31">
        <v>9.6438784183108986E-2</v>
      </c>
      <c r="Y77" s="31">
        <v>0.8704265485497078</v>
      </c>
      <c r="Z77" s="31">
        <v>0.8704265485497078</v>
      </c>
      <c r="AA77" s="65">
        <v>4.7981611326379597E-2</v>
      </c>
    </row>
    <row r="78" spans="1:27" s="11" customFormat="1">
      <c r="A78" s="29" t="s">
        <v>155</v>
      </c>
      <c r="B78" s="30">
        <v>3</v>
      </c>
      <c r="C78" s="31">
        <v>9.0200000000000002E-2</v>
      </c>
      <c r="D78" s="31">
        <v>1.8445123448906007E-2</v>
      </c>
      <c r="E78" s="31">
        <v>3.124092719979871E-2</v>
      </c>
      <c r="F78" s="31" t="e">
        <v>#DIV/0!</v>
      </c>
      <c r="G78" s="32">
        <v>0.26316933125019143</v>
      </c>
      <c r="H78" s="32">
        <v>0.67451976956750803</v>
      </c>
      <c r="I78" s="31">
        <v>6.9827909400105373E-2</v>
      </c>
      <c r="J78" s="31">
        <v>0.40772526552560179</v>
      </c>
      <c r="K78" s="31">
        <v>5.0854999999999997E-2</v>
      </c>
      <c r="L78" s="31">
        <v>0.70174055335879415</v>
      </c>
      <c r="M78" s="31">
        <v>4.7592095498583793E-2</v>
      </c>
      <c r="N78" s="32">
        <v>1.4484047693844369</v>
      </c>
      <c r="O78" s="32">
        <v>0.62828691748081245</v>
      </c>
      <c r="P78" s="32">
        <v>7.9475865714228098</v>
      </c>
      <c r="Q78" s="32">
        <v>29.777572649378406</v>
      </c>
      <c r="R78" s="32">
        <v>0.78946449471402003</v>
      </c>
      <c r="S78" s="32" t="e">
        <v>#DIV/0!</v>
      </c>
      <c r="T78" s="31">
        <v>0.10694212196535768</v>
      </c>
      <c r="U78" s="31">
        <v>5.4186799367281373E-2</v>
      </c>
      <c r="V78" s="31">
        <v>7.0628985193991103E-3</v>
      </c>
      <c r="W78" s="31">
        <v>-0.32002680606024081</v>
      </c>
      <c r="X78" s="31">
        <v>-9.9980552314274607E-2</v>
      </c>
      <c r="Y78" s="31" t="e">
        <v>#DIV/0!</v>
      </c>
      <c r="Z78" s="31" t="e">
        <v>#DIV/0!</v>
      </c>
      <c r="AA78" s="65">
        <v>2.1569196581060632E-2</v>
      </c>
    </row>
    <row r="79" spans="1:27" s="11" customFormat="1">
      <c r="A79" s="29" t="s">
        <v>156</v>
      </c>
      <c r="B79" s="30">
        <v>63</v>
      </c>
      <c r="C79" s="31">
        <v>6.4411627906976743E-2</v>
      </c>
      <c r="D79" s="31">
        <v>0.19711975635060902</v>
      </c>
      <c r="E79" s="31">
        <v>0.11368358391768708</v>
      </c>
      <c r="F79" s="31">
        <v>9.3092670508339401E-2</v>
      </c>
      <c r="G79" s="32">
        <v>1.460244593924559</v>
      </c>
      <c r="H79" s="32">
        <v>1.4952411850835359</v>
      </c>
      <c r="I79" s="31">
        <v>0.10758109451384265</v>
      </c>
      <c r="J79" s="31">
        <v>0.4147143445700453</v>
      </c>
      <c r="K79" s="31">
        <v>5.0854999999999997E-2</v>
      </c>
      <c r="L79" s="31">
        <v>5.7008102947212459E-2</v>
      </c>
      <c r="M79" s="31">
        <v>0.10362246070915908</v>
      </c>
      <c r="N79" s="32">
        <v>0.58072920923018134</v>
      </c>
      <c r="O79" s="32">
        <v>10.596722932093094</v>
      </c>
      <c r="P79" s="32">
        <v>31.594447138361602</v>
      </c>
      <c r="Q79" s="32">
        <v>53.315004182229046</v>
      </c>
      <c r="R79" s="32">
        <v>7.38179145503603</v>
      </c>
      <c r="S79" s="32">
        <v>82.75051639049542</v>
      </c>
      <c r="T79" s="31">
        <v>0.22403022878237655</v>
      </c>
      <c r="U79" s="31">
        <v>0.1700086447636025</v>
      </c>
      <c r="V79" s="31">
        <v>6.8986975778472778E-2</v>
      </c>
      <c r="W79" s="31">
        <v>0.49863224477303802</v>
      </c>
      <c r="X79" s="31">
        <v>0.12611876313091647</v>
      </c>
      <c r="Y79" s="31">
        <v>0.48873979408723345</v>
      </c>
      <c r="Z79" s="31">
        <v>0.48873979408723345</v>
      </c>
      <c r="AA79" s="65">
        <v>0.2053985135441381</v>
      </c>
    </row>
    <row r="80" spans="1:27" s="11" customFormat="1">
      <c r="A80" s="29" t="s">
        <v>157</v>
      </c>
      <c r="B80" s="30">
        <v>30</v>
      </c>
      <c r="C80" s="31">
        <v>9.9257499999999985E-2</v>
      </c>
      <c r="D80" s="31">
        <v>0.24186751386172409</v>
      </c>
      <c r="E80" s="31">
        <v>0.25683632466511935</v>
      </c>
      <c r="F80" s="31">
        <v>0.12268560712932465</v>
      </c>
      <c r="G80" s="32">
        <v>1.5077650793777069</v>
      </c>
      <c r="H80" s="32">
        <v>1.5279822074255314</v>
      </c>
      <c r="I80" s="31">
        <v>0.10908718154157444</v>
      </c>
      <c r="J80" s="31">
        <v>0.37040142988651292</v>
      </c>
      <c r="K80" s="31">
        <v>5.0854999999999997E-2</v>
      </c>
      <c r="L80" s="31">
        <v>7.2165763925439705E-2</v>
      </c>
      <c r="M80" s="31">
        <v>0.10396731419447477</v>
      </c>
      <c r="N80" s="32">
        <v>1.1649954029158387</v>
      </c>
      <c r="O80" s="32">
        <v>5.2442581732157283</v>
      </c>
      <c r="P80" s="32">
        <v>18.178195157648474</v>
      </c>
      <c r="Q80" s="32">
        <v>21.529732735448246</v>
      </c>
      <c r="R80" s="32">
        <v>8.1009758909034115</v>
      </c>
      <c r="S80" s="32">
        <v>163.51842013025154</v>
      </c>
      <c r="T80" s="31">
        <v>0.34562808268522127</v>
      </c>
      <c r="U80" s="31">
        <v>5.0796555474868554E-2</v>
      </c>
      <c r="V80" s="31">
        <v>2.6035463292282256E-2</v>
      </c>
      <c r="W80" s="31">
        <v>0.13881169088914808</v>
      </c>
      <c r="X80" s="31">
        <v>0.3289066823779071</v>
      </c>
      <c r="Y80" s="31">
        <v>0.20089988720666727</v>
      </c>
      <c r="Z80" s="31">
        <v>0.20089988720666729</v>
      </c>
      <c r="AA80" s="65">
        <v>0.25001236423819828</v>
      </c>
    </row>
    <row r="81" spans="1:27" s="11" customFormat="1">
      <c r="A81" s="29" t="s">
        <v>158</v>
      </c>
      <c r="B81" s="30">
        <v>8</v>
      </c>
      <c r="C81" s="31">
        <v>-6.8033333333333348E-3</v>
      </c>
      <c r="D81" s="31">
        <v>0.10650740465993001</v>
      </c>
      <c r="E81" s="31">
        <v>9.2351394997663441E-2</v>
      </c>
      <c r="F81" s="31">
        <v>0.18850960892353175</v>
      </c>
      <c r="G81" s="32">
        <v>0.68659497205240805</v>
      </c>
      <c r="H81" s="32">
        <v>0.81083614181090768</v>
      </c>
      <c r="I81" s="31">
        <v>7.6098462523301755E-2</v>
      </c>
      <c r="J81" s="31">
        <v>0.45074724706930092</v>
      </c>
      <c r="K81" s="31">
        <v>5.0854999999999997E-2</v>
      </c>
      <c r="L81" s="31">
        <v>0.22942151889413903</v>
      </c>
      <c r="M81" s="31">
        <v>6.7390261173218224E-2</v>
      </c>
      <c r="N81" s="32">
        <v>0.82933963708877079</v>
      </c>
      <c r="O81" s="32">
        <v>1.7047396816839095</v>
      </c>
      <c r="P81" s="32">
        <v>8.384720595362964</v>
      </c>
      <c r="Q81" s="32">
        <v>14.228088437354392</v>
      </c>
      <c r="R81" s="32">
        <v>1.3642629613319885</v>
      </c>
      <c r="S81" s="32">
        <v>24.757087703228514</v>
      </c>
      <c r="T81" s="31">
        <v>0.11299865486721869</v>
      </c>
      <c r="U81" s="31">
        <v>0.10241614888029281</v>
      </c>
      <c r="V81" s="31">
        <v>4.0299197608605203E-2</v>
      </c>
      <c r="W81" s="31">
        <v>0.50270712026329756</v>
      </c>
      <c r="X81" s="31">
        <v>7.817317702121597E-2</v>
      </c>
      <c r="Y81" s="31">
        <v>0.29337528524998274</v>
      </c>
      <c r="Z81" s="31">
        <v>0.29337528524998269</v>
      </c>
      <c r="AA81" s="65">
        <v>0.11940027650657051</v>
      </c>
    </row>
    <row r="82" spans="1:27" s="11" customFormat="1">
      <c r="A82" s="29" t="s">
        <v>159</v>
      </c>
      <c r="B82" s="30">
        <v>13</v>
      </c>
      <c r="C82" s="31">
        <v>0.11491250000000001</v>
      </c>
      <c r="D82" s="31">
        <v>0.12199139215361694</v>
      </c>
      <c r="E82" s="31">
        <v>0.24043080830071734</v>
      </c>
      <c r="F82" s="31">
        <v>0.1746054567339842</v>
      </c>
      <c r="G82" s="32">
        <v>1.2730955389810585</v>
      </c>
      <c r="H82" s="32">
        <v>1.2915789442240697</v>
      </c>
      <c r="I82" s="31">
        <v>9.821263143430721E-2</v>
      </c>
      <c r="J82" s="31">
        <v>0.36279908890119261</v>
      </c>
      <c r="K82" s="31">
        <v>5.0854999999999997E-2</v>
      </c>
      <c r="L82" s="31">
        <v>8.0114408003915991E-2</v>
      </c>
      <c r="M82" s="31">
        <v>9.3400048272720262E-2</v>
      </c>
      <c r="N82" s="32">
        <v>2.2253944893651223</v>
      </c>
      <c r="O82" s="32">
        <v>2.8863044842694969</v>
      </c>
      <c r="P82" s="32">
        <v>18.953733947779405</v>
      </c>
      <c r="Q82" s="32">
        <v>23.682872304836216</v>
      </c>
      <c r="R82" s="32">
        <v>8.7107690650024558</v>
      </c>
      <c r="S82" s="32">
        <v>19.768872194714948</v>
      </c>
      <c r="T82" s="31">
        <v>0.19614445731942837</v>
      </c>
      <c r="U82" s="31">
        <v>8.5762704850190375E-3</v>
      </c>
      <c r="V82" s="31">
        <v>-5.2012497930805967E-3</v>
      </c>
      <c r="W82" s="31">
        <v>-0.20182594713277416</v>
      </c>
      <c r="X82" s="31">
        <v>0.29903214866474775</v>
      </c>
      <c r="Y82" s="31">
        <v>0.32261310697398488</v>
      </c>
      <c r="Z82" s="31">
        <v>0.32261310697398482</v>
      </c>
      <c r="AA82" s="65">
        <v>0.12180719617705567</v>
      </c>
    </row>
    <row r="83" spans="1:27" s="11" customFormat="1">
      <c r="A83" s="29" t="s">
        <v>203</v>
      </c>
      <c r="B83" s="30">
        <v>84</v>
      </c>
      <c r="C83" s="31">
        <v>0.17412533333333333</v>
      </c>
      <c r="D83" s="31">
        <v>0.2680484859792075</v>
      </c>
      <c r="E83" s="31">
        <v>0.19944873406255512</v>
      </c>
      <c r="F83" s="31">
        <v>0.16568125122952723</v>
      </c>
      <c r="G83" s="32">
        <v>1.1136804709373258</v>
      </c>
      <c r="H83" s="32">
        <v>1.1083305740238332</v>
      </c>
      <c r="I83" s="31">
        <v>8.9783206405096322E-2</v>
      </c>
      <c r="J83" s="31">
        <v>0.52789322078229139</v>
      </c>
      <c r="K83" s="31">
        <v>5.3524000000000002E-2</v>
      </c>
      <c r="L83" s="31">
        <v>3.0561494934367585E-2</v>
      </c>
      <c r="M83" s="31">
        <v>8.8266127488506013E-2</v>
      </c>
      <c r="N83" s="32">
        <v>0.74384849848531331</v>
      </c>
      <c r="O83" s="32">
        <v>6.0250177191083116</v>
      </c>
      <c r="P83" s="32">
        <v>17.157815859353224</v>
      </c>
      <c r="Q83" s="32">
        <v>22.221744412094619</v>
      </c>
      <c r="R83" s="32">
        <v>6.2430547316243272</v>
      </c>
      <c r="S83" s="32">
        <v>30.818070198150206</v>
      </c>
      <c r="T83" s="31">
        <v>4.7763247678820571E-2</v>
      </c>
      <c r="U83" s="31">
        <v>0.12672459193901217</v>
      </c>
      <c r="V83" s="31">
        <v>8.7039144070400018E-2</v>
      </c>
      <c r="W83" s="31">
        <v>0.46794430766934031</v>
      </c>
      <c r="X83" s="31">
        <v>0.2325593855621183</v>
      </c>
      <c r="Y83" s="31">
        <v>2.5063968697220758E-3</v>
      </c>
      <c r="Z83" s="31">
        <v>2.506396869722094E-3</v>
      </c>
      <c r="AA83" s="65">
        <v>0.28167769393149628</v>
      </c>
    </row>
    <row r="84" spans="1:27" s="11" customFormat="1">
      <c r="A84" s="29" t="s">
        <v>204</v>
      </c>
      <c r="B84" s="30">
        <v>35</v>
      </c>
      <c r="C84" s="31">
        <v>0.22244545454545456</v>
      </c>
      <c r="D84" s="31">
        <v>-3.3594816570468533E-2</v>
      </c>
      <c r="E84" s="31">
        <v>-4.8109532624457758E-3</v>
      </c>
      <c r="F84" s="31">
        <v>0.17878408264897386</v>
      </c>
      <c r="G84" s="32">
        <v>1.5117563379021286</v>
      </c>
      <c r="H84" s="32">
        <v>1.6160843271745926</v>
      </c>
      <c r="I84" s="31">
        <v>0.11313987905003126</v>
      </c>
      <c r="J84" s="31">
        <v>0.65221602599035</v>
      </c>
      <c r="K84" s="31">
        <v>6.0879000000000003E-2</v>
      </c>
      <c r="L84" s="31">
        <v>0.10698653549795539</v>
      </c>
      <c r="M84" s="31">
        <v>0.10592036033474572</v>
      </c>
      <c r="N84" s="32">
        <v>0.63612335565638134</v>
      </c>
      <c r="O84" s="32">
        <v>8.3828736851725534</v>
      </c>
      <c r="P84" s="32">
        <v>19.329878727497675</v>
      </c>
      <c r="Q84" s="32" t="s">
        <v>169</v>
      </c>
      <c r="R84" s="32">
        <v>9.0021141302291596</v>
      </c>
      <c r="S84" s="32">
        <v>35.177442964143594</v>
      </c>
      <c r="T84" s="31">
        <v>9.6695754393934422E-2</v>
      </c>
      <c r="U84" s="31">
        <v>5.5778077921357368E-2</v>
      </c>
      <c r="V84" s="31">
        <v>2.8310083379424048E-2</v>
      </c>
      <c r="W84" s="31" t="s">
        <v>169</v>
      </c>
      <c r="X84" s="31">
        <v>-0.14540651129197349</v>
      </c>
      <c r="Y84" s="31">
        <v>0</v>
      </c>
      <c r="Z84" s="31">
        <v>0</v>
      </c>
      <c r="AA84" s="65">
        <v>-8.317507436808912E-3</v>
      </c>
    </row>
    <row r="85" spans="1:27" s="11" customFormat="1">
      <c r="A85" s="29" t="s">
        <v>205</v>
      </c>
      <c r="B85" s="30">
        <v>351</v>
      </c>
      <c r="C85" s="31">
        <v>0.15903337837837828</v>
      </c>
      <c r="D85" s="31">
        <v>0.25298655593299035</v>
      </c>
      <c r="E85" s="31">
        <v>0.23224389866710615</v>
      </c>
      <c r="F85" s="31">
        <v>0.17853261761729111</v>
      </c>
      <c r="G85" s="32">
        <v>1.2724589938133573</v>
      </c>
      <c r="H85" s="32">
        <v>1.2939647291542515</v>
      </c>
      <c r="I85" s="31">
        <v>9.8322377541095574E-2</v>
      </c>
      <c r="J85" s="31">
        <v>0.52086489824807281</v>
      </c>
      <c r="K85" s="31">
        <v>5.3524000000000002E-2</v>
      </c>
      <c r="L85" s="31">
        <v>5.8413380196434328E-2</v>
      </c>
      <c r="M85" s="31">
        <v>9.4923923441195657E-2</v>
      </c>
      <c r="N85" s="32">
        <v>0.920355645703261</v>
      </c>
      <c r="O85" s="32">
        <v>10.72155166283089</v>
      </c>
      <c r="P85" s="32">
        <v>28.433138742544646</v>
      </c>
      <c r="Q85" s="32">
        <v>39.481990904188763</v>
      </c>
      <c r="R85" s="32">
        <v>11.028707841031288</v>
      </c>
      <c r="S85" s="32">
        <v>88.724572948822384</v>
      </c>
      <c r="T85" s="31">
        <v>0.11204452658660199</v>
      </c>
      <c r="U85" s="31">
        <v>8.6746410149798295E-2</v>
      </c>
      <c r="V85" s="31">
        <v>5.9162106791780016E-2</v>
      </c>
      <c r="W85" s="31">
        <v>0.36380231425923271</v>
      </c>
      <c r="X85" s="31">
        <v>0.24441835382299518</v>
      </c>
      <c r="Y85" s="31">
        <v>0.27220590606666156</v>
      </c>
      <c r="Z85" s="31">
        <v>0.27220590606666151</v>
      </c>
      <c r="AA85" s="65">
        <v>0.26295961897308368</v>
      </c>
    </row>
    <row r="86" spans="1:27" s="11" customFormat="1">
      <c r="A86" s="29" t="s">
        <v>160</v>
      </c>
      <c r="B86" s="30">
        <v>29</v>
      </c>
      <c r="C86" s="31">
        <v>7.8733200000000003E-2</v>
      </c>
      <c r="D86" s="31">
        <v>0.12104448776971048</v>
      </c>
      <c r="E86" s="31">
        <v>0.22180836333570431</v>
      </c>
      <c r="F86" s="31">
        <v>0.19962963225553462</v>
      </c>
      <c r="G86" s="32">
        <v>1.0774711199709137</v>
      </c>
      <c r="H86" s="32">
        <v>1.126371725263511</v>
      </c>
      <c r="I86" s="31">
        <v>9.0613099362121502E-2</v>
      </c>
      <c r="J86" s="31">
        <v>0.38102205031992209</v>
      </c>
      <c r="K86" s="31">
        <v>5.0854999999999997E-2</v>
      </c>
      <c r="L86" s="31">
        <v>0.16794349418739729</v>
      </c>
      <c r="M86" s="31">
        <v>8.1800793633772059E-2</v>
      </c>
      <c r="N86" s="32">
        <v>2.1668462373578015</v>
      </c>
      <c r="O86" s="32">
        <v>0.94134699426736168</v>
      </c>
      <c r="P86" s="32">
        <v>5.9315455318515609</v>
      </c>
      <c r="Q86" s="32">
        <v>7.7262015562222341</v>
      </c>
      <c r="R86" s="32">
        <v>1.7639737558457758</v>
      </c>
      <c r="S86" s="32">
        <v>14.541699757518971</v>
      </c>
      <c r="T86" s="31">
        <v>0.19023869959969508</v>
      </c>
      <c r="U86" s="31">
        <v>6.2015491060735908E-2</v>
      </c>
      <c r="V86" s="31">
        <v>4.2105106814159125E-2</v>
      </c>
      <c r="W86" s="31">
        <v>0.15698783414294129</v>
      </c>
      <c r="X86" s="31">
        <v>0.22194709191501236</v>
      </c>
      <c r="Y86" s="31">
        <v>0.12471207785733139</v>
      </c>
      <c r="Z86" s="31">
        <v>0.1247120778573314</v>
      </c>
      <c r="AA86" s="65">
        <v>0.12145781664117886</v>
      </c>
    </row>
    <row r="87" spans="1:27" s="11" customFormat="1">
      <c r="A87" s="29" t="s">
        <v>161</v>
      </c>
      <c r="B87" s="30">
        <v>13</v>
      </c>
      <c r="C87" s="31">
        <v>9.2977142857142869E-2</v>
      </c>
      <c r="D87" s="31">
        <v>0.16792801039724245</v>
      </c>
      <c r="E87" s="31">
        <v>6.5483784250289209E-2</v>
      </c>
      <c r="F87" s="31">
        <v>0.24652434855276151</v>
      </c>
      <c r="G87" s="32">
        <v>0.74731171905548888</v>
      </c>
      <c r="H87" s="32">
        <v>1.087361359035153</v>
      </c>
      <c r="I87" s="31">
        <v>8.8818622515617035E-2</v>
      </c>
      <c r="J87" s="31">
        <v>0.60305869412683921</v>
      </c>
      <c r="K87" s="31">
        <v>5.3524000000000002E-2</v>
      </c>
      <c r="L87" s="31">
        <v>0.39084318118198752</v>
      </c>
      <c r="M87" s="31">
        <v>6.9794087365599694E-2</v>
      </c>
      <c r="N87" s="32">
        <v>0.48441213485617451</v>
      </c>
      <c r="O87" s="32">
        <v>3.5147101609842721</v>
      </c>
      <c r="P87" s="32">
        <v>9.0095138936051899</v>
      </c>
      <c r="Q87" s="32">
        <v>23.512660928635778</v>
      </c>
      <c r="R87" s="32">
        <v>2.5322480033466408</v>
      </c>
      <c r="S87" s="32">
        <v>67.853832930042557</v>
      </c>
      <c r="T87" s="31">
        <v>6.2680578629146194E-2</v>
      </c>
      <c r="U87" s="31">
        <v>0.15310947618240378</v>
      </c>
      <c r="V87" s="31">
        <v>-2.9960671300220164E-3</v>
      </c>
      <c r="W87" s="31">
        <v>0.5510450483030811</v>
      </c>
      <c r="X87" s="31">
        <v>9.7395977513905455E-2</v>
      </c>
      <c r="Y87" s="31">
        <v>0.1104528008925427</v>
      </c>
      <c r="Z87" s="31">
        <v>0.11045280089254272</v>
      </c>
      <c r="AA87" s="65">
        <v>0.14947762311195489</v>
      </c>
    </row>
    <row r="88" spans="1:27" s="11" customFormat="1">
      <c r="A88" s="29" t="s">
        <v>162</v>
      </c>
      <c r="B88" s="30">
        <v>66</v>
      </c>
      <c r="C88" s="31">
        <v>9.6164489795918393E-2</v>
      </c>
      <c r="D88" s="31">
        <v>0.19578373512751376</v>
      </c>
      <c r="E88" s="31">
        <v>0.28182161892742891</v>
      </c>
      <c r="F88" s="31">
        <v>0.16906478200018579</v>
      </c>
      <c r="G88" s="32">
        <v>1.0456479852653771</v>
      </c>
      <c r="H88" s="32">
        <v>1.0805072059156025</v>
      </c>
      <c r="I88" s="31">
        <v>8.8503331472117711E-2</v>
      </c>
      <c r="J88" s="31">
        <v>0.46622145090064521</v>
      </c>
      <c r="K88" s="31">
        <v>5.0854999999999997E-2</v>
      </c>
      <c r="L88" s="31">
        <v>0.10245104955940504</v>
      </c>
      <c r="M88" s="31">
        <v>8.3343683367302981E-2</v>
      </c>
      <c r="N88" s="32">
        <v>1.4464269754607526</v>
      </c>
      <c r="O88" s="32">
        <v>3.6067814997742809</v>
      </c>
      <c r="P88" s="32">
        <v>13.979069158223247</v>
      </c>
      <c r="Q88" s="32">
        <v>17.645248189217565</v>
      </c>
      <c r="R88" s="32">
        <v>5.1449679404665405</v>
      </c>
      <c r="S88" s="32">
        <v>70.491276901112826</v>
      </c>
      <c r="T88" s="31">
        <v>0.23092380701323104</v>
      </c>
      <c r="U88" s="31">
        <v>2.7789568604778662E-2</v>
      </c>
      <c r="V88" s="31">
        <v>3.9799623411255383E-2</v>
      </c>
      <c r="W88" s="31">
        <v>0.36669384113949066</v>
      </c>
      <c r="X88" s="31">
        <v>0.24550541459231559</v>
      </c>
      <c r="Y88" s="31">
        <v>0.46084832909856577</v>
      </c>
      <c r="Z88" s="31">
        <v>0.46084832909856577</v>
      </c>
      <c r="AA88" s="65">
        <v>0.2071352516666671</v>
      </c>
    </row>
    <row r="89" spans="1:27" s="11" customFormat="1">
      <c r="A89" s="29" t="s">
        <v>163</v>
      </c>
      <c r="B89" s="30">
        <v>42</v>
      </c>
      <c r="C89" s="31">
        <v>0.13169956521739129</v>
      </c>
      <c r="D89" s="31">
        <v>0.20861578998360361</v>
      </c>
      <c r="E89" s="31">
        <v>0.11796482606061286</v>
      </c>
      <c r="F89" s="31">
        <v>0.21774220884735582</v>
      </c>
      <c r="G89" s="32">
        <v>0.4141115560097563</v>
      </c>
      <c r="H89" s="32">
        <v>0.78450471128722188</v>
      </c>
      <c r="I89" s="31">
        <v>7.488721671921221E-2</v>
      </c>
      <c r="J89" s="31">
        <v>0.50416714350221437</v>
      </c>
      <c r="K89" s="31">
        <v>5.3524000000000002E-2</v>
      </c>
      <c r="L89" s="31">
        <v>0.55538379015988704</v>
      </c>
      <c r="M89" s="31">
        <v>5.5590841951559611E-2</v>
      </c>
      <c r="N89" s="32">
        <v>0.60200337910623192</v>
      </c>
      <c r="O89" s="32">
        <v>2.3574881101650598</v>
      </c>
      <c r="P89" s="32">
        <v>6.178012041794295</v>
      </c>
      <c r="Q89" s="32">
        <v>11.212869716340027</v>
      </c>
      <c r="R89" s="32">
        <v>1.2986532244972615</v>
      </c>
      <c r="S89" s="32">
        <v>77.102401245701245</v>
      </c>
      <c r="T89" s="31">
        <v>-3.2235361652479422E-2</v>
      </c>
      <c r="U89" s="31">
        <v>0.16715169820304818</v>
      </c>
      <c r="V89" s="31">
        <v>2.4292121675182632E-2</v>
      </c>
      <c r="W89" s="31">
        <v>0.20122305244722491</v>
      </c>
      <c r="X89" s="31">
        <v>-3.4470942023052953E-3</v>
      </c>
      <c r="Y89" s="31">
        <v>1.6337690728598522E-3</v>
      </c>
      <c r="Z89" s="31">
        <v>1.6337690728598364E-3</v>
      </c>
      <c r="AA89" s="65">
        <v>0.20983808679246463</v>
      </c>
    </row>
    <row r="90" spans="1:27" s="11" customFormat="1">
      <c r="A90" s="29" t="s">
        <v>164</v>
      </c>
      <c r="B90" s="30">
        <v>16</v>
      </c>
      <c r="C90" s="31">
        <v>0.34968888888888894</v>
      </c>
      <c r="D90" s="31">
        <v>0.40818350646510609</v>
      </c>
      <c r="E90" s="31">
        <v>0.80360559936791442</v>
      </c>
      <c r="F90" s="31">
        <v>0.21139682210925856</v>
      </c>
      <c r="G90" s="32">
        <v>0.98708022501489956</v>
      </c>
      <c r="H90" s="32">
        <v>1.2232908278447494</v>
      </c>
      <c r="I90" s="31">
        <v>9.5071378080858471E-2</v>
      </c>
      <c r="J90" s="31">
        <v>0.4800026780389306</v>
      </c>
      <c r="K90" s="31">
        <v>5.0854999999999997E-2</v>
      </c>
      <c r="L90" s="31">
        <v>0.25873063108247973</v>
      </c>
      <c r="M90" s="31">
        <v>8.0341810114891568E-2</v>
      </c>
      <c r="N90" s="32">
        <v>2.1763696274457001</v>
      </c>
      <c r="O90" s="32">
        <v>4.7953049451194598</v>
      </c>
      <c r="P90" s="32">
        <v>10.84266449583115</v>
      </c>
      <c r="Q90" s="32">
        <v>11.674129778938338</v>
      </c>
      <c r="R90" s="32" t="s">
        <v>169</v>
      </c>
      <c r="S90" s="32">
        <v>17.746085416091766</v>
      </c>
      <c r="T90" s="31">
        <v>0.15300181101471985</v>
      </c>
      <c r="U90" s="31">
        <v>2.7084958732519204E-2</v>
      </c>
      <c r="V90" s="31">
        <v>0.33428394436606595</v>
      </c>
      <c r="W90" s="31">
        <v>1.17639869037906</v>
      </c>
      <c r="X90" s="31" t="s">
        <v>169</v>
      </c>
      <c r="Y90" s="31">
        <v>0.87984059610405407</v>
      </c>
      <c r="Z90" s="31">
        <v>0.87984059610405407</v>
      </c>
      <c r="AA90" s="65">
        <v>0.41002251990580058</v>
      </c>
    </row>
    <row r="91" spans="1:27" s="11" customFormat="1">
      <c r="A91" s="29" t="s">
        <v>165</v>
      </c>
      <c r="B91" s="30">
        <v>110</v>
      </c>
      <c r="C91" s="31">
        <v>7.3925853658536572E-2</v>
      </c>
      <c r="D91" s="31">
        <v>8.5076188418627172E-2</v>
      </c>
      <c r="E91" s="31">
        <v>0.16088390207704553</v>
      </c>
      <c r="F91" s="31">
        <v>0.22120376468677894</v>
      </c>
      <c r="G91" s="32">
        <v>0.84463870252318918</v>
      </c>
      <c r="H91" s="32">
        <v>0.99780729032089066</v>
      </c>
      <c r="I91" s="31">
        <v>8.4699135354760979E-2</v>
      </c>
      <c r="J91" s="31">
        <v>0.5620392839791557</v>
      </c>
      <c r="K91" s="31">
        <v>5.3524000000000002E-2</v>
      </c>
      <c r="L91" s="31">
        <v>0.2357445340104283</v>
      </c>
      <c r="M91" s="31">
        <v>7.4195269988247284E-2</v>
      </c>
      <c r="N91" s="32">
        <v>2.0142048675663617</v>
      </c>
      <c r="O91" s="32">
        <v>1.8733601251795011</v>
      </c>
      <c r="P91" s="32">
        <v>12.825656312770354</v>
      </c>
      <c r="Q91" s="32">
        <v>21.70709502050369</v>
      </c>
      <c r="R91" s="32">
        <v>5.3511884203819298</v>
      </c>
      <c r="S91" s="32">
        <v>26.994751512111506</v>
      </c>
      <c r="T91" s="31">
        <v>7.7146823442012111E-2</v>
      </c>
      <c r="U91" s="31">
        <v>7.9332477764687812E-2</v>
      </c>
      <c r="V91" s="31">
        <v>4.7919479861607203E-2</v>
      </c>
      <c r="W91" s="31">
        <v>0.72064765595835767</v>
      </c>
      <c r="X91" s="31">
        <v>0.22056294610433705</v>
      </c>
      <c r="Y91" s="31">
        <v>1.0930209138910143</v>
      </c>
      <c r="Z91" s="31">
        <v>1.0930209138910143</v>
      </c>
      <c r="AA91" s="65">
        <v>8.5810766770976807E-2</v>
      </c>
    </row>
    <row r="92" spans="1:27" s="11" customFormat="1">
      <c r="A92" s="29" t="s">
        <v>206</v>
      </c>
      <c r="B92" s="30">
        <v>4</v>
      </c>
      <c r="C92" s="31">
        <v>2.4899999999999999E-2</v>
      </c>
      <c r="D92" s="31">
        <v>0.35113467269131693</v>
      </c>
      <c r="E92" s="31">
        <v>0.14261953361631199</v>
      </c>
      <c r="F92" s="31">
        <v>0.22982533024478807</v>
      </c>
      <c r="G92" s="32">
        <v>0.85599780593154451</v>
      </c>
      <c r="H92" s="32">
        <v>1.0172723923008653</v>
      </c>
      <c r="I92" s="31">
        <v>8.5594530045839806E-2</v>
      </c>
      <c r="J92" s="31">
        <v>0.2227735820416239</v>
      </c>
      <c r="K92" s="31">
        <v>4.5043E-2</v>
      </c>
      <c r="L92" s="31">
        <v>0.21142467310039645</v>
      </c>
      <c r="M92" s="31">
        <v>7.464013567456193E-2</v>
      </c>
      <c r="N92" s="32">
        <v>0.49324628388749064</v>
      </c>
      <c r="O92" s="32">
        <v>6.6295596972904312</v>
      </c>
      <c r="P92" s="32">
        <v>14.3196804838998</v>
      </c>
      <c r="Q92" s="32">
        <v>18.966125677741278</v>
      </c>
      <c r="R92" s="32">
        <v>6.9113810829422233</v>
      </c>
      <c r="S92" s="32">
        <v>22.28825335650561</v>
      </c>
      <c r="T92" s="31">
        <v>2.2557471822586217E-2</v>
      </c>
      <c r="U92" s="31">
        <v>0.1570320179340837</v>
      </c>
      <c r="V92" s="31">
        <v>5.5988647445286678E-2</v>
      </c>
      <c r="W92" s="31">
        <v>0.22178443078565843</v>
      </c>
      <c r="X92" s="31">
        <v>0.31677945078582531</v>
      </c>
      <c r="Y92" s="31">
        <v>0.43519528152260112</v>
      </c>
      <c r="Z92" s="31">
        <v>0.43519528152260112</v>
      </c>
      <c r="AA92" s="65">
        <v>0.34954738832459115</v>
      </c>
    </row>
    <row r="93" spans="1:27" s="11" customFormat="1">
      <c r="A93" s="29" t="s">
        <v>166</v>
      </c>
      <c r="B93" s="30">
        <v>22</v>
      </c>
      <c r="C93" s="31">
        <v>6.1907222222222238E-2</v>
      </c>
      <c r="D93" s="31">
        <v>8.4934052293898013E-2</v>
      </c>
      <c r="E93" s="31">
        <v>0.12748742307030905</v>
      </c>
      <c r="F93" s="31">
        <v>0.25564934061767058</v>
      </c>
      <c r="G93" s="32">
        <v>1.0291549427451241</v>
      </c>
      <c r="H93" s="32">
        <v>1.1484074577647394</v>
      </c>
      <c r="I93" s="31">
        <v>9.1626743057178023E-2</v>
      </c>
      <c r="J93" s="31">
        <v>0.28328548955431604</v>
      </c>
      <c r="K93" s="31">
        <v>5.0854999999999997E-2</v>
      </c>
      <c r="L93" s="31">
        <v>0.16632304812803944</v>
      </c>
      <c r="M93" s="31">
        <v>8.2730872821277085E-2</v>
      </c>
      <c r="N93" s="32">
        <v>1.8424099749470806</v>
      </c>
      <c r="O93" s="32">
        <v>1.8055802361025481</v>
      </c>
      <c r="P93" s="32">
        <v>10.57224029827716</v>
      </c>
      <c r="Q93" s="32">
        <v>20.589002549993637</v>
      </c>
      <c r="R93" s="32">
        <v>3.5846942504030093</v>
      </c>
      <c r="S93" s="32">
        <v>36.07946277619434</v>
      </c>
      <c r="T93" s="31">
        <v>6.7480207496526626E-2</v>
      </c>
      <c r="U93" s="31">
        <v>0.14934250443095923</v>
      </c>
      <c r="V93" s="31">
        <v>9.0980370277753131E-2</v>
      </c>
      <c r="W93" s="31">
        <v>1.2178075170479361</v>
      </c>
      <c r="X93" s="31">
        <v>0.12974692001389668</v>
      </c>
      <c r="Y93" s="31">
        <v>0.17362718846549949</v>
      </c>
      <c r="Z93" s="31">
        <v>0.17362718846549952</v>
      </c>
      <c r="AA93" s="65">
        <v>8.6910837308432798E-2</v>
      </c>
    </row>
    <row r="94" spans="1:27" s="11" customFormat="1">
      <c r="A94" s="29" t="s">
        <v>167</v>
      </c>
      <c r="B94" s="30">
        <v>14</v>
      </c>
      <c r="C94" s="31">
        <v>4.3404999999999999E-2</v>
      </c>
      <c r="D94" s="31">
        <v>0.2180508078273298</v>
      </c>
      <c r="E94" s="31">
        <v>6.4731399544339846E-2</v>
      </c>
      <c r="F94" s="31">
        <v>0.1601620397950673</v>
      </c>
      <c r="G94" s="32">
        <v>0.35679519291097572</v>
      </c>
      <c r="H94" s="32">
        <v>0.58043230816873881</v>
      </c>
      <c r="I94" s="31">
        <v>6.5499886175761982E-2</v>
      </c>
      <c r="J94" s="31">
        <v>0.14927275095736059</v>
      </c>
      <c r="K94" s="31">
        <v>4.5043E-2</v>
      </c>
      <c r="L94" s="31">
        <v>0.45897703320023459</v>
      </c>
      <c r="M94" s="31">
        <v>5.0942219623686315E-2</v>
      </c>
      <c r="N94" s="32">
        <v>0.34799061084345168</v>
      </c>
      <c r="O94" s="32">
        <v>4.128817283340104</v>
      </c>
      <c r="P94" s="32">
        <v>11.69639755876778</v>
      </c>
      <c r="Q94" s="32">
        <v>19.078266611364857</v>
      </c>
      <c r="R94" s="32">
        <v>1.6473566371259394</v>
      </c>
      <c r="S94" s="32">
        <v>17.483750732416834</v>
      </c>
      <c r="T94" s="31">
        <v>0.13370151554071408</v>
      </c>
      <c r="U94" s="31">
        <v>0.38606604885824003</v>
      </c>
      <c r="V94" s="31">
        <v>0.25906870978152774</v>
      </c>
      <c r="W94" s="31">
        <v>1.5052569708950143</v>
      </c>
      <c r="X94" s="31">
        <v>0.11153676746474966</v>
      </c>
      <c r="Y94" s="31">
        <v>0.58882821831655419</v>
      </c>
      <c r="Z94" s="31">
        <v>0.58882821831655419</v>
      </c>
      <c r="AA94" s="65">
        <v>0.21642128320038204</v>
      </c>
    </row>
    <row r="95" spans="1:27" s="11" customFormat="1">
      <c r="A95" s="29" t="s">
        <v>168</v>
      </c>
      <c r="B95" s="30">
        <v>13</v>
      </c>
      <c r="C95" s="31">
        <v>0.1084909090909091</v>
      </c>
      <c r="D95" s="31">
        <v>0.30791615796208249</v>
      </c>
      <c r="E95" s="31">
        <v>6.7989566122651446E-2</v>
      </c>
      <c r="F95" s="31">
        <v>0.1491899144854105</v>
      </c>
      <c r="G95" s="32">
        <v>0.52231147198629224</v>
      </c>
      <c r="H95" s="32">
        <v>0.71396343407949392</v>
      </c>
      <c r="I95" s="31">
        <v>7.1642317967656716E-2</v>
      </c>
      <c r="J95" s="31">
        <v>0.28198719816416001</v>
      </c>
      <c r="K95" s="31">
        <v>5.0854999999999997E-2</v>
      </c>
      <c r="L95" s="31">
        <v>0.33727313092901634</v>
      </c>
      <c r="M95" s="31">
        <v>6.0343307884739357E-2</v>
      </c>
      <c r="N95" s="32">
        <v>0.24924739614341856</v>
      </c>
      <c r="O95" s="32">
        <v>7.895573764246353</v>
      </c>
      <c r="P95" s="32">
        <v>16.861059231983642</v>
      </c>
      <c r="Q95" s="32">
        <v>25.637409477526273</v>
      </c>
      <c r="R95" s="32">
        <v>2.3031518241417506</v>
      </c>
      <c r="S95" s="32">
        <v>34.884505444212166</v>
      </c>
      <c r="T95" s="31">
        <v>0.11350573999309437</v>
      </c>
      <c r="U95" s="31">
        <v>0.53908430918105532</v>
      </c>
      <c r="V95" s="31">
        <v>0.40175099691053662</v>
      </c>
      <c r="W95" s="31">
        <v>1.4950509635847589</v>
      </c>
      <c r="X95" s="31">
        <v>0.15979158800682633</v>
      </c>
      <c r="Y95" s="31">
        <v>0.60585496218840451</v>
      </c>
      <c r="Z95" s="31">
        <v>0.39244972646773968</v>
      </c>
      <c r="AA95" s="65">
        <v>0.30680997617385836</v>
      </c>
    </row>
    <row r="96" spans="1:27" s="6" customFormat="1">
      <c r="A96"/>
      <c r="B96"/>
      <c r="C96"/>
      <c r="D96"/>
      <c r="E96"/>
      <c r="F96"/>
      <c r="G96"/>
      <c r="H96"/>
      <c r="I96"/>
      <c r="J96"/>
      <c r="K96"/>
      <c r="L96"/>
      <c r="M96"/>
      <c r="N96"/>
      <c r="O96"/>
      <c r="P96"/>
      <c r="Q96"/>
      <c r="R96"/>
      <c r="S96"/>
      <c r="T96"/>
      <c r="U96"/>
      <c r="V96"/>
      <c r="W96"/>
      <c r="X96"/>
      <c r="Y96"/>
      <c r="Z96"/>
      <c r="AA96"/>
    </row>
    <row r="97" spans="1:27" s="6" customFormat="1">
      <c r="A97"/>
      <c r="B97"/>
      <c r="C97"/>
      <c r="D97"/>
      <c r="E97"/>
      <c r="F97"/>
      <c r="G97"/>
      <c r="H97"/>
      <c r="I97"/>
      <c r="J97"/>
      <c r="K97"/>
      <c r="L97"/>
      <c r="M97"/>
      <c r="N97"/>
      <c r="O97"/>
      <c r="P97"/>
      <c r="Q97"/>
      <c r="R97"/>
      <c r="S97"/>
      <c r="T97"/>
      <c r="U97"/>
      <c r="V97"/>
      <c r="W97"/>
      <c r="X97"/>
      <c r="Y97"/>
      <c r="Z97"/>
      <c r="AA97"/>
    </row>
    <row r="98" spans="1:27" s="6" customFormat="1">
      <c r="A98"/>
      <c r="B98"/>
      <c r="C98"/>
      <c r="D98"/>
      <c r="E98"/>
      <c r="F98"/>
      <c r="G98"/>
      <c r="H98"/>
      <c r="I98"/>
      <c r="J98"/>
      <c r="K98"/>
      <c r="L98"/>
      <c r="M98"/>
      <c r="N98"/>
      <c r="O98"/>
      <c r="P98"/>
      <c r="Q98"/>
      <c r="R98"/>
      <c r="S98"/>
      <c r="T98"/>
      <c r="U98"/>
      <c r="V98"/>
      <c r="W98"/>
      <c r="X98"/>
      <c r="Y98"/>
      <c r="Z98"/>
      <c r="AA98"/>
    </row>
    <row r="99" spans="1:27" s="6" customFormat="1">
      <c r="A99"/>
      <c r="B99"/>
      <c r="C99"/>
      <c r="D99"/>
      <c r="E99"/>
      <c r="F99"/>
      <c r="G99"/>
      <c r="H99"/>
      <c r="I99"/>
      <c r="J99"/>
      <c r="K99"/>
      <c r="L99"/>
      <c r="M99"/>
      <c r="N99"/>
      <c r="O99"/>
      <c r="P99"/>
      <c r="Q99"/>
      <c r="R99"/>
      <c r="S99"/>
      <c r="T99"/>
      <c r="U99"/>
      <c r="V99"/>
      <c r="W99"/>
      <c r="X99"/>
      <c r="Y99"/>
      <c r="Z99"/>
      <c r="AA99"/>
    </row>
    <row r="100" spans="1:27" s="6" customFormat="1">
      <c r="A100"/>
      <c r="B100"/>
      <c r="C100"/>
      <c r="D100"/>
      <c r="E100"/>
      <c r="F100"/>
      <c r="G100"/>
      <c r="H100"/>
      <c r="I100"/>
      <c r="J100"/>
      <c r="K100"/>
      <c r="L100"/>
      <c r="M100"/>
      <c r="N100"/>
      <c r="O100"/>
      <c r="P100"/>
      <c r="Q100"/>
      <c r="R100"/>
      <c r="S100"/>
      <c r="T100"/>
      <c r="U100"/>
      <c r="V100"/>
      <c r="W100"/>
      <c r="X100"/>
      <c r="Y100"/>
      <c r="Z100"/>
      <c r="AA100"/>
    </row>
    <row r="101" spans="1:27" s="6" customFormat="1">
      <c r="A101"/>
      <c r="B101"/>
      <c r="C101"/>
      <c r="D101"/>
      <c r="E101"/>
      <c r="F101"/>
      <c r="G101"/>
      <c r="H101"/>
      <c r="I101"/>
      <c r="J101"/>
      <c r="K101"/>
      <c r="L101"/>
      <c r="M101"/>
      <c r="N101"/>
      <c r="O101"/>
      <c r="P101"/>
      <c r="Q101"/>
      <c r="R101"/>
      <c r="S101"/>
      <c r="T101"/>
      <c r="U101"/>
      <c r="V101"/>
      <c r="W101"/>
      <c r="X101"/>
      <c r="Y101"/>
      <c r="Z101"/>
      <c r="AA101"/>
    </row>
    <row r="102" spans="1:27" s="6" customFormat="1">
      <c r="A102"/>
      <c r="B102"/>
      <c r="C102"/>
      <c r="D102"/>
      <c r="E102"/>
      <c r="F102"/>
      <c r="G102"/>
      <c r="H102"/>
      <c r="I102"/>
      <c r="J102"/>
      <c r="K102"/>
      <c r="L102"/>
      <c r="M102"/>
      <c r="N102"/>
      <c r="O102"/>
      <c r="P102"/>
      <c r="Q102"/>
      <c r="R102"/>
      <c r="S102"/>
      <c r="T102"/>
      <c r="U102"/>
      <c r="V102"/>
      <c r="W102"/>
      <c r="X102"/>
      <c r="Y102"/>
      <c r="Z102"/>
      <c r="AA102"/>
    </row>
    <row r="103" spans="1:27" s="6" customFormat="1">
      <c r="A103"/>
      <c r="B103"/>
      <c r="C103"/>
      <c r="D103"/>
      <c r="E103"/>
      <c r="F103"/>
      <c r="G103"/>
      <c r="H103"/>
      <c r="I103"/>
      <c r="J103"/>
      <c r="K103"/>
      <c r="L103"/>
      <c r="M103"/>
      <c r="N103"/>
      <c r="O103"/>
      <c r="P103"/>
      <c r="Q103"/>
      <c r="R103"/>
      <c r="S103"/>
      <c r="T103"/>
      <c r="U103"/>
      <c r="V103"/>
      <c r="W103"/>
      <c r="X103"/>
      <c r="Y103"/>
      <c r="Z103"/>
      <c r="AA103"/>
    </row>
    <row r="104" spans="1:27" s="6" customFormat="1">
      <c r="A104"/>
      <c r="B104"/>
      <c r="C104"/>
      <c r="D104"/>
      <c r="E104"/>
      <c r="F104"/>
      <c r="G104"/>
      <c r="H104"/>
      <c r="I104"/>
      <c r="J104"/>
      <c r="K104"/>
      <c r="L104"/>
      <c r="M104"/>
      <c r="N104"/>
      <c r="O104"/>
      <c r="P104"/>
      <c r="Q104"/>
      <c r="R104"/>
      <c r="S104"/>
      <c r="T104"/>
      <c r="U104"/>
      <c r="V104"/>
      <c r="W104"/>
      <c r="X104"/>
      <c r="Y104"/>
      <c r="Z104"/>
      <c r="AA104"/>
    </row>
    <row r="105" spans="1:27" s="6" customFormat="1">
      <c r="A105"/>
      <c r="B105"/>
      <c r="C105"/>
      <c r="D105"/>
      <c r="E105"/>
      <c r="F105"/>
      <c r="G105"/>
      <c r="H105"/>
      <c r="I105"/>
      <c r="J105"/>
      <c r="K105"/>
      <c r="L105"/>
      <c r="M105"/>
      <c r="N105"/>
      <c r="O105"/>
      <c r="P105"/>
      <c r="Q105"/>
      <c r="R105"/>
      <c r="S105"/>
      <c r="T105"/>
      <c r="U105"/>
      <c r="V105"/>
      <c r="W105"/>
      <c r="X105"/>
      <c r="Y105"/>
      <c r="Z105"/>
      <c r="AA105"/>
    </row>
    <row r="106" spans="1:27" s="6" customFormat="1">
      <c r="A106"/>
      <c r="B106"/>
      <c r="C106"/>
      <c r="D106"/>
      <c r="E106"/>
      <c r="F106"/>
      <c r="G106"/>
      <c r="H106"/>
      <c r="I106"/>
      <c r="J106"/>
      <c r="K106"/>
      <c r="L106"/>
      <c r="M106"/>
      <c r="N106"/>
      <c r="O106"/>
      <c r="P106"/>
      <c r="Q106"/>
      <c r="R106"/>
      <c r="S106"/>
      <c r="T106"/>
      <c r="U106"/>
      <c r="V106"/>
      <c r="W106"/>
      <c r="X106"/>
      <c r="Y106"/>
      <c r="Z106"/>
      <c r="AA106"/>
    </row>
    <row r="107" spans="1:27" s="6" customFormat="1">
      <c r="A107"/>
      <c r="B107"/>
      <c r="C107"/>
      <c r="D107"/>
      <c r="E107"/>
      <c r="F107"/>
      <c r="G107"/>
      <c r="H107"/>
      <c r="I107"/>
      <c r="J107"/>
      <c r="K107"/>
      <c r="L107"/>
      <c r="M107"/>
      <c r="N107"/>
      <c r="O107"/>
      <c r="P107"/>
      <c r="Q107"/>
      <c r="R107"/>
      <c r="S107"/>
      <c r="T107"/>
      <c r="U107"/>
      <c r="V107"/>
      <c r="W107"/>
      <c r="X107"/>
      <c r="Y107"/>
      <c r="Z107"/>
      <c r="AA107"/>
    </row>
    <row r="108" spans="1:27" s="6" customFormat="1">
      <c r="A108"/>
      <c r="B108"/>
      <c r="C108"/>
      <c r="D108"/>
      <c r="E108"/>
      <c r="F108"/>
      <c r="G108"/>
      <c r="H108"/>
      <c r="I108"/>
      <c r="J108"/>
      <c r="K108"/>
      <c r="L108"/>
      <c r="M108"/>
      <c r="N108"/>
      <c r="O108"/>
      <c r="P108"/>
      <c r="Q108"/>
      <c r="R108"/>
      <c r="S108"/>
      <c r="T108"/>
      <c r="U108"/>
      <c r="V108"/>
      <c r="W108"/>
      <c r="X108"/>
      <c r="Y108"/>
      <c r="Z108"/>
      <c r="AA108"/>
    </row>
    <row r="109" spans="1:27" s="6" customFormat="1">
      <c r="A109"/>
      <c r="B109"/>
      <c r="C109"/>
      <c r="D109"/>
      <c r="E109"/>
      <c r="F109"/>
      <c r="G109"/>
      <c r="H109"/>
      <c r="I109"/>
      <c r="J109"/>
      <c r="K109"/>
      <c r="L109"/>
      <c r="M109"/>
      <c r="N109"/>
      <c r="O109"/>
      <c r="P109"/>
      <c r="Q109"/>
      <c r="R109"/>
      <c r="S109"/>
      <c r="T109"/>
      <c r="U109"/>
      <c r="V109"/>
      <c r="W109"/>
      <c r="X109"/>
      <c r="Y109"/>
      <c r="Z109"/>
      <c r="AA109"/>
    </row>
    <row r="110" spans="1:27" s="6" customFormat="1">
      <c r="A110"/>
      <c r="B110"/>
      <c r="C110"/>
      <c r="D110"/>
      <c r="E110"/>
      <c r="F110"/>
      <c r="G110"/>
      <c r="H110"/>
      <c r="I110"/>
      <c r="J110"/>
      <c r="K110"/>
      <c r="L110"/>
      <c r="M110"/>
      <c r="N110"/>
      <c r="O110"/>
      <c r="P110"/>
      <c r="Q110"/>
      <c r="R110"/>
      <c r="S110"/>
      <c r="T110"/>
      <c r="U110"/>
      <c r="V110"/>
      <c r="W110"/>
      <c r="X110"/>
      <c r="Y110"/>
      <c r="Z110"/>
      <c r="AA110"/>
    </row>
    <row r="111" spans="1:27" s="6" customFormat="1">
      <c r="A111"/>
      <c r="B111"/>
      <c r="C111"/>
      <c r="D111"/>
      <c r="E111"/>
      <c r="F111"/>
      <c r="G111"/>
      <c r="H111"/>
      <c r="I111"/>
      <c r="J111"/>
      <c r="K111"/>
      <c r="L111"/>
      <c r="M111"/>
      <c r="N111"/>
      <c r="O111"/>
      <c r="P111"/>
      <c r="Q111"/>
      <c r="R111"/>
      <c r="S111"/>
      <c r="T111"/>
      <c r="U111"/>
      <c r="V111"/>
      <c r="W111"/>
      <c r="X111"/>
      <c r="Y111"/>
      <c r="Z111"/>
      <c r="AA111"/>
    </row>
    <row r="112" spans="1:27" s="6" customFormat="1">
      <c r="A112"/>
      <c r="B112"/>
      <c r="C112"/>
      <c r="D112"/>
      <c r="E112"/>
      <c r="F112"/>
      <c r="G112"/>
      <c r="H112"/>
      <c r="I112"/>
      <c r="J112"/>
      <c r="K112"/>
      <c r="L112"/>
      <c r="M112"/>
      <c r="N112"/>
      <c r="O112"/>
      <c r="P112"/>
      <c r="Q112"/>
      <c r="R112"/>
      <c r="S112"/>
      <c r="T112"/>
      <c r="U112"/>
      <c r="V112"/>
      <c r="W112"/>
      <c r="X112"/>
      <c r="Y112"/>
      <c r="Z112"/>
      <c r="AA112"/>
    </row>
    <row r="113" spans="1:27" s="6" customFormat="1">
      <c r="A113"/>
      <c r="B113"/>
      <c r="C113"/>
      <c r="D113"/>
      <c r="E113"/>
      <c r="F113"/>
      <c r="G113"/>
      <c r="H113"/>
      <c r="I113"/>
      <c r="J113"/>
      <c r="K113"/>
      <c r="L113"/>
      <c r="M113"/>
      <c r="N113"/>
      <c r="O113"/>
      <c r="P113"/>
      <c r="Q113"/>
      <c r="R113"/>
      <c r="S113"/>
      <c r="T113"/>
      <c r="U113"/>
      <c r="V113"/>
      <c r="W113"/>
      <c r="X113"/>
      <c r="Y113"/>
      <c r="Z113"/>
      <c r="AA113"/>
    </row>
    <row r="114" spans="1:27" s="6" customFormat="1">
      <c r="A114"/>
      <c r="B114"/>
      <c r="C114"/>
      <c r="D114"/>
      <c r="E114"/>
      <c r="F114"/>
      <c r="G114"/>
      <c r="H114"/>
      <c r="I114"/>
      <c r="J114"/>
      <c r="K114"/>
      <c r="L114"/>
      <c r="M114"/>
      <c r="N114"/>
      <c r="O114"/>
      <c r="P114"/>
      <c r="Q114"/>
      <c r="R114"/>
      <c r="S114"/>
      <c r="T114"/>
      <c r="U114"/>
      <c r="V114"/>
      <c r="W114"/>
      <c r="X114"/>
      <c r="Y114"/>
      <c r="Z114"/>
      <c r="AA114"/>
    </row>
    <row r="115" spans="1:27" s="6" customFormat="1">
      <c r="A115"/>
      <c r="B115"/>
      <c r="C115"/>
      <c r="D115"/>
      <c r="E115"/>
      <c r="F115"/>
      <c r="G115"/>
      <c r="H115"/>
      <c r="I115"/>
      <c r="J115"/>
      <c r="K115"/>
      <c r="L115"/>
      <c r="M115"/>
      <c r="N115"/>
      <c r="O115"/>
      <c r="P115"/>
      <c r="Q115"/>
      <c r="R115"/>
      <c r="S115"/>
      <c r="T115"/>
      <c r="U115"/>
      <c r="V115"/>
      <c r="W115"/>
      <c r="X115"/>
      <c r="Y115"/>
      <c r="Z115"/>
      <c r="AA115"/>
    </row>
    <row r="116" spans="1:27" s="6" customFormat="1">
      <c r="A116"/>
      <c r="B116"/>
      <c r="C116"/>
      <c r="D116"/>
      <c r="E116"/>
      <c r="F116"/>
      <c r="G116"/>
      <c r="H116"/>
      <c r="I116"/>
      <c r="J116"/>
      <c r="K116"/>
      <c r="L116"/>
      <c r="M116"/>
      <c r="N116"/>
      <c r="O116"/>
      <c r="P116"/>
      <c r="Q116"/>
      <c r="R116"/>
      <c r="S116"/>
      <c r="T116"/>
      <c r="U116"/>
      <c r="V116"/>
      <c r="W116"/>
      <c r="X116"/>
      <c r="Y116"/>
      <c r="Z116"/>
      <c r="AA116"/>
    </row>
    <row r="117" spans="1:27" s="6" customFormat="1">
      <c r="A117"/>
      <c r="B117"/>
      <c r="C117"/>
      <c r="D117"/>
      <c r="E117"/>
      <c r="F117"/>
      <c r="G117"/>
      <c r="H117"/>
      <c r="I117"/>
      <c r="J117"/>
      <c r="K117"/>
      <c r="L117"/>
      <c r="M117"/>
      <c r="N117"/>
      <c r="O117"/>
      <c r="P117"/>
      <c r="Q117"/>
      <c r="R117"/>
      <c r="S117"/>
      <c r="T117"/>
      <c r="U117"/>
      <c r="V117"/>
      <c r="W117"/>
      <c r="X117"/>
      <c r="Y117"/>
      <c r="Z117"/>
      <c r="AA117"/>
    </row>
    <row r="118" spans="1:27" s="6" customFormat="1">
      <c r="A118"/>
      <c r="B118"/>
      <c r="C118"/>
      <c r="D118"/>
      <c r="E118"/>
      <c r="F118"/>
      <c r="G118"/>
      <c r="H118"/>
      <c r="I118"/>
      <c r="J118"/>
      <c r="K118"/>
      <c r="L118"/>
      <c r="M118"/>
      <c r="N118"/>
      <c r="O118"/>
      <c r="P118"/>
      <c r="Q118"/>
      <c r="R118"/>
      <c r="S118"/>
      <c r="T118"/>
      <c r="U118"/>
      <c r="V118"/>
      <c r="W118"/>
      <c r="X118"/>
      <c r="Y118"/>
      <c r="Z118"/>
      <c r="AA118"/>
    </row>
    <row r="119" spans="1:27" s="6" customFormat="1">
      <c r="A119"/>
      <c r="B119"/>
      <c r="C119"/>
      <c r="D119"/>
      <c r="E119"/>
      <c r="F119"/>
      <c r="G119"/>
      <c r="H119"/>
      <c r="I119"/>
      <c r="J119"/>
      <c r="K119"/>
      <c r="L119"/>
      <c r="M119"/>
      <c r="N119"/>
      <c r="O119"/>
      <c r="P119"/>
      <c r="Q119"/>
      <c r="R119"/>
      <c r="S119"/>
      <c r="T119"/>
      <c r="U119"/>
      <c r="V119"/>
      <c r="W119"/>
      <c r="X119"/>
      <c r="Y119"/>
      <c r="Z119"/>
      <c r="AA119"/>
    </row>
    <row r="120" spans="1:27" s="6" customFormat="1">
      <c r="A120"/>
      <c r="B120"/>
      <c r="C120"/>
      <c r="D120"/>
      <c r="E120"/>
      <c r="F120"/>
      <c r="G120"/>
      <c r="H120"/>
      <c r="I120"/>
      <c r="J120"/>
      <c r="K120"/>
      <c r="L120"/>
      <c r="M120"/>
      <c r="N120"/>
      <c r="O120"/>
      <c r="P120"/>
      <c r="Q120"/>
      <c r="R120"/>
      <c r="S120"/>
      <c r="T120"/>
      <c r="U120"/>
      <c r="V120"/>
      <c r="W120"/>
      <c r="X120"/>
      <c r="Y120"/>
      <c r="Z120"/>
      <c r="AA120"/>
    </row>
    <row r="121" spans="1:27" s="6" customFormat="1">
      <c r="A121"/>
      <c r="B121"/>
      <c r="C121"/>
      <c r="D121"/>
      <c r="E121"/>
      <c r="F121"/>
      <c r="G121"/>
      <c r="H121"/>
      <c r="I121"/>
      <c r="J121"/>
      <c r="K121"/>
      <c r="L121"/>
      <c r="M121"/>
      <c r="N121"/>
      <c r="O121"/>
      <c r="P121"/>
      <c r="Q121"/>
      <c r="R121"/>
      <c r="S121"/>
      <c r="T121"/>
      <c r="U121"/>
      <c r="V121"/>
      <c r="W121"/>
      <c r="X121"/>
      <c r="Y121"/>
      <c r="Z121"/>
      <c r="AA121"/>
    </row>
  </sheetData>
  <phoneticPr fontId="12"/>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5"/>
  <sheetViews>
    <sheetView workbookViewId="0">
      <selection activeCell="C14" sqref="C14"/>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6" max="6" width="9" bestFit="1" customWidth="1"/>
    <col min="7" max="7" width="9.85546875" bestFit="1" customWidth="1"/>
    <col min="8" max="8" width="19.28515625" bestFit="1" customWidth="1"/>
  </cols>
  <sheetData>
    <row r="1" spans="1:27" ht="84">
      <c r="A1" s="13" t="s">
        <v>91</v>
      </c>
      <c r="B1" s="24" t="s">
        <v>92</v>
      </c>
      <c r="C1" s="25" t="s">
        <v>170</v>
      </c>
      <c r="D1" s="25" t="s">
        <v>416</v>
      </c>
      <c r="E1" s="25" t="s">
        <v>171</v>
      </c>
      <c r="F1" s="24" t="s">
        <v>172</v>
      </c>
      <c r="G1" s="24" t="s">
        <v>173</v>
      </c>
      <c r="H1" s="24" t="s">
        <v>174</v>
      </c>
      <c r="I1" s="24" t="s">
        <v>175</v>
      </c>
      <c r="J1" s="24" t="s">
        <v>176</v>
      </c>
      <c r="K1" s="24" t="s">
        <v>177</v>
      </c>
      <c r="L1" s="24" t="s">
        <v>178</v>
      </c>
      <c r="M1" s="24" t="s">
        <v>179</v>
      </c>
      <c r="N1" s="26" t="s">
        <v>88</v>
      </c>
      <c r="O1" s="24" t="s">
        <v>93</v>
      </c>
      <c r="P1" s="24" t="s">
        <v>180</v>
      </c>
      <c r="Q1" s="24" t="s">
        <v>181</v>
      </c>
      <c r="R1" s="24" t="s">
        <v>182</v>
      </c>
      <c r="S1" s="24" t="s">
        <v>183</v>
      </c>
      <c r="T1" s="24" t="s">
        <v>184</v>
      </c>
      <c r="U1" s="24" t="s">
        <v>185</v>
      </c>
      <c r="V1" s="24" t="s">
        <v>186</v>
      </c>
      <c r="W1" s="24" t="s">
        <v>187</v>
      </c>
      <c r="X1" s="13" t="s">
        <v>87</v>
      </c>
      <c r="Y1" s="13" t="s">
        <v>188</v>
      </c>
      <c r="Z1" s="13" t="s">
        <v>189</v>
      </c>
      <c r="AA1" s="24" t="s">
        <v>417</v>
      </c>
    </row>
    <row r="2" spans="1:27">
      <c r="A2" s="29" t="s">
        <v>94</v>
      </c>
      <c r="B2" s="30">
        <v>391</v>
      </c>
      <c r="C2" s="31">
        <v>6.067873303167419E-2</v>
      </c>
      <c r="D2" s="31">
        <v>7.8932890152171781E-2</v>
      </c>
      <c r="E2" s="31">
        <v>0.22318415384806262</v>
      </c>
      <c r="F2" s="31">
        <v>0.246718624697842</v>
      </c>
      <c r="G2" s="32">
        <v>1.230922708614234</v>
      </c>
      <c r="H2" s="32">
        <v>1.3525261181448862</v>
      </c>
      <c r="I2" s="31">
        <v>0.12549692417308722</v>
      </c>
      <c r="J2" s="31">
        <v>0.38891117906224903</v>
      </c>
      <c r="K2" s="31">
        <v>6.4354999999999996E-2</v>
      </c>
      <c r="L2" s="31">
        <v>0.23971065900192118</v>
      </c>
      <c r="M2" s="31">
        <v>0.10693454331762162</v>
      </c>
      <c r="N2" s="32">
        <v>3.2269278158581134</v>
      </c>
      <c r="O2" s="32">
        <v>1.559758183059845</v>
      </c>
      <c r="P2" s="32">
        <v>11.941457605101091</v>
      </c>
      <c r="Q2" s="32">
        <v>18.46819835441859</v>
      </c>
      <c r="R2" s="32">
        <v>2.5969840766685515</v>
      </c>
      <c r="S2" s="32">
        <v>53.676863651275937</v>
      </c>
      <c r="T2" s="31">
        <v>-2.5138144517558653E-2</v>
      </c>
      <c r="U2" s="31">
        <v>1.7243189100700846E-2</v>
      </c>
      <c r="V2" s="31">
        <v>1.7319182249018784E-3</v>
      </c>
      <c r="W2" s="31">
        <v>0.25114078027496484</v>
      </c>
      <c r="X2" s="31">
        <v>7.5356549690505092E-2</v>
      </c>
      <c r="Y2" s="31">
        <v>0.76013580051126117</v>
      </c>
      <c r="Z2" s="31">
        <v>0.76013580051126117</v>
      </c>
      <c r="AA2" s="65">
        <v>8.0659837064077089E-2</v>
      </c>
    </row>
    <row r="3" spans="1:27">
      <c r="A3" s="29" t="s">
        <v>95</v>
      </c>
      <c r="B3" s="30">
        <v>289</v>
      </c>
      <c r="C3" s="31">
        <v>9.3095680473372799E-2</v>
      </c>
      <c r="D3" s="31">
        <v>7.9923617622355614E-2</v>
      </c>
      <c r="E3" s="31">
        <v>0.13938187028979596</v>
      </c>
      <c r="F3" s="31">
        <v>0.16177288034464532</v>
      </c>
      <c r="G3" s="32">
        <v>0.90338325999219782</v>
      </c>
      <c r="H3" s="32">
        <v>0.98430307414573659</v>
      </c>
      <c r="I3" s="31">
        <v>0.10189382705274172</v>
      </c>
      <c r="J3" s="31">
        <v>0.35101018860014016</v>
      </c>
      <c r="K3" s="31">
        <v>6.4354999999999996E-2</v>
      </c>
      <c r="L3" s="31">
        <v>0.17197348630021456</v>
      </c>
      <c r="M3" s="31">
        <v>9.2635890133273613E-2</v>
      </c>
      <c r="N3" s="32">
        <v>1.832261980772774</v>
      </c>
      <c r="O3" s="32">
        <v>2.2616278665454335</v>
      </c>
      <c r="P3" s="32">
        <v>17.907632080275885</v>
      </c>
      <c r="Q3" s="32">
        <v>27.409853803101679</v>
      </c>
      <c r="R3" s="32">
        <v>4.4675789858150114</v>
      </c>
      <c r="S3" s="32">
        <v>77.145601859135155</v>
      </c>
      <c r="T3" s="31">
        <v>0.38805333617951365</v>
      </c>
      <c r="U3" s="31">
        <v>3.5404721692020857E-2</v>
      </c>
      <c r="V3" s="31">
        <v>2.1536227284770421E-2</v>
      </c>
      <c r="W3" s="31">
        <v>0.40167246380722366</v>
      </c>
      <c r="X3" s="31">
        <v>0.14143383047792696</v>
      </c>
      <c r="Y3" s="31">
        <v>0.44958156371112074</v>
      </c>
      <c r="Z3" s="31">
        <v>0.44958156371112068</v>
      </c>
      <c r="AA3" s="65">
        <v>8.359700918676137E-2</v>
      </c>
    </row>
    <row r="4" spans="1:27">
      <c r="A4" s="29" t="s">
        <v>96</v>
      </c>
      <c r="B4" s="30">
        <v>155</v>
      </c>
      <c r="C4" s="31">
        <v>2.4834959999999993E-2</v>
      </c>
      <c r="D4" s="31">
        <v>7.2832786186452753E-2</v>
      </c>
      <c r="E4" s="31">
        <v>7.6090439467841289E-2</v>
      </c>
      <c r="F4" s="31">
        <v>0.1807932286202501</v>
      </c>
      <c r="G4" s="32">
        <v>0.81040340851220216</v>
      </c>
      <c r="H4" s="32">
        <v>1.2872127648104197</v>
      </c>
      <c r="I4" s="31">
        <v>0.12131033822434791</v>
      </c>
      <c r="J4" s="31">
        <v>0.30061794269989939</v>
      </c>
      <c r="K4" s="31">
        <v>6.4354999999999996E-2</v>
      </c>
      <c r="L4" s="31">
        <v>0.5098168184151185</v>
      </c>
      <c r="M4" s="31">
        <v>8.3966243925460496E-2</v>
      </c>
      <c r="N4" s="32">
        <v>1.1974037614368913</v>
      </c>
      <c r="O4" s="32">
        <v>1.4160606754934064</v>
      </c>
      <c r="P4" s="32">
        <v>8.4210655337795917</v>
      </c>
      <c r="Q4" s="32">
        <v>18.088756940528786</v>
      </c>
      <c r="R4" s="32">
        <v>2.4000358145682918</v>
      </c>
      <c r="S4" s="32">
        <v>96.63158394397243</v>
      </c>
      <c r="T4" s="31">
        <v>-2.8523145438302533E-2</v>
      </c>
      <c r="U4" s="31">
        <v>9.8728590436067104E-2</v>
      </c>
      <c r="V4" s="31">
        <v>3.4606502475835459E-2</v>
      </c>
      <c r="W4" s="31">
        <v>0.3036030119027146</v>
      </c>
      <c r="X4" s="31">
        <v>0.19646294458461791</v>
      </c>
      <c r="Y4" s="31">
        <v>0.25209574595687112</v>
      </c>
      <c r="Z4" s="31">
        <v>0.25209574595687112</v>
      </c>
      <c r="AA4" s="65">
        <v>7.2336876698605931E-2</v>
      </c>
    </row>
    <row r="5" spans="1:27">
      <c r="A5" s="29" t="s">
        <v>97</v>
      </c>
      <c r="B5" s="30">
        <v>1152</v>
      </c>
      <c r="C5" s="31">
        <v>2.9902592592592647E-2</v>
      </c>
      <c r="D5" s="31">
        <v>0.14639551002807649</v>
      </c>
      <c r="E5" s="31">
        <v>0.21314799858212871</v>
      </c>
      <c r="F5" s="31">
        <v>0.25306546003931041</v>
      </c>
      <c r="G5" s="32">
        <v>0.77946573342923353</v>
      </c>
      <c r="H5" s="32">
        <v>0.8327732999954236</v>
      </c>
      <c r="I5" s="31">
        <v>9.2180768529706664E-2</v>
      </c>
      <c r="J5" s="31">
        <v>0.32723668608398665</v>
      </c>
      <c r="K5" s="31">
        <v>6.4354999999999996E-2</v>
      </c>
      <c r="L5" s="31">
        <v>0.14561415127969835</v>
      </c>
      <c r="M5" s="31">
        <v>8.5756205989288903E-2</v>
      </c>
      <c r="N5" s="32">
        <v>1.6689116104178496</v>
      </c>
      <c r="O5" s="32">
        <v>2.4393038474523534</v>
      </c>
      <c r="P5" s="32">
        <v>13.192840233095488</v>
      </c>
      <c r="Q5" s="32">
        <v>16.125324871999986</v>
      </c>
      <c r="R5" s="32">
        <v>3.6292338849372463</v>
      </c>
      <c r="S5" s="32">
        <v>42.488215468913204</v>
      </c>
      <c r="T5" s="31">
        <v>0.22428068163286738</v>
      </c>
      <c r="U5" s="31">
        <v>5.1634120766826712E-2</v>
      </c>
      <c r="V5" s="31">
        <v>3.4267562712317463E-2</v>
      </c>
      <c r="W5" s="31">
        <v>0.52147230642361864</v>
      </c>
      <c r="X5" s="31">
        <v>0.17062717492423177</v>
      </c>
      <c r="Y5" s="31">
        <v>0.42378359803405485</v>
      </c>
      <c r="Z5" s="31">
        <v>0.42378359803405485</v>
      </c>
      <c r="AA5" s="65">
        <v>0.1480413804203404</v>
      </c>
    </row>
    <row r="6" spans="1:27">
      <c r="A6" s="29" t="s">
        <v>98</v>
      </c>
      <c r="B6" s="30">
        <v>165</v>
      </c>
      <c r="C6" s="31">
        <v>8.1321568627451005E-2</v>
      </c>
      <c r="D6" s="31">
        <v>7.5594608796639998E-2</v>
      </c>
      <c r="E6" s="31">
        <v>8.6167570629544429E-2</v>
      </c>
      <c r="F6" s="31">
        <v>0.21881134556526194</v>
      </c>
      <c r="G6" s="32">
        <v>1.1030216126379662</v>
      </c>
      <c r="H6" s="32">
        <v>1.3606863499868866</v>
      </c>
      <c r="I6" s="31">
        <v>0.12601999503415945</v>
      </c>
      <c r="J6" s="31">
        <v>0.36463723432108103</v>
      </c>
      <c r="K6" s="31">
        <v>6.4354999999999996E-2</v>
      </c>
      <c r="L6" s="31">
        <v>0.35609740761964193</v>
      </c>
      <c r="M6" s="31">
        <v>9.8258754719041108E-2</v>
      </c>
      <c r="N6" s="32">
        <v>1.2339366809197057</v>
      </c>
      <c r="O6" s="32">
        <v>1.2010454020784698</v>
      </c>
      <c r="P6" s="32">
        <v>9.8422842102529184</v>
      </c>
      <c r="Q6" s="32">
        <v>15.278938923875362</v>
      </c>
      <c r="R6" s="32">
        <v>1.6673634307963558</v>
      </c>
      <c r="S6" s="32">
        <v>42.264064058692334</v>
      </c>
      <c r="T6" s="31">
        <v>2.1279099706557173E-2</v>
      </c>
      <c r="U6" s="31">
        <v>6.0660184486618751E-2</v>
      </c>
      <c r="V6" s="31">
        <v>3.4611750465439226E-2</v>
      </c>
      <c r="W6" s="31">
        <v>0.70382133445662309</v>
      </c>
      <c r="X6" s="31">
        <v>0.14502972145556844</v>
      </c>
      <c r="Y6" s="31">
        <v>0.26552011184291902</v>
      </c>
      <c r="Z6" s="31">
        <v>0.26552011184291902</v>
      </c>
      <c r="AA6" s="65">
        <v>7.7383712559417714E-2</v>
      </c>
    </row>
    <row r="7" spans="1:27">
      <c r="A7" s="29" t="s">
        <v>99</v>
      </c>
      <c r="B7" s="30">
        <v>761</v>
      </c>
      <c r="C7" s="31">
        <v>6.8719931740614457E-2</v>
      </c>
      <c r="D7" s="31">
        <v>5.0112864897864803E-2</v>
      </c>
      <c r="E7" s="31">
        <v>6.9513426919346172E-2</v>
      </c>
      <c r="F7" s="31">
        <v>0.24077430357322982</v>
      </c>
      <c r="G7" s="32">
        <v>1.2090551528976201</v>
      </c>
      <c r="H7" s="32">
        <v>1.3055576462563983</v>
      </c>
      <c r="I7" s="31">
        <v>0.12248624512503513</v>
      </c>
      <c r="J7" s="31">
        <v>0.30389336137361062</v>
      </c>
      <c r="K7" s="31">
        <v>6.4354999999999996E-2</v>
      </c>
      <c r="L7" s="31">
        <v>0.23444226966537252</v>
      </c>
      <c r="M7" s="31">
        <v>0.10503766091012319</v>
      </c>
      <c r="N7" s="32">
        <v>1.7302940449169695</v>
      </c>
      <c r="O7" s="32">
        <v>0.82655482438861694</v>
      </c>
      <c r="P7" s="32">
        <v>8.5539997462023134</v>
      </c>
      <c r="Q7" s="32">
        <v>15.807321844185415</v>
      </c>
      <c r="R7" s="32">
        <v>1.4984185462279598</v>
      </c>
      <c r="S7" s="32">
        <v>130.48897980538902</v>
      </c>
      <c r="T7" s="31">
        <v>0.11764661032295171</v>
      </c>
      <c r="U7" s="31">
        <v>5.3688520658493728E-2</v>
      </c>
      <c r="V7" s="31">
        <v>3.8473888094413308E-2</v>
      </c>
      <c r="W7" s="31">
        <v>1.1613589310967309</v>
      </c>
      <c r="X7" s="31">
        <v>7.5788200409424869E-2</v>
      </c>
      <c r="Y7" s="31">
        <v>0.41658239132927549</v>
      </c>
      <c r="Z7" s="31">
        <v>0.41658239132927544</v>
      </c>
      <c r="AA7" s="65">
        <v>4.8274277955413517E-2</v>
      </c>
    </row>
    <row r="8" spans="1:27">
      <c r="A8" s="29" t="s">
        <v>190</v>
      </c>
      <c r="B8" s="30">
        <v>607</v>
      </c>
      <c r="C8" s="31">
        <v>0.12026280219780222</v>
      </c>
      <c r="D8" s="31">
        <v>2.836437566956165E-3</v>
      </c>
      <c r="E8" s="31">
        <v>3.8710600933369518E-4</v>
      </c>
      <c r="F8" s="31">
        <v>0.18590464159135889</v>
      </c>
      <c r="G8" s="32">
        <v>0.42062215883943554</v>
      </c>
      <c r="H8" s="32">
        <v>0.87661222593848698</v>
      </c>
      <c r="I8" s="31">
        <v>9.499084368265702E-2</v>
      </c>
      <c r="J8" s="31">
        <v>0.21280779215491177</v>
      </c>
      <c r="K8" s="31">
        <v>5.8542999999999998E-2</v>
      </c>
      <c r="L8" s="31">
        <v>0.74422547902114233</v>
      </c>
      <c r="M8" s="31">
        <v>5.6833710288961531E-2</v>
      </c>
      <c r="N8" s="32">
        <v>0.15911567619584571</v>
      </c>
      <c r="O8" s="32">
        <v>6.7699193362529693</v>
      </c>
      <c r="P8" s="32">
        <v>189.89899252176048</v>
      </c>
      <c r="Q8" s="32" t="s">
        <v>169</v>
      </c>
      <c r="R8" s="32">
        <v>0.84234956897519375</v>
      </c>
      <c r="S8" s="32">
        <v>14.729077831666997</v>
      </c>
      <c r="T8" s="31" t="s">
        <v>169</v>
      </c>
      <c r="U8" s="31">
        <v>3.3254363502624396E-2</v>
      </c>
      <c r="V8" s="31">
        <v>5.0798671170112046E-2</v>
      </c>
      <c r="W8" s="31">
        <v>19.575019416478412</v>
      </c>
      <c r="X8" s="31">
        <v>0.12654306384811947</v>
      </c>
      <c r="Y8" s="31">
        <v>0.3069542161513743</v>
      </c>
      <c r="Z8" s="31">
        <v>0.3069542161513743</v>
      </c>
      <c r="AA8" s="65">
        <v>3.1046482550396858E-3</v>
      </c>
    </row>
    <row r="9" spans="1:27">
      <c r="A9" s="29" t="s">
        <v>100</v>
      </c>
      <c r="B9" s="30">
        <v>881</v>
      </c>
      <c r="C9" s="31">
        <v>8.4004418282548593E-2</v>
      </c>
      <c r="D9" s="31">
        <v>-1.0767472807027948E-4</v>
      </c>
      <c r="E9" s="31">
        <v>-1.4741659961087388E-4</v>
      </c>
      <c r="F9" s="31">
        <v>0.19178309540764671</v>
      </c>
      <c r="G9" s="32">
        <v>0.28391223862464121</v>
      </c>
      <c r="H9" s="32">
        <v>0.52308360515971275</v>
      </c>
      <c r="I9" s="31">
        <v>7.2329659090737589E-2</v>
      </c>
      <c r="J9" s="31">
        <v>0.1829555737562317</v>
      </c>
      <c r="K9" s="31">
        <v>5.8542999999999998E-2</v>
      </c>
      <c r="L9" s="31">
        <v>0.71756531239429977</v>
      </c>
      <c r="M9" s="31">
        <v>5.1800297269076687E-2</v>
      </c>
      <c r="N9" s="32">
        <v>0.17196644382490753</v>
      </c>
      <c r="O9" s="32">
        <v>5.8371202375026803</v>
      </c>
      <c r="P9" s="32" t="s">
        <v>169</v>
      </c>
      <c r="Q9" s="32" t="s">
        <v>169</v>
      </c>
      <c r="R9" s="32">
        <v>0.7449859762005423</v>
      </c>
      <c r="S9" s="32">
        <v>28.980754193617013</v>
      </c>
      <c r="T9" s="31" t="s">
        <v>169</v>
      </c>
      <c r="U9" s="31">
        <v>2.958498139413368E-2</v>
      </c>
      <c r="V9" s="31">
        <v>-4.2662562656123115E-2</v>
      </c>
      <c r="W9" s="31" t="s">
        <v>169</v>
      </c>
      <c r="X9" s="31">
        <v>9.8266834992314978E-2</v>
      </c>
      <c r="Y9" s="31">
        <v>0.29089509088479176</v>
      </c>
      <c r="Z9" s="31">
        <v>0.29089509088479182</v>
      </c>
      <c r="AA9" s="65">
        <v>-1.0386505223670634E-3</v>
      </c>
    </row>
    <row r="10" spans="1:27">
      <c r="A10" s="29" t="s">
        <v>101</v>
      </c>
      <c r="B10" s="30">
        <v>220</v>
      </c>
      <c r="C10" s="31">
        <v>8.2478474576271152E-2</v>
      </c>
      <c r="D10" s="31">
        <v>0.21689011757613924</v>
      </c>
      <c r="E10" s="31">
        <v>0.16067497723977506</v>
      </c>
      <c r="F10" s="31">
        <v>0.21945068244758553</v>
      </c>
      <c r="G10" s="32">
        <v>0.68658211006811931</v>
      </c>
      <c r="H10" s="32">
        <v>0.74556336192485029</v>
      </c>
      <c r="I10" s="31">
        <v>8.6590611499382908E-2</v>
      </c>
      <c r="J10" s="31">
        <v>0.27489398256287167</v>
      </c>
      <c r="K10" s="31">
        <v>6.4354999999999996E-2</v>
      </c>
      <c r="L10" s="31">
        <v>0.15736771820899165</v>
      </c>
      <c r="M10" s="31">
        <v>8.052718649999141E-2</v>
      </c>
      <c r="N10" s="32">
        <v>0.88209059613817564</v>
      </c>
      <c r="O10" s="32">
        <v>3.6455194860978168</v>
      </c>
      <c r="P10" s="32">
        <v>13.890019429473542</v>
      </c>
      <c r="Q10" s="32">
        <v>16.682460386274574</v>
      </c>
      <c r="R10" s="32">
        <v>3.176189348594515</v>
      </c>
      <c r="S10" s="32">
        <v>49.806144684265178</v>
      </c>
      <c r="T10" s="31">
        <v>0.10799586197824766</v>
      </c>
      <c r="U10" s="31">
        <v>5.1080512951848511E-2</v>
      </c>
      <c r="V10" s="31">
        <v>2.917893619654361E-2</v>
      </c>
      <c r="W10" s="31">
        <v>0.39674912424489028</v>
      </c>
      <c r="X10" s="31">
        <v>0.16528003825197413</v>
      </c>
      <c r="Y10" s="31">
        <v>0.44614569767062995</v>
      </c>
      <c r="Z10" s="31">
        <v>0.44614569767062995</v>
      </c>
      <c r="AA10" s="65">
        <v>0.21737063325584272</v>
      </c>
    </row>
    <row r="11" spans="1:27">
      <c r="A11" s="29" t="s">
        <v>191</v>
      </c>
      <c r="B11" s="30">
        <v>100</v>
      </c>
      <c r="C11" s="31">
        <v>0.13106444444444451</v>
      </c>
      <c r="D11" s="31">
        <v>0.16712851609847532</v>
      </c>
      <c r="E11" s="31">
        <v>0.2608297340208956</v>
      </c>
      <c r="F11" s="31">
        <v>0.20408115504017885</v>
      </c>
      <c r="G11" s="32">
        <v>0.65633360985128586</v>
      </c>
      <c r="H11" s="32">
        <v>0.70711615968510422</v>
      </c>
      <c r="I11" s="31">
        <v>8.412614583581518E-2</v>
      </c>
      <c r="J11" s="31">
        <v>0.32238073188669158</v>
      </c>
      <c r="K11" s="31">
        <v>6.4354999999999996E-2</v>
      </c>
      <c r="L11" s="31">
        <v>0.14148944903633848</v>
      </c>
      <c r="M11" s="31">
        <v>7.9023211160328455E-2</v>
      </c>
      <c r="N11" s="32">
        <v>1.7627547191775155</v>
      </c>
      <c r="O11" s="32">
        <v>3.5378584257458057</v>
      </c>
      <c r="P11" s="32">
        <v>17.269454444972265</v>
      </c>
      <c r="Q11" s="32">
        <v>21.066831643634497</v>
      </c>
      <c r="R11" s="32">
        <v>6.2212477334543177</v>
      </c>
      <c r="S11" s="32">
        <v>34.11006197729769</v>
      </c>
      <c r="T11" s="31">
        <v>-4.6222997524781692E-2</v>
      </c>
      <c r="U11" s="31">
        <v>4.6679170313504027E-2</v>
      </c>
      <c r="V11" s="31">
        <v>2.2693158799400592E-2</v>
      </c>
      <c r="W11" s="31">
        <v>0.28353809683457926</v>
      </c>
      <c r="X11" s="31">
        <v>0.2576342081193243</v>
      </c>
      <c r="Y11" s="31">
        <v>0.63108793040666566</v>
      </c>
      <c r="Z11" s="31">
        <v>0.63108793040666566</v>
      </c>
      <c r="AA11" s="65">
        <v>0.16780765336144987</v>
      </c>
    </row>
    <row r="12" spans="1:27">
      <c r="A12" s="29" t="s">
        <v>102</v>
      </c>
      <c r="B12" s="30">
        <v>130</v>
      </c>
      <c r="C12" s="31">
        <v>4.030675925925923E-2</v>
      </c>
      <c r="D12" s="31">
        <v>9.9129608106528558E-2</v>
      </c>
      <c r="E12" s="31">
        <v>8.8152853321582583E-2</v>
      </c>
      <c r="F12" s="31">
        <v>0.25292769638038876</v>
      </c>
      <c r="G12" s="32">
        <v>0.66373823913789409</v>
      </c>
      <c r="H12" s="32">
        <v>0.98196857098756574</v>
      </c>
      <c r="I12" s="31">
        <v>0.10174418540030297</v>
      </c>
      <c r="J12" s="31">
        <v>0.31539632930060441</v>
      </c>
      <c r="K12" s="31">
        <v>6.4354999999999996E-2</v>
      </c>
      <c r="L12" s="31">
        <v>0.46662626831965853</v>
      </c>
      <c r="M12" s="31">
        <v>7.6693880819827157E-2</v>
      </c>
      <c r="N12" s="32">
        <v>1.0482622756377238</v>
      </c>
      <c r="O12" s="32">
        <v>1.1859945658791715</v>
      </c>
      <c r="P12" s="32">
        <v>7.8705781500574945</v>
      </c>
      <c r="Q12" s="32">
        <v>11.666819517509953</v>
      </c>
      <c r="R12" s="32">
        <v>0.74709201201005304</v>
      </c>
      <c r="S12" s="32">
        <v>45.336231476624697</v>
      </c>
      <c r="T12" s="31">
        <v>0.12358975266083913</v>
      </c>
      <c r="U12" s="31">
        <v>3.7688122982498302E-2</v>
      </c>
      <c r="V12" s="31">
        <v>-2.745963089018547E-3</v>
      </c>
      <c r="W12" s="31">
        <v>1.536797306304446</v>
      </c>
      <c r="X12" s="31">
        <v>-3.5567526500278491E-3</v>
      </c>
      <c r="Y12" s="31">
        <v>4.7085165407288673E-3</v>
      </c>
      <c r="Z12" s="31">
        <v>4.708516540728902E-3</v>
      </c>
      <c r="AA12" s="65">
        <v>9.8763142965122647E-2</v>
      </c>
    </row>
    <row r="13" spans="1:27">
      <c r="A13" s="29" t="s">
        <v>103</v>
      </c>
      <c r="B13" s="30">
        <v>590</v>
      </c>
      <c r="C13" s="31">
        <v>0.10416122249388746</v>
      </c>
      <c r="D13" s="31">
        <v>1.1775589724179554E-2</v>
      </c>
      <c r="E13" s="31">
        <v>1.8058244106970486E-3</v>
      </c>
      <c r="F13" s="31">
        <v>0.18959734608836737</v>
      </c>
      <c r="G13" s="32">
        <v>0.39976610514833744</v>
      </c>
      <c r="H13" s="32">
        <v>0.92867816558663385</v>
      </c>
      <c r="I13" s="31">
        <v>9.8328270414103233E-2</v>
      </c>
      <c r="J13" s="31">
        <v>0.31951733900502816</v>
      </c>
      <c r="K13" s="31">
        <v>6.4354999999999996E-2</v>
      </c>
      <c r="L13" s="31">
        <v>0.71231609094302373</v>
      </c>
      <c r="M13" s="31">
        <v>6.2521596201514928E-2</v>
      </c>
      <c r="N13" s="32">
        <v>0.18374812093580101</v>
      </c>
      <c r="O13" s="32">
        <v>6.8227983793976916</v>
      </c>
      <c r="P13" s="32">
        <v>189.17464263492164</v>
      </c>
      <c r="Q13" s="32" t="s">
        <v>169</v>
      </c>
      <c r="R13" s="32">
        <v>1.2584232975164984</v>
      </c>
      <c r="S13" s="32">
        <v>115.17713682796492</v>
      </c>
      <c r="T13" s="31" t="s">
        <v>169</v>
      </c>
      <c r="U13" s="31">
        <v>3.2147267807055589E-2</v>
      </c>
      <c r="V13" s="31">
        <v>1.784038062272536E-2</v>
      </c>
      <c r="W13" s="31">
        <v>8.4602071210860217</v>
      </c>
      <c r="X13" s="31">
        <v>7.6645177486536833E-2</v>
      </c>
      <c r="Y13" s="31">
        <v>0.59630235260648212</v>
      </c>
      <c r="Z13" s="31">
        <v>0.59630235260648212</v>
      </c>
      <c r="AA13" s="65">
        <v>1.1347044853309701E-2</v>
      </c>
    </row>
    <row r="14" spans="1:27">
      <c r="A14" s="29" t="s">
        <v>104</v>
      </c>
      <c r="B14" s="30">
        <v>457</v>
      </c>
      <c r="C14" s="31">
        <v>6.0341779661016975E-2</v>
      </c>
      <c r="D14" s="31">
        <v>0.10639298425330174</v>
      </c>
      <c r="E14" s="31">
        <v>0.16730290380377014</v>
      </c>
      <c r="F14" s="31">
        <v>0.22838372211226882</v>
      </c>
      <c r="G14" s="32">
        <v>0.94049139107378144</v>
      </c>
      <c r="H14" s="32">
        <v>1.0314797894224859</v>
      </c>
      <c r="I14" s="31">
        <v>0.10491785450198135</v>
      </c>
      <c r="J14" s="31">
        <v>0.28001303760534801</v>
      </c>
      <c r="K14" s="31">
        <v>6.4354999999999996E-2</v>
      </c>
      <c r="L14" s="31">
        <v>0.17800859680469788</v>
      </c>
      <c r="M14" s="31">
        <v>9.4796723499457378E-2</v>
      </c>
      <c r="N14" s="32">
        <v>1.8434295701551509</v>
      </c>
      <c r="O14" s="32">
        <v>1.7142682425921849</v>
      </c>
      <c r="P14" s="32">
        <v>11.505961873812181</v>
      </c>
      <c r="Q14" s="32">
        <v>15.690307278203431</v>
      </c>
      <c r="R14" s="32">
        <v>2.8207400308199988</v>
      </c>
      <c r="S14" s="32">
        <v>28.790076883849167</v>
      </c>
      <c r="T14" s="31">
        <v>0.17489299179969522</v>
      </c>
      <c r="U14" s="31">
        <v>4.3511059957789401E-2</v>
      </c>
      <c r="V14" s="31">
        <v>5.1551982456434026E-2</v>
      </c>
      <c r="W14" s="31">
        <v>0.67999326816282113</v>
      </c>
      <c r="X14" s="31">
        <v>0.13388147527037284</v>
      </c>
      <c r="Y14" s="31">
        <v>0.388872338450932</v>
      </c>
      <c r="Z14" s="31">
        <v>0.38887233845093205</v>
      </c>
      <c r="AA14" s="65">
        <v>0.10786546811677485</v>
      </c>
    </row>
    <row r="15" spans="1:27">
      <c r="A15" s="29" t="s">
        <v>105</v>
      </c>
      <c r="B15" s="30">
        <v>980</v>
      </c>
      <c r="C15" s="31">
        <v>7.4751886503067494E-2</v>
      </c>
      <c r="D15" s="31">
        <v>9.1545350405106973E-2</v>
      </c>
      <c r="E15" s="31">
        <v>0.21051840184826312</v>
      </c>
      <c r="F15" s="31">
        <v>0.24712005235110177</v>
      </c>
      <c r="G15" s="32">
        <v>0.96407247528666307</v>
      </c>
      <c r="H15" s="32">
        <v>1.0420886881980234</v>
      </c>
      <c r="I15" s="31">
        <v>0.1055978849134933</v>
      </c>
      <c r="J15" s="31">
        <v>0.33306409769419965</v>
      </c>
      <c r="K15" s="31">
        <v>6.4354999999999996E-2</v>
      </c>
      <c r="L15" s="31">
        <v>0.16018506974822763</v>
      </c>
      <c r="M15" s="31">
        <v>9.6381225103571791E-2</v>
      </c>
      <c r="N15" s="32">
        <v>2.715334288051404</v>
      </c>
      <c r="O15" s="32">
        <v>2.0557335896830184</v>
      </c>
      <c r="P15" s="32">
        <v>15.444300197282416</v>
      </c>
      <c r="Q15" s="32">
        <v>21.523989925145624</v>
      </c>
      <c r="R15" s="32">
        <v>4.4253804849140437</v>
      </c>
      <c r="S15" s="32">
        <v>215.34905421682527</v>
      </c>
      <c r="T15" s="31">
        <v>0.10538724930811728</v>
      </c>
      <c r="U15" s="31">
        <v>2.710004729962024E-2</v>
      </c>
      <c r="V15" s="31">
        <v>1.4473205088458613E-2</v>
      </c>
      <c r="W15" s="31">
        <v>0.30416219191382826</v>
      </c>
      <c r="X15" s="31">
        <v>0.13588911707732601</v>
      </c>
      <c r="Y15" s="31">
        <v>0.54379558964753638</v>
      </c>
      <c r="Z15" s="31">
        <v>0.54379558964753638</v>
      </c>
      <c r="AA15" s="65">
        <v>9.3079704150063891E-2</v>
      </c>
    </row>
    <row r="16" spans="1:27">
      <c r="A16" s="29" t="s">
        <v>106</v>
      </c>
      <c r="B16" s="30">
        <v>48</v>
      </c>
      <c r="C16" s="31">
        <v>4.1942682926829289E-2</v>
      </c>
      <c r="D16" s="31">
        <v>0.18608743617896145</v>
      </c>
      <c r="E16" s="31">
        <v>0.12004314941711695</v>
      </c>
      <c r="F16" s="31">
        <v>0.25003543339469997</v>
      </c>
      <c r="G16" s="32">
        <v>0.60757745917594519</v>
      </c>
      <c r="H16" s="32">
        <v>1.0211435017770623</v>
      </c>
      <c r="I16" s="31">
        <v>0.1042552984639097</v>
      </c>
      <c r="J16" s="31">
        <v>0.30910674067589428</v>
      </c>
      <c r="K16" s="31">
        <v>6.4354999999999996E-2</v>
      </c>
      <c r="L16" s="31">
        <v>0.49229680226199318</v>
      </c>
      <c r="M16" s="31">
        <v>7.6590687309164573E-2</v>
      </c>
      <c r="N16" s="32">
        <v>0.75937230431464287</v>
      </c>
      <c r="O16" s="32">
        <v>2.5412604191516617</v>
      </c>
      <c r="P16" s="32">
        <v>7.8754763695141152</v>
      </c>
      <c r="Q16" s="32">
        <v>13.842133335680833</v>
      </c>
      <c r="R16" s="32">
        <v>1.8679221543730586</v>
      </c>
      <c r="S16" s="32">
        <v>34.875965970574853</v>
      </c>
      <c r="T16" s="31">
        <v>7.5306298202324311E-3</v>
      </c>
      <c r="U16" s="31">
        <v>0.14155246221551379</v>
      </c>
      <c r="V16" s="31">
        <v>1.4127987573296598E-2</v>
      </c>
      <c r="W16" s="31">
        <v>0.18025282473487292</v>
      </c>
      <c r="X16" s="31">
        <v>0.15882582093501948</v>
      </c>
      <c r="Y16" s="31">
        <v>0.24726748870441223</v>
      </c>
      <c r="Z16" s="31">
        <v>0.24726748870441217</v>
      </c>
      <c r="AA16" s="65">
        <v>0.18267772317044448</v>
      </c>
    </row>
    <row r="17" spans="1:27">
      <c r="A17" s="29" t="s">
        <v>107</v>
      </c>
      <c r="B17" s="30">
        <v>888</v>
      </c>
      <c r="C17" s="31">
        <v>8.5872087087087254E-2</v>
      </c>
      <c r="D17" s="31">
        <v>4.654223591776669E-2</v>
      </c>
      <c r="E17" s="31">
        <v>4.6390050897023735E-2</v>
      </c>
      <c r="F17" s="31">
        <v>0.19898679373546302</v>
      </c>
      <c r="G17" s="32">
        <v>0.90192728654346632</v>
      </c>
      <c r="H17" s="32">
        <v>1.0727320656318433</v>
      </c>
      <c r="I17" s="31">
        <v>0.10756212540700116</v>
      </c>
      <c r="J17" s="31">
        <v>0.28877338728448732</v>
      </c>
      <c r="K17" s="31">
        <v>6.4354999999999996E-2</v>
      </c>
      <c r="L17" s="31">
        <v>0.30060028166786401</v>
      </c>
      <c r="M17" s="31">
        <v>8.9675864138308484E-2</v>
      </c>
      <c r="N17" s="32">
        <v>1.142331199467975</v>
      </c>
      <c r="O17" s="32">
        <v>1.3267680881060939</v>
      </c>
      <c r="P17" s="32">
        <v>12.709580510846019</v>
      </c>
      <c r="Q17" s="32">
        <v>26.906774069294407</v>
      </c>
      <c r="R17" s="32">
        <v>1.4647625666630479</v>
      </c>
      <c r="S17" s="32">
        <v>113.95451115517619</v>
      </c>
      <c r="T17" s="31">
        <v>0.13109121704272025</v>
      </c>
      <c r="U17" s="31">
        <v>9.3408741940223597E-2</v>
      </c>
      <c r="V17" s="31">
        <v>6.6481922015061645E-2</v>
      </c>
      <c r="W17" s="31">
        <v>1.9459032804024459</v>
      </c>
      <c r="X17" s="31">
        <v>3.8401073053239365E-2</v>
      </c>
      <c r="Y17" s="31">
        <v>1.4179036744594127</v>
      </c>
      <c r="Z17" s="31">
        <v>1.4179036744594127</v>
      </c>
      <c r="AA17" s="65">
        <v>4.7045768741900654E-2</v>
      </c>
    </row>
    <row r="18" spans="1:27">
      <c r="A18" s="29" t="s">
        <v>108</v>
      </c>
      <c r="B18" s="30">
        <v>64</v>
      </c>
      <c r="C18" s="31">
        <v>8.104345454545453E-2</v>
      </c>
      <c r="D18" s="31">
        <v>6.623860123534521E-2</v>
      </c>
      <c r="E18" s="31">
        <v>5.4454418663555132E-2</v>
      </c>
      <c r="F18" s="31">
        <v>0.22367776062870592</v>
      </c>
      <c r="G18" s="32">
        <v>0.84636700760429417</v>
      </c>
      <c r="H18" s="32">
        <v>1.0926752561445319</v>
      </c>
      <c r="I18" s="31">
        <v>0.1088404839188645</v>
      </c>
      <c r="J18" s="31">
        <v>0.22362857363875668</v>
      </c>
      <c r="K18" s="31">
        <v>5.8542999999999998E-2</v>
      </c>
      <c r="L18" s="31">
        <v>0.35776016912734643</v>
      </c>
      <c r="M18" s="31">
        <v>8.5542937238606079E-2</v>
      </c>
      <c r="N18" s="32">
        <v>1.0817263319048771</v>
      </c>
      <c r="O18" s="32">
        <v>1.0157982256985356</v>
      </c>
      <c r="P18" s="32">
        <v>7.9802615466451119</v>
      </c>
      <c r="Q18" s="32">
        <v>14.42353398816341</v>
      </c>
      <c r="R18" s="32">
        <v>1.1205497743065977</v>
      </c>
      <c r="S18" s="32">
        <v>82.991453933495322</v>
      </c>
      <c r="T18" s="31">
        <v>0.19327838179916976</v>
      </c>
      <c r="U18" s="31">
        <v>7.257792118322362E-2</v>
      </c>
      <c r="V18" s="31">
        <v>2.9991930051235523E-2</v>
      </c>
      <c r="W18" s="31">
        <v>0.49016869584410516</v>
      </c>
      <c r="X18" s="31">
        <v>2.9144222762520329E-2</v>
      </c>
      <c r="Y18" s="31">
        <v>1.7073693515687167</v>
      </c>
      <c r="Z18" s="31">
        <v>1.7073693515687167</v>
      </c>
      <c r="AA18" s="65">
        <v>6.5288297229942199E-2</v>
      </c>
    </row>
    <row r="19" spans="1:27">
      <c r="A19" s="29" t="s">
        <v>109</v>
      </c>
      <c r="B19" s="30">
        <v>949</v>
      </c>
      <c r="C19" s="31">
        <v>9.4848671874999943E-2</v>
      </c>
      <c r="D19" s="31">
        <v>0.11947289608979775</v>
      </c>
      <c r="E19" s="31">
        <v>0.12380681994346758</v>
      </c>
      <c r="F19" s="31">
        <v>0.20888360954709173</v>
      </c>
      <c r="G19" s="32">
        <v>0.94095302064487263</v>
      </c>
      <c r="H19" s="32">
        <v>1.0268135146120052</v>
      </c>
      <c r="I19" s="31">
        <v>0.10461874628662954</v>
      </c>
      <c r="J19" s="31">
        <v>0.31217963918359742</v>
      </c>
      <c r="K19" s="31">
        <v>6.4354999999999996E-2</v>
      </c>
      <c r="L19" s="31">
        <v>0.17874753360855916</v>
      </c>
      <c r="M19" s="31">
        <v>9.4509066010627807E-2</v>
      </c>
      <c r="N19" s="32">
        <v>1.2093762157449224</v>
      </c>
      <c r="O19" s="32">
        <v>2.2521789021943541</v>
      </c>
      <c r="P19" s="32">
        <v>12.466233046293389</v>
      </c>
      <c r="Q19" s="32">
        <v>18.488180723537521</v>
      </c>
      <c r="R19" s="32">
        <v>2.4503177323688599</v>
      </c>
      <c r="S19" s="32">
        <v>46.349690338048291</v>
      </c>
      <c r="T19" s="31">
        <v>0.18241924623939815</v>
      </c>
      <c r="U19" s="31">
        <v>8.8331116330068696E-2</v>
      </c>
      <c r="V19" s="31">
        <v>6.7377140830119739E-2</v>
      </c>
      <c r="W19" s="31">
        <v>0.7886187208447869</v>
      </c>
      <c r="X19" s="31">
        <v>0.12070412277404113</v>
      </c>
      <c r="Y19" s="31">
        <v>0.5171976243077383</v>
      </c>
      <c r="Z19" s="31">
        <v>0.5171976243077383</v>
      </c>
      <c r="AA19" s="65">
        <v>0.11942987979894916</v>
      </c>
    </row>
    <row r="20" spans="1:27">
      <c r="A20" s="29" t="s">
        <v>110</v>
      </c>
      <c r="B20" s="30">
        <v>215</v>
      </c>
      <c r="C20" s="31">
        <v>0.14781403669724769</v>
      </c>
      <c r="D20" s="31">
        <v>0.24031355444243951</v>
      </c>
      <c r="E20" s="31">
        <v>0.32220933558353676</v>
      </c>
      <c r="F20" s="31">
        <v>0.22559346242492304</v>
      </c>
      <c r="G20" s="32">
        <v>1.0773641639143725</v>
      </c>
      <c r="H20" s="32">
        <v>1.0062570197628331</v>
      </c>
      <c r="I20" s="31">
        <v>0.10330107496679761</v>
      </c>
      <c r="J20" s="31">
        <v>0.50421472982286319</v>
      </c>
      <c r="K20" s="31">
        <v>6.7024E-2</v>
      </c>
      <c r="L20" s="31">
        <v>0.16520601635212578</v>
      </c>
      <c r="M20" s="31">
        <v>9.4504259058901377E-2</v>
      </c>
      <c r="N20" s="32">
        <v>1.4921479319729078</v>
      </c>
      <c r="O20" s="32">
        <v>1.307114805453607</v>
      </c>
      <c r="P20" s="32">
        <v>4.0711931172113465</v>
      </c>
      <c r="Q20" s="32">
        <v>5.1735912674569757</v>
      </c>
      <c r="R20" s="32">
        <v>1.5046538096423796</v>
      </c>
      <c r="S20" s="32">
        <v>25.295557069036441</v>
      </c>
      <c r="T20" s="31">
        <v>-3.0186938808872188E-2</v>
      </c>
      <c r="U20" s="31">
        <v>9.0487992187492899E-2</v>
      </c>
      <c r="V20" s="31">
        <v>5.1223276068080345E-2</v>
      </c>
      <c r="W20" s="31">
        <v>0.24945089536313925</v>
      </c>
      <c r="X20" s="31">
        <v>0.21362534829389418</v>
      </c>
      <c r="Y20" s="31">
        <v>0.76433441749502462</v>
      </c>
      <c r="Z20" s="31">
        <v>0.76433441749502462</v>
      </c>
      <c r="AA20" s="65">
        <v>0.2407923047427524</v>
      </c>
    </row>
    <row r="21" spans="1:27">
      <c r="A21" s="29" t="s">
        <v>111</v>
      </c>
      <c r="B21" s="30">
        <v>1164</v>
      </c>
      <c r="C21" s="31">
        <v>0.10303601552393267</v>
      </c>
      <c r="D21" s="31">
        <v>7.5579066178782559E-2</v>
      </c>
      <c r="E21" s="31">
        <v>0.21094949668920507</v>
      </c>
      <c r="F21" s="31">
        <v>0.23628691375717001</v>
      </c>
      <c r="G21" s="32">
        <v>1.001453208627515</v>
      </c>
      <c r="H21" s="32">
        <v>1.0414842742265753</v>
      </c>
      <c r="I21" s="31">
        <v>0.10555914197792349</v>
      </c>
      <c r="J21" s="31">
        <v>0.32895362923180793</v>
      </c>
      <c r="K21" s="31">
        <v>6.4354999999999996E-2</v>
      </c>
      <c r="L21" s="31">
        <v>0.12391040167313523</v>
      </c>
      <c r="M21" s="31">
        <v>9.8434439107444482E-2</v>
      </c>
      <c r="N21" s="32">
        <v>3.2861205177683659</v>
      </c>
      <c r="O21" s="32">
        <v>1.5245898873969437</v>
      </c>
      <c r="P21" s="32">
        <v>14.677564171647038</v>
      </c>
      <c r="Q21" s="32">
        <v>19.463101367592586</v>
      </c>
      <c r="R21" s="32">
        <v>3.9981872658666</v>
      </c>
      <c r="S21" s="32">
        <v>64.471243455611642</v>
      </c>
      <c r="T21" s="31">
        <v>0.15358638268892377</v>
      </c>
      <c r="U21" s="31">
        <v>1.5317632718716551E-2</v>
      </c>
      <c r="V21" s="31">
        <v>1.1342015868972563E-2</v>
      </c>
      <c r="W21" s="31">
        <v>0.2766352009390598</v>
      </c>
      <c r="X21" s="31">
        <v>0.16017730806734773</v>
      </c>
      <c r="Y21" s="31">
        <v>0.53071092220335547</v>
      </c>
      <c r="Z21" s="31">
        <v>0.53071092220335547</v>
      </c>
      <c r="AA21" s="65">
        <v>7.6819538899117717E-2</v>
      </c>
    </row>
    <row r="22" spans="1:27">
      <c r="A22" s="29" t="s">
        <v>112</v>
      </c>
      <c r="B22" s="30">
        <v>338</v>
      </c>
      <c r="C22" s="31">
        <v>5.7764980544747248E-3</v>
      </c>
      <c r="D22" s="31">
        <v>0.11390914392035245</v>
      </c>
      <c r="E22" s="31">
        <v>0.15747684459567854</v>
      </c>
      <c r="F22" s="31">
        <v>0.150965347853491</v>
      </c>
      <c r="G22" s="32">
        <v>1.2534021480264679</v>
      </c>
      <c r="H22" s="32">
        <v>1.2665979213694358</v>
      </c>
      <c r="I22" s="31">
        <v>0.11998892675978085</v>
      </c>
      <c r="J22" s="31">
        <v>0.32935741174104016</v>
      </c>
      <c r="K22" s="31">
        <v>6.4354999999999996E-2</v>
      </c>
      <c r="L22" s="31">
        <v>7.0298242348147855E-2</v>
      </c>
      <c r="M22" s="31">
        <v>0.11493247170822769</v>
      </c>
      <c r="N22" s="32">
        <v>1.6364958004251178</v>
      </c>
      <c r="O22" s="32">
        <v>3.0481583211129686</v>
      </c>
      <c r="P22" s="32">
        <v>18.661505715430845</v>
      </c>
      <c r="Q22" s="32">
        <v>26.4426629923273</v>
      </c>
      <c r="R22" s="32">
        <v>6.7989481055691368</v>
      </c>
      <c r="S22" s="32">
        <v>54.682422056511975</v>
      </c>
      <c r="T22" s="31">
        <v>2.0955925405338062E-2</v>
      </c>
      <c r="U22" s="31">
        <v>5.6849932065830659E-2</v>
      </c>
      <c r="V22" s="31">
        <v>3.4593624971602087E-2</v>
      </c>
      <c r="W22" s="31">
        <v>0.38943365679267322</v>
      </c>
      <c r="X22" s="31">
        <v>0.28447577234191701</v>
      </c>
      <c r="Y22" s="31">
        <v>0.24867757226688211</v>
      </c>
      <c r="Z22" s="31">
        <v>0.24867757226688214</v>
      </c>
      <c r="AA22" s="65">
        <v>0.11013239847595391</v>
      </c>
    </row>
    <row r="23" spans="1:27">
      <c r="A23" s="29" t="s">
        <v>192</v>
      </c>
      <c r="B23" s="30">
        <v>453</v>
      </c>
      <c r="C23" s="31">
        <v>9.4758753541076601E-2</v>
      </c>
      <c r="D23" s="31">
        <v>9.8854729669745123E-2</v>
      </c>
      <c r="E23" s="31">
        <v>7.7513426872213131E-2</v>
      </c>
      <c r="F23" s="31">
        <v>0.22830902130589892</v>
      </c>
      <c r="G23" s="32">
        <v>0.73700427741656926</v>
      </c>
      <c r="H23" s="32">
        <v>0.89500190186379802</v>
      </c>
      <c r="I23" s="31">
        <v>9.6169621909469455E-2</v>
      </c>
      <c r="J23" s="31">
        <v>0.26865017026949123</v>
      </c>
      <c r="K23" s="31">
        <v>6.4354999999999996E-2</v>
      </c>
      <c r="L23" s="31">
        <v>0.29922439180863503</v>
      </c>
      <c r="M23" s="31">
        <v>8.1774143509924097E-2</v>
      </c>
      <c r="N23" s="32">
        <v>0.94894787582701789</v>
      </c>
      <c r="O23" s="32">
        <v>1.6529551905702238</v>
      </c>
      <c r="P23" s="32">
        <v>10.165000157653116</v>
      </c>
      <c r="Q23" s="32">
        <v>16.387287224486034</v>
      </c>
      <c r="R23" s="32">
        <v>1.3202122622121673</v>
      </c>
      <c r="S23" s="32">
        <v>82.491170550200664</v>
      </c>
      <c r="T23" s="31">
        <v>0.1329862764554581</v>
      </c>
      <c r="U23" s="31">
        <v>7.8721678720395372E-2</v>
      </c>
      <c r="V23" s="31">
        <v>4.200794563938072E-2</v>
      </c>
      <c r="W23" s="31">
        <v>0.7819342931226485</v>
      </c>
      <c r="X23" s="31">
        <v>8.3677485685436037E-2</v>
      </c>
      <c r="Y23" s="31">
        <v>0.4649157952623415</v>
      </c>
      <c r="Z23" s="31">
        <v>0.4649157952623415</v>
      </c>
      <c r="AA23" s="65">
        <v>9.853962250230687E-2</v>
      </c>
    </row>
    <row r="24" spans="1:27">
      <c r="A24" s="29" t="s">
        <v>113</v>
      </c>
      <c r="B24" s="30">
        <v>326</v>
      </c>
      <c r="C24" s="31">
        <v>8.0914939759036103E-2</v>
      </c>
      <c r="D24" s="31">
        <v>0.15638955743055635</v>
      </c>
      <c r="E24" s="31">
        <v>0.11943531860178909</v>
      </c>
      <c r="F24" s="31">
        <v>0.17383650907577233</v>
      </c>
      <c r="G24" s="32">
        <v>0.74470552214311936</v>
      </c>
      <c r="H24" s="32">
        <v>0.95356749790141293</v>
      </c>
      <c r="I24" s="31">
        <v>9.9923676615480572E-2</v>
      </c>
      <c r="J24" s="31">
        <v>0.27139035177107124</v>
      </c>
      <c r="K24" s="31">
        <v>6.4354999999999996E-2</v>
      </c>
      <c r="L24" s="31">
        <v>0.34006148234701139</v>
      </c>
      <c r="M24" s="31">
        <v>8.228694464495967E-2</v>
      </c>
      <c r="N24" s="32">
        <v>0.85444722366752124</v>
      </c>
      <c r="O24" s="32">
        <v>1.8308485319739563</v>
      </c>
      <c r="P24" s="32">
        <v>8.9318342403153697</v>
      </c>
      <c r="Q24" s="32">
        <v>11.141035054865846</v>
      </c>
      <c r="R24" s="32">
        <v>1.2240143580284992</v>
      </c>
      <c r="S24" s="32">
        <v>18.171079196107403</v>
      </c>
      <c r="T24" s="31">
        <v>-9.4527901245703039E-2</v>
      </c>
      <c r="U24" s="31">
        <v>4.8969042848116234E-2</v>
      </c>
      <c r="V24" s="31">
        <v>3.6123723176753823E-2</v>
      </c>
      <c r="W24" s="31">
        <v>0.37089583397223813</v>
      </c>
      <c r="X24" s="31">
        <v>0.1309759974200245</v>
      </c>
      <c r="Y24" s="31">
        <v>0.20065345310626242</v>
      </c>
      <c r="Z24" s="31">
        <v>0.20065345310626248</v>
      </c>
      <c r="AA24" s="65">
        <v>0.16233635937033883</v>
      </c>
    </row>
    <row r="25" spans="1:27">
      <c r="A25" s="29" t="s">
        <v>193</v>
      </c>
      <c r="B25" s="30">
        <v>1259</v>
      </c>
      <c r="C25" s="31">
        <v>0.20205506249999991</v>
      </c>
      <c r="D25" s="31">
        <v>-4.3496541654489069E-3</v>
      </c>
      <c r="E25" s="31">
        <v>6.9302625462042151E-3</v>
      </c>
      <c r="F25" s="31">
        <v>0.16290318362799447</v>
      </c>
      <c r="G25" s="32">
        <v>1.1499580759492702</v>
      </c>
      <c r="H25" s="32">
        <v>1.1735861272458452</v>
      </c>
      <c r="I25" s="31">
        <v>0.11402687075645869</v>
      </c>
      <c r="J25" s="31">
        <v>0.53278356840303376</v>
      </c>
      <c r="K25" s="31">
        <v>6.7024E-2</v>
      </c>
      <c r="L25" s="31">
        <v>0.1253938861785375</v>
      </c>
      <c r="M25" s="31">
        <v>0.10600500409450409</v>
      </c>
      <c r="N25" s="32">
        <v>0.4224018531621076</v>
      </c>
      <c r="O25" s="32">
        <v>6.9645349708093063</v>
      </c>
      <c r="P25" s="32">
        <v>15.315541154043329</v>
      </c>
      <c r="Q25" s="32" t="s">
        <v>169</v>
      </c>
      <c r="R25" s="32">
        <v>5.1098850921129495</v>
      </c>
      <c r="S25" s="32">
        <v>127.8356537479798</v>
      </c>
      <c r="T25" s="31">
        <v>0.17156984512745332</v>
      </c>
      <c r="U25" s="31">
        <v>5.6708801142149011E-2</v>
      </c>
      <c r="V25" s="31">
        <v>9.623601001085437E-2</v>
      </c>
      <c r="W25" s="31" t="s">
        <v>169</v>
      </c>
      <c r="X25" s="31">
        <v>-8.8267685401764287E-2</v>
      </c>
      <c r="Y25" s="31">
        <v>4.660050948575847E-3</v>
      </c>
      <c r="Z25" s="31">
        <v>4.6600509485758002E-3</v>
      </c>
      <c r="AA25" s="65">
        <v>1.6293477284612508E-2</v>
      </c>
    </row>
    <row r="26" spans="1:27">
      <c r="A26" s="29" t="s">
        <v>194</v>
      </c>
      <c r="B26" s="30">
        <v>1299</v>
      </c>
      <c r="C26" s="31">
        <v>0.18011462915601037</v>
      </c>
      <c r="D26" s="31">
        <v>0.18171077589188137</v>
      </c>
      <c r="E26" s="31">
        <v>0.1286808812517202</v>
      </c>
      <c r="F26" s="31">
        <v>0.16609341613188641</v>
      </c>
      <c r="G26" s="32">
        <v>0.88577513704468624</v>
      </c>
      <c r="H26" s="32">
        <v>0.94631769643881536</v>
      </c>
      <c r="I26" s="31">
        <v>9.9458964341728073E-2</v>
      </c>
      <c r="J26" s="31">
        <v>0.41512557065255307</v>
      </c>
      <c r="K26" s="31">
        <v>6.4354999999999996E-2</v>
      </c>
      <c r="L26" s="31">
        <v>0.13356717205915372</v>
      </c>
      <c r="M26" s="31">
        <v>9.2593791967926192E-2</v>
      </c>
      <c r="N26" s="32">
        <v>0.71335755782872068</v>
      </c>
      <c r="O26" s="32">
        <v>4.0501862957271095</v>
      </c>
      <c r="P26" s="32">
        <v>14.601133383339445</v>
      </c>
      <c r="Q26" s="32">
        <v>21.710340042553305</v>
      </c>
      <c r="R26" s="32">
        <v>3.8805328784136299</v>
      </c>
      <c r="S26" s="32">
        <v>41.506467032240018</v>
      </c>
      <c r="T26" s="31">
        <v>0.15494978149385577</v>
      </c>
      <c r="U26" s="31">
        <v>5.0126176906218629E-2</v>
      </c>
      <c r="V26" s="31">
        <v>5.7092303524868299E-2</v>
      </c>
      <c r="W26" s="31">
        <v>0.44219808615144085</v>
      </c>
      <c r="X26" s="31">
        <v>0.13204955368081195</v>
      </c>
      <c r="Y26" s="31">
        <v>0.63542627245784833</v>
      </c>
      <c r="Z26" s="31">
        <v>0.63542627245784833</v>
      </c>
      <c r="AA26" s="65">
        <v>0.19790654724473056</v>
      </c>
    </row>
    <row r="27" spans="1:27">
      <c r="A27" s="29" t="s">
        <v>195</v>
      </c>
      <c r="B27" s="30">
        <v>260</v>
      </c>
      <c r="C27" s="31">
        <v>0.10492715231788083</v>
      </c>
      <c r="D27" s="31">
        <v>0.11068501831140405</v>
      </c>
      <c r="E27" s="31">
        <v>9.268476409209106E-2</v>
      </c>
      <c r="F27" s="31">
        <v>0.20115514479499433</v>
      </c>
      <c r="G27" s="32">
        <v>0.76004819384725264</v>
      </c>
      <c r="H27" s="32">
        <v>0.83104389516931254</v>
      </c>
      <c r="I27" s="31">
        <v>9.2069913680352944E-2</v>
      </c>
      <c r="J27" s="31">
        <v>0.3452563908096794</v>
      </c>
      <c r="K27" s="31">
        <v>6.4354999999999996E-2</v>
      </c>
      <c r="L27" s="31">
        <v>0.22381750152516147</v>
      </c>
      <c r="M27" s="31">
        <v>8.2219795036773791E-2</v>
      </c>
      <c r="N27" s="32">
        <v>0.97000135269600185</v>
      </c>
      <c r="O27" s="32">
        <v>2.2863341200289162</v>
      </c>
      <c r="P27" s="32">
        <v>10.920841334368044</v>
      </c>
      <c r="Q27" s="32">
        <v>18.170084325962243</v>
      </c>
      <c r="R27" s="32">
        <v>1.9459812751217249</v>
      </c>
      <c r="S27" s="32">
        <v>125.42376482692572</v>
      </c>
      <c r="T27" s="31">
        <v>3.4761840543722541E-2</v>
      </c>
      <c r="U27" s="31">
        <v>5.7202129044108062E-2</v>
      </c>
      <c r="V27" s="31">
        <v>3.0121776656189984E-2</v>
      </c>
      <c r="W27" s="31">
        <v>0.57594986577843921</v>
      </c>
      <c r="X27" s="31">
        <v>5.1181871388765302E-2</v>
      </c>
      <c r="Y27" s="31">
        <v>0.5770804164162725</v>
      </c>
      <c r="Z27" s="31">
        <v>0.5770804164162725</v>
      </c>
      <c r="AA27" s="65">
        <v>0.1089354913518312</v>
      </c>
    </row>
    <row r="28" spans="1:27">
      <c r="A28" s="29" t="s">
        <v>114</v>
      </c>
      <c r="B28" s="30">
        <v>1072</v>
      </c>
      <c r="C28" s="31">
        <v>0.1064847262247839</v>
      </c>
      <c r="D28" s="31">
        <v>7.1256670372997793E-2</v>
      </c>
      <c r="E28" s="31">
        <v>0.10900312865728087</v>
      </c>
      <c r="F28" s="31">
        <v>0.18776405697688758</v>
      </c>
      <c r="G28" s="32">
        <v>1.1038380140290214</v>
      </c>
      <c r="H28" s="32">
        <v>1.1304437779998269</v>
      </c>
      <c r="I28" s="31">
        <v>0.11126144616978891</v>
      </c>
      <c r="J28" s="31">
        <v>0.35113385118094476</v>
      </c>
      <c r="K28" s="31">
        <v>6.4354999999999996E-2</v>
      </c>
      <c r="L28" s="31">
        <v>0.14982261726599735</v>
      </c>
      <c r="M28" s="31">
        <v>0.10179248713393692</v>
      </c>
      <c r="N28" s="32">
        <v>1.6654991268788271</v>
      </c>
      <c r="O28" s="32">
        <v>1.9374739155908258</v>
      </c>
      <c r="P28" s="32">
        <v>15.546386961505632</v>
      </c>
      <c r="Q28" s="32">
        <v>24.885788764738365</v>
      </c>
      <c r="R28" s="32">
        <v>2.8201040669778954</v>
      </c>
      <c r="S28" s="32">
        <v>97.348730318681916</v>
      </c>
      <c r="T28" s="31">
        <v>0.21724570207617155</v>
      </c>
      <c r="U28" s="31">
        <v>6.8861988795424267E-2</v>
      </c>
      <c r="V28" s="31">
        <v>6.0263839932513705E-2</v>
      </c>
      <c r="W28" s="31">
        <v>1.6223760120244064</v>
      </c>
      <c r="X28" s="31">
        <v>0.10855337528235151</v>
      </c>
      <c r="Y28" s="31">
        <v>0.39383156604280162</v>
      </c>
      <c r="Z28" s="31">
        <v>0.39383156604280156</v>
      </c>
      <c r="AA28" s="65">
        <v>7.392852706932726E-2</v>
      </c>
    </row>
    <row r="29" spans="1:27">
      <c r="A29" s="29" t="s">
        <v>115</v>
      </c>
      <c r="B29" s="30">
        <v>127</v>
      </c>
      <c r="C29" s="31">
        <v>3.0448865979381429E-2</v>
      </c>
      <c r="D29" s="31">
        <v>4.6753507335937999E-2</v>
      </c>
      <c r="E29" s="31">
        <v>6.2281608986361356E-2</v>
      </c>
      <c r="F29" s="31">
        <v>0.1451118884594938</v>
      </c>
      <c r="G29" s="32">
        <v>1.1252477543580408</v>
      </c>
      <c r="H29" s="32">
        <v>1.2272209019035958</v>
      </c>
      <c r="I29" s="31">
        <v>0.1174648598120205</v>
      </c>
      <c r="J29" s="31">
        <v>0.33860993934953365</v>
      </c>
      <c r="K29" s="31">
        <v>6.4354999999999996E-2</v>
      </c>
      <c r="L29" s="31">
        <v>0.2324042985755658</v>
      </c>
      <c r="M29" s="31">
        <v>0.10133494502462215</v>
      </c>
      <c r="N29" s="32">
        <v>1.4795010697699906</v>
      </c>
      <c r="O29" s="32">
        <v>0.93723070954136545</v>
      </c>
      <c r="P29" s="32">
        <v>11.435556560776211</v>
      </c>
      <c r="Q29" s="32">
        <v>19.485953759181267</v>
      </c>
      <c r="R29" s="32">
        <v>1.7221991828297827</v>
      </c>
      <c r="S29" s="32">
        <v>40.793477581559046</v>
      </c>
      <c r="T29" s="31">
        <v>6.6260613553561026E-2</v>
      </c>
      <c r="U29" s="31">
        <v>4.1996586219820449E-2</v>
      </c>
      <c r="V29" s="31">
        <v>2.6957624809844108E-2</v>
      </c>
      <c r="W29" s="31">
        <v>0.87121609949845347</v>
      </c>
      <c r="X29" s="31">
        <v>7.3103505235122948E-2</v>
      </c>
      <c r="Y29" s="31">
        <v>0.32240989273865533</v>
      </c>
      <c r="Z29" s="31">
        <v>0.32240989273865539</v>
      </c>
      <c r="AA29" s="65">
        <v>4.7475838673722487E-2</v>
      </c>
    </row>
    <row r="30" spans="1:27">
      <c r="A30" s="29" t="s">
        <v>196</v>
      </c>
      <c r="B30" s="30">
        <v>1486</v>
      </c>
      <c r="C30" s="31">
        <v>5.8386102941176465E-2</v>
      </c>
      <c r="D30" s="31">
        <v>5.2816362664381306E-2</v>
      </c>
      <c r="E30" s="31">
        <v>6.4420130081040833E-2</v>
      </c>
      <c r="F30" s="31">
        <v>0.1836337303776496</v>
      </c>
      <c r="G30" s="32">
        <v>1.2783308812571212</v>
      </c>
      <c r="H30" s="32">
        <v>1.2819639249630848</v>
      </c>
      <c r="I30" s="31">
        <v>0.12097388759013374</v>
      </c>
      <c r="J30" s="31">
        <v>0.32533098524566445</v>
      </c>
      <c r="K30" s="31">
        <v>6.4354999999999996E-2</v>
      </c>
      <c r="L30" s="31">
        <v>0.15707809396113118</v>
      </c>
      <c r="M30" s="31">
        <v>0.10952076242670086</v>
      </c>
      <c r="N30" s="32">
        <v>1.3596420054060323</v>
      </c>
      <c r="O30" s="32">
        <v>1.5902472235868723</v>
      </c>
      <c r="P30" s="32">
        <v>14.162266281966454</v>
      </c>
      <c r="Q30" s="32">
        <v>28.293547866055913</v>
      </c>
      <c r="R30" s="32">
        <v>2.2713680154060274</v>
      </c>
      <c r="S30" s="32">
        <v>102.00098657127523</v>
      </c>
      <c r="T30" s="31">
        <v>0.18920480550752619</v>
      </c>
      <c r="U30" s="31">
        <v>6.3112176801240233E-2</v>
      </c>
      <c r="V30" s="31">
        <v>3.5719374448328227E-2</v>
      </c>
      <c r="W30" s="31">
        <v>0.96580469979159833</v>
      </c>
      <c r="X30" s="31">
        <v>6.6824042377909704E-2</v>
      </c>
      <c r="Y30" s="31">
        <v>0.619116019722317</v>
      </c>
      <c r="Z30" s="31">
        <v>0.619116019722317</v>
      </c>
      <c r="AA30" s="65">
        <v>5.3403823327133532E-2</v>
      </c>
    </row>
    <row r="31" spans="1:27">
      <c r="A31" s="29" t="s">
        <v>197</v>
      </c>
      <c r="B31" s="30">
        <v>1623</v>
      </c>
      <c r="C31" s="31">
        <v>6.3632522045855178E-2</v>
      </c>
      <c r="D31" s="31">
        <v>5.683067060683776E-2</v>
      </c>
      <c r="E31" s="31">
        <v>8.7832768862487365E-2</v>
      </c>
      <c r="F31" s="31">
        <v>0.22550850515663787</v>
      </c>
      <c r="G31" s="32">
        <v>0.80829889996262527</v>
      </c>
      <c r="H31" s="32">
        <v>1.0134173356230618</v>
      </c>
      <c r="I31" s="31">
        <v>0.10376005121343827</v>
      </c>
      <c r="J31" s="31">
        <v>0.30521754682079866</v>
      </c>
      <c r="K31" s="31">
        <v>6.4354999999999996E-2</v>
      </c>
      <c r="L31" s="31">
        <v>0.40137684403371537</v>
      </c>
      <c r="M31" s="31">
        <v>8.1403466477201133E-2</v>
      </c>
      <c r="N31" s="32">
        <v>1.7955399896450586</v>
      </c>
      <c r="O31" s="32">
        <v>0.78265543041132646</v>
      </c>
      <c r="P31" s="32">
        <v>9.3963917182680792</v>
      </c>
      <c r="Q31" s="32">
        <v>13.169860467897617</v>
      </c>
      <c r="R31" s="32">
        <v>1.3065437278987848</v>
      </c>
      <c r="S31" s="32">
        <v>42.84328069717462</v>
      </c>
      <c r="T31" s="31">
        <v>0.15922667115136757</v>
      </c>
      <c r="U31" s="31">
        <v>3.3671219608567483E-2</v>
      </c>
      <c r="V31" s="31">
        <v>2.2302215975110659E-2</v>
      </c>
      <c r="W31" s="31">
        <v>1.0727986619930456</v>
      </c>
      <c r="X31" s="31">
        <v>0.10080519129528005</v>
      </c>
      <c r="Y31" s="31">
        <v>0.53466878872103096</v>
      </c>
      <c r="Z31" s="31">
        <v>0.53466878872103096</v>
      </c>
      <c r="AA31" s="65">
        <v>5.7689742785627086E-2</v>
      </c>
    </row>
    <row r="32" spans="1:27">
      <c r="A32" s="29" t="s">
        <v>116</v>
      </c>
      <c r="B32" s="30">
        <v>741</v>
      </c>
      <c r="C32" s="31">
        <v>9.6076651785714326E-2</v>
      </c>
      <c r="D32" s="31">
        <v>7.3014559299551599E-2</v>
      </c>
      <c r="E32" s="31">
        <v>7.471394705446395E-2</v>
      </c>
      <c r="F32" s="31">
        <v>0.22104866126785247</v>
      </c>
      <c r="G32" s="32">
        <v>1.0326456976819207</v>
      </c>
      <c r="H32" s="32">
        <v>1.1080717666251705</v>
      </c>
      <c r="I32" s="31">
        <v>0.10982740024067343</v>
      </c>
      <c r="J32" s="31">
        <v>0.41350767359783558</v>
      </c>
      <c r="K32" s="31">
        <v>6.4354999999999996E-2</v>
      </c>
      <c r="L32" s="31">
        <v>0.18212968708614163</v>
      </c>
      <c r="M32" s="31">
        <v>9.8577780151436867E-2</v>
      </c>
      <c r="N32" s="32">
        <v>1.0903964728990392</v>
      </c>
      <c r="O32" s="32">
        <v>2.9125408254770848</v>
      </c>
      <c r="P32" s="32">
        <v>15.776376409406517</v>
      </c>
      <c r="Q32" s="32">
        <v>36.435754194977008</v>
      </c>
      <c r="R32" s="32">
        <v>2.4782437577445737</v>
      </c>
      <c r="S32" s="32">
        <v>156.16716168811146</v>
      </c>
      <c r="T32" s="31">
        <v>3.9983541310407288E-2</v>
      </c>
      <c r="U32" s="31">
        <v>3.7191470751384646E-2</v>
      </c>
      <c r="V32" s="31">
        <v>-2.5549451493464159E-2</v>
      </c>
      <c r="W32" s="31">
        <v>-0.34121714598614566</v>
      </c>
      <c r="X32" s="31">
        <v>2.2666950555256592E-2</v>
      </c>
      <c r="Y32" s="31">
        <v>0.89236563217857057</v>
      </c>
      <c r="Z32" s="31">
        <v>0.89236563217857057</v>
      </c>
      <c r="AA32" s="65">
        <v>7.4795523395495875E-2</v>
      </c>
    </row>
    <row r="33" spans="1:27">
      <c r="A33" s="29" t="s">
        <v>117</v>
      </c>
      <c r="B33" s="30">
        <v>383</v>
      </c>
      <c r="C33" s="31">
        <v>8.2141268292682965E-2</v>
      </c>
      <c r="D33" s="31">
        <v>0.10594277625043484</v>
      </c>
      <c r="E33" s="31">
        <v>0.10776035869992419</v>
      </c>
      <c r="F33" s="31">
        <v>0.22828572809639688</v>
      </c>
      <c r="G33" s="32">
        <v>0.82790885643594558</v>
      </c>
      <c r="H33" s="32">
        <v>1.0018793316240375</v>
      </c>
      <c r="I33" s="31">
        <v>0.10302046515710081</v>
      </c>
      <c r="J33" s="31">
        <v>0.33888162240655167</v>
      </c>
      <c r="K33" s="31">
        <v>6.4354999999999996E-2</v>
      </c>
      <c r="L33" s="31">
        <v>0.2593042957980482</v>
      </c>
      <c r="M33" s="31">
        <v>8.8769061864354501E-2</v>
      </c>
      <c r="N33" s="32">
        <v>1.1590208058340052</v>
      </c>
      <c r="O33" s="32">
        <v>2.7759010980617176</v>
      </c>
      <c r="P33" s="32">
        <v>14.044705041117071</v>
      </c>
      <c r="Q33" s="32">
        <v>24.861013118730213</v>
      </c>
      <c r="R33" s="32">
        <v>3.0192593691541796</v>
      </c>
      <c r="S33" s="32">
        <v>39.262852946191032</v>
      </c>
      <c r="T33" s="31">
        <v>0.14714493884822635</v>
      </c>
      <c r="U33" s="31">
        <v>8.6490349945850892E-2</v>
      </c>
      <c r="V33" s="31">
        <v>7.4507316645837679E-2</v>
      </c>
      <c r="W33" s="31">
        <v>1.3468736213993504</v>
      </c>
      <c r="X33" s="31">
        <v>8.0683416835074878E-2</v>
      </c>
      <c r="Y33" s="31">
        <v>0.63167403228275598</v>
      </c>
      <c r="Z33" s="31">
        <v>0.63167403228275598</v>
      </c>
      <c r="AA33" s="65">
        <v>0.10712905533260317</v>
      </c>
    </row>
    <row r="34" spans="1:27">
      <c r="A34" s="29" t="s">
        <v>118</v>
      </c>
      <c r="B34" s="30">
        <v>430</v>
      </c>
      <c r="C34" s="31">
        <v>0.11069166112956816</v>
      </c>
      <c r="D34" s="31">
        <v>8.1559188535383548E-2</v>
      </c>
      <c r="E34" s="31">
        <v>0.10564638698267619</v>
      </c>
      <c r="F34" s="31">
        <v>0.21465598191652296</v>
      </c>
      <c r="G34" s="32">
        <v>0.57398339009652077</v>
      </c>
      <c r="H34" s="32">
        <v>0.77392078568097156</v>
      </c>
      <c r="I34" s="31">
        <v>8.840832236215028E-2</v>
      </c>
      <c r="J34" s="31">
        <v>0.34054792350706298</v>
      </c>
      <c r="K34" s="31">
        <v>6.4354999999999996E-2</v>
      </c>
      <c r="L34" s="31">
        <v>0.36687002403495417</v>
      </c>
      <c r="M34" s="31">
        <v>7.3605847564565674E-2</v>
      </c>
      <c r="N34" s="32">
        <v>1.4546832049254672</v>
      </c>
      <c r="O34" s="32">
        <v>1.0834451563271217</v>
      </c>
      <c r="P34" s="32">
        <v>9.7489631349602046</v>
      </c>
      <c r="Q34" s="32">
        <v>12.67416573044666</v>
      </c>
      <c r="R34" s="32">
        <v>1.8261410113292817</v>
      </c>
      <c r="S34" s="32">
        <v>26.811988355670824</v>
      </c>
      <c r="T34" s="31">
        <v>0.16202092453582581</v>
      </c>
      <c r="U34" s="31">
        <v>4.1915409513242907E-2</v>
      </c>
      <c r="V34" s="31">
        <v>2.7119979747894662E-2</v>
      </c>
      <c r="W34" s="31">
        <v>0.59827152032280362</v>
      </c>
      <c r="X34" s="31">
        <v>0.14471013504560329</v>
      </c>
      <c r="Y34" s="31">
        <v>0.33023374015623391</v>
      </c>
      <c r="Z34" s="31">
        <v>0.33023374015623386</v>
      </c>
      <c r="AA34" s="65">
        <v>8.3784584997103756E-2</v>
      </c>
    </row>
    <row r="35" spans="1:27">
      <c r="A35" s="29" t="s">
        <v>119</v>
      </c>
      <c r="B35" s="30">
        <v>1258</v>
      </c>
      <c r="C35" s="31">
        <v>0.12562276102088155</v>
      </c>
      <c r="D35" s="31">
        <v>0.12676163798911091</v>
      </c>
      <c r="E35" s="31">
        <v>9.4098181088869016E-3</v>
      </c>
      <c r="F35" s="31">
        <v>0.17186208101028672</v>
      </c>
      <c r="G35" s="32">
        <v>0.2776441797272336</v>
      </c>
      <c r="H35" s="32">
        <v>0.90644110399544486</v>
      </c>
      <c r="I35" s="31">
        <v>9.690287476610801E-2</v>
      </c>
      <c r="J35" s="31">
        <v>0.34608474286553148</v>
      </c>
      <c r="K35" s="31">
        <v>6.4354999999999996E-2</v>
      </c>
      <c r="L35" s="31">
        <v>0.76985807306097498</v>
      </c>
      <c r="M35" s="31">
        <v>5.9301035051348518E-2</v>
      </c>
      <c r="N35" s="32">
        <v>8.5866412970866848E-2</v>
      </c>
      <c r="O35" s="32">
        <v>14.427254021387071</v>
      </c>
      <c r="P35" s="32">
        <v>48.685477908120063</v>
      </c>
      <c r="Q35" s="32">
        <v>67.192850005900056</v>
      </c>
      <c r="R35" s="32">
        <v>2.2423073424556663</v>
      </c>
      <c r="S35" s="32">
        <v>75.538287711042699</v>
      </c>
      <c r="T35" s="31" t="s">
        <v>169</v>
      </c>
      <c r="U35" s="31">
        <v>4.0021053863203239E-2</v>
      </c>
      <c r="V35" s="31">
        <v>-7.3819923469829268E-2</v>
      </c>
      <c r="W35" s="31">
        <v>-0.6865570915945256</v>
      </c>
      <c r="X35" s="31">
        <v>0.18044609855817889</v>
      </c>
      <c r="Y35" s="31">
        <v>0.2575697213281396</v>
      </c>
      <c r="Z35" s="31">
        <v>0.2575697213281396</v>
      </c>
      <c r="AA35" s="65">
        <v>0.12765948329353535</v>
      </c>
    </row>
    <row r="36" spans="1:27">
      <c r="A36" s="29" t="s">
        <v>120</v>
      </c>
      <c r="B36" s="30">
        <v>1657</v>
      </c>
      <c r="C36" s="31">
        <v>8.4663066322136285E-2</v>
      </c>
      <c r="D36" s="31">
        <v>7.6612695884300946E-2</v>
      </c>
      <c r="E36" s="31">
        <v>0.11456980803957247</v>
      </c>
      <c r="F36" s="31">
        <v>0.2327782300648896</v>
      </c>
      <c r="G36" s="32">
        <v>0.61262227849712791</v>
      </c>
      <c r="H36" s="32">
        <v>0.72111815648247701</v>
      </c>
      <c r="I36" s="31">
        <v>8.502367383052678E-2</v>
      </c>
      <c r="J36" s="31">
        <v>0.28613126653666682</v>
      </c>
      <c r="K36" s="31">
        <v>6.4354999999999996E-2</v>
      </c>
      <c r="L36" s="31">
        <v>0.25097433371859046</v>
      </c>
      <c r="M36" s="31">
        <v>7.5746819225059811E-2</v>
      </c>
      <c r="N36" s="32">
        <v>1.7590980021212301</v>
      </c>
      <c r="O36" s="32">
        <v>1.3920067294617591</v>
      </c>
      <c r="P36" s="32">
        <v>12.154853394418311</v>
      </c>
      <c r="Q36" s="32">
        <v>17.800402450275442</v>
      </c>
      <c r="R36" s="32">
        <v>2.2665404472388109</v>
      </c>
      <c r="S36" s="32">
        <v>46.464614561299086</v>
      </c>
      <c r="T36" s="31">
        <v>0.10527081694441977</v>
      </c>
      <c r="U36" s="31">
        <v>4.61542625964197E-2</v>
      </c>
      <c r="V36" s="31">
        <v>2.540525481477706E-2</v>
      </c>
      <c r="W36" s="31">
        <v>0.61952641603318992</v>
      </c>
      <c r="X36" s="31">
        <v>9.9151351163687021E-2</v>
      </c>
      <c r="Y36" s="31">
        <v>0.6585422014379031</v>
      </c>
      <c r="Z36" s="31">
        <v>0.6585422014379031</v>
      </c>
      <c r="AA36" s="65">
        <v>7.7140853019638148E-2</v>
      </c>
    </row>
    <row r="37" spans="1:27">
      <c r="A37" s="29" t="s">
        <v>121</v>
      </c>
      <c r="B37" s="30">
        <v>173</v>
      </c>
      <c r="C37" s="31">
        <v>7.7620737704918022E-2</v>
      </c>
      <c r="D37" s="31">
        <v>2.4705012768152908E-2</v>
      </c>
      <c r="E37" s="31">
        <v>0.10682869077036926</v>
      </c>
      <c r="F37" s="31">
        <v>0.24528806061661854</v>
      </c>
      <c r="G37" s="32">
        <v>0.49621392699558364</v>
      </c>
      <c r="H37" s="32">
        <v>0.66918428111740691</v>
      </c>
      <c r="I37" s="31">
        <v>8.1694712419625781E-2</v>
      </c>
      <c r="J37" s="31">
        <v>0.30822330506089052</v>
      </c>
      <c r="K37" s="31">
        <v>6.4354999999999996E-2</v>
      </c>
      <c r="L37" s="31">
        <v>0.36579861840107675</v>
      </c>
      <c r="M37" s="31">
        <v>6.9391295946975309E-2</v>
      </c>
      <c r="N37" s="32">
        <v>5.2660011730306495</v>
      </c>
      <c r="O37" s="32">
        <v>0.37040946105270611</v>
      </c>
      <c r="P37" s="32">
        <v>9.7054737615662035</v>
      </c>
      <c r="Q37" s="32">
        <v>14.908328811292225</v>
      </c>
      <c r="R37" s="32">
        <v>2.148424462767339</v>
      </c>
      <c r="S37" s="32">
        <v>49.788416639124691</v>
      </c>
      <c r="T37" s="31">
        <v>5.8735090381477825E-2</v>
      </c>
      <c r="U37" s="31">
        <v>1.4196921545210836E-2</v>
      </c>
      <c r="V37" s="31">
        <v>9.0395737255761013E-3</v>
      </c>
      <c r="W37" s="31">
        <v>0.48474528312897769</v>
      </c>
      <c r="X37" s="31">
        <v>8.9141667937208555E-2</v>
      </c>
      <c r="Y37" s="31">
        <v>0.56945565182432534</v>
      </c>
      <c r="Z37" s="31">
        <v>0.56945565182432534</v>
      </c>
      <c r="AA37" s="65">
        <v>2.4650661855536993E-2</v>
      </c>
    </row>
    <row r="38" spans="1:27">
      <c r="A38" s="29" t="s">
        <v>122</v>
      </c>
      <c r="B38" s="30">
        <v>383</v>
      </c>
      <c r="C38" s="31">
        <v>5.1528208955223892E-2</v>
      </c>
      <c r="D38" s="31">
        <v>7.2368210587611725E-2</v>
      </c>
      <c r="E38" s="31">
        <v>0.13128509792883256</v>
      </c>
      <c r="F38" s="31">
        <v>0.18188020982467482</v>
      </c>
      <c r="G38" s="32">
        <v>0.93432143008864488</v>
      </c>
      <c r="H38" s="32">
        <v>0.94909498548676219</v>
      </c>
      <c r="I38" s="31">
        <v>9.9636988569701462E-2</v>
      </c>
      <c r="J38" s="31">
        <v>0.29724029020693765</v>
      </c>
      <c r="K38" s="31">
        <v>6.4354999999999996E-2</v>
      </c>
      <c r="L38" s="31">
        <v>0.21842611560401576</v>
      </c>
      <c r="M38" s="31">
        <v>8.8371295887669149E-2</v>
      </c>
      <c r="N38" s="32">
        <v>2.0889192774633893</v>
      </c>
      <c r="O38" s="32">
        <v>1.0263903171402882</v>
      </c>
      <c r="P38" s="32">
        <v>9.7423343969953571</v>
      </c>
      <c r="Q38" s="32">
        <v>13.621346679027321</v>
      </c>
      <c r="R38" s="32">
        <v>2.0500313773089878</v>
      </c>
      <c r="S38" s="32">
        <v>37.844392452209227</v>
      </c>
      <c r="T38" s="31">
        <v>4.9111422471124627E-2</v>
      </c>
      <c r="U38" s="31">
        <v>3.5884467044278917E-2</v>
      </c>
      <c r="V38" s="31">
        <v>3.0953297052442055E-2</v>
      </c>
      <c r="W38" s="31">
        <v>0.53441064412846351</v>
      </c>
      <c r="X38" s="31">
        <v>0.11207479182881588</v>
      </c>
      <c r="Y38" s="31">
        <v>0.70048041958910656</v>
      </c>
      <c r="Z38" s="31">
        <v>0.70048041958910656</v>
      </c>
      <c r="AA38" s="65">
        <v>7.3326344593334855E-2</v>
      </c>
    </row>
    <row r="39" spans="1:27">
      <c r="A39" s="29" t="s">
        <v>198</v>
      </c>
      <c r="B39" s="30">
        <v>253</v>
      </c>
      <c r="C39" s="31">
        <v>0.1356263043478261</v>
      </c>
      <c r="D39" s="31">
        <v>0.29235498362320717</v>
      </c>
      <c r="E39" s="31">
        <v>7.1734086908301936E-2</v>
      </c>
      <c r="F39" s="31">
        <v>0.15996917387477591</v>
      </c>
      <c r="G39" s="32">
        <v>0.60906204827929356</v>
      </c>
      <c r="H39" s="32">
        <v>0.86538504824737184</v>
      </c>
      <c r="I39" s="31">
        <v>9.4271181592656544E-2</v>
      </c>
      <c r="J39" s="31">
        <v>0.33373654343742754</v>
      </c>
      <c r="K39" s="31">
        <v>6.4354999999999996E-2</v>
      </c>
      <c r="L39" s="31">
        <v>0.39204417303862843</v>
      </c>
      <c r="M39" s="31">
        <v>7.6154480221895957E-2</v>
      </c>
      <c r="N39" s="32">
        <v>0.27487754973856493</v>
      </c>
      <c r="O39" s="32">
        <v>7.4006674058734268</v>
      </c>
      <c r="P39" s="32">
        <v>13.945213693183824</v>
      </c>
      <c r="Q39" s="32">
        <v>22.786692369740855</v>
      </c>
      <c r="R39" s="32">
        <v>2.0118013936278087</v>
      </c>
      <c r="S39" s="32">
        <v>49.912197435728991</v>
      </c>
      <c r="T39" s="31">
        <v>9.7204348765701068E-2</v>
      </c>
      <c r="U39" s="31">
        <v>0.41558883937595664</v>
      </c>
      <c r="V39" s="31">
        <v>0.36675488468864414</v>
      </c>
      <c r="W39" s="31">
        <v>1.5213911510431768</v>
      </c>
      <c r="X39" s="31">
        <v>0.10750114708648668</v>
      </c>
      <c r="Y39" s="31">
        <v>0.66386814302251296</v>
      </c>
      <c r="Z39" s="31">
        <v>0.66386814302251296</v>
      </c>
      <c r="AA39" s="65">
        <v>0.29146341841001988</v>
      </c>
    </row>
    <row r="40" spans="1:27">
      <c r="A40" s="29" t="s">
        <v>123</v>
      </c>
      <c r="B40" s="30">
        <v>849</v>
      </c>
      <c r="C40" s="31">
        <v>0.15227076604554862</v>
      </c>
      <c r="D40" s="31">
        <v>0.12429654755321912</v>
      </c>
      <c r="E40" s="31">
        <v>0.11043987670936686</v>
      </c>
      <c r="F40" s="31">
        <v>0.20586319075844869</v>
      </c>
      <c r="G40" s="32">
        <v>1.0434097110903413</v>
      </c>
      <c r="H40" s="32">
        <v>1.098082283316312</v>
      </c>
      <c r="I40" s="31">
        <v>0.10918707436057561</v>
      </c>
      <c r="J40" s="31">
        <v>0.42342967151692168</v>
      </c>
      <c r="K40" s="31">
        <v>6.4354999999999996E-2</v>
      </c>
      <c r="L40" s="31">
        <v>0.11702454945172516</v>
      </c>
      <c r="M40" s="31">
        <v>0.10203374276993568</v>
      </c>
      <c r="N40" s="32">
        <v>0.93443822467200832</v>
      </c>
      <c r="O40" s="32">
        <v>4.4129152045299929</v>
      </c>
      <c r="P40" s="32">
        <v>20.066047522071429</v>
      </c>
      <c r="Q40" s="32">
        <v>33.885138474146686</v>
      </c>
      <c r="R40" s="32">
        <v>3.5770653286876031</v>
      </c>
      <c r="S40" s="32">
        <v>94.725775076678076</v>
      </c>
      <c r="T40" s="31">
        <v>0.25687716784940617</v>
      </c>
      <c r="U40" s="31">
        <v>5.4258400035237353E-2</v>
      </c>
      <c r="V40" s="31">
        <v>3.4683575243890569E-2</v>
      </c>
      <c r="W40" s="31">
        <v>0.67329218346160158</v>
      </c>
      <c r="X40" s="31">
        <v>7.5782160420110767E-2</v>
      </c>
      <c r="Y40" s="31">
        <v>0.50703233350245924</v>
      </c>
      <c r="Z40" s="31">
        <v>0.50703233350245924</v>
      </c>
      <c r="AA40" s="65">
        <v>0.12860324255827571</v>
      </c>
    </row>
    <row r="41" spans="1:27">
      <c r="A41" s="29" t="s">
        <v>199</v>
      </c>
      <c r="B41" s="30">
        <v>463</v>
      </c>
      <c r="C41" s="31">
        <v>0.12621486891385769</v>
      </c>
      <c r="D41" s="31">
        <v>3.9498903915860417E-2</v>
      </c>
      <c r="E41" s="31">
        <v>0.28931239582267765</v>
      </c>
      <c r="F41" s="31">
        <v>0.23065813714388517</v>
      </c>
      <c r="G41" s="32">
        <v>0.82121098792821812</v>
      </c>
      <c r="H41" s="32">
        <v>0.91020463902819626</v>
      </c>
      <c r="I41" s="31">
        <v>9.7144117361707388E-2</v>
      </c>
      <c r="J41" s="31">
        <v>0.37805793675314886</v>
      </c>
      <c r="K41" s="31">
        <v>6.4354999999999996E-2</v>
      </c>
      <c r="L41" s="31">
        <v>0.23001142999201959</v>
      </c>
      <c r="M41" s="31">
        <v>8.585428156103396E-2</v>
      </c>
      <c r="N41" s="32">
        <v>8.6589822233698293</v>
      </c>
      <c r="O41" s="32">
        <v>0.60840308550508448</v>
      </c>
      <c r="P41" s="32">
        <v>11.056727598441423</v>
      </c>
      <c r="Q41" s="32">
        <v>15.221991037238867</v>
      </c>
      <c r="R41" s="32">
        <v>2.6222805850362048</v>
      </c>
      <c r="S41" s="32">
        <v>57.50089542846316</v>
      </c>
      <c r="T41" s="31">
        <v>-2.7295865370918826E-2</v>
      </c>
      <c r="U41" s="31">
        <v>8.7350112156806166E-3</v>
      </c>
      <c r="V41" s="31">
        <v>1.6595145817757926E-2</v>
      </c>
      <c r="W41" s="31">
        <v>0.57451390541094605</v>
      </c>
      <c r="X41" s="31">
        <v>0.12150320012763607</v>
      </c>
      <c r="Y41" s="31">
        <v>0.36882228936540518</v>
      </c>
      <c r="Z41" s="31">
        <v>0.36882228936540518</v>
      </c>
      <c r="AA41" s="65">
        <v>3.9065887894485084E-2</v>
      </c>
    </row>
    <row r="42" spans="1:27">
      <c r="A42" s="29" t="s">
        <v>124</v>
      </c>
      <c r="B42" s="30">
        <v>443</v>
      </c>
      <c r="C42" s="31">
        <v>0.16608049792531127</v>
      </c>
      <c r="D42" s="31">
        <v>0.13603420361779647</v>
      </c>
      <c r="E42" s="31">
        <v>0.12755597641996128</v>
      </c>
      <c r="F42" s="31">
        <v>0.1406302678057966</v>
      </c>
      <c r="G42" s="32">
        <v>1.1706770255280208</v>
      </c>
      <c r="H42" s="32">
        <v>1.2336178357798584</v>
      </c>
      <c r="I42" s="31">
        <v>0.11787490327348893</v>
      </c>
      <c r="J42" s="31">
        <v>0.44932940143243788</v>
      </c>
      <c r="K42" s="31">
        <v>6.4354999999999996E-2</v>
      </c>
      <c r="L42" s="31">
        <v>0.12088709657117508</v>
      </c>
      <c r="M42" s="31">
        <v>0.10943522027790775</v>
      </c>
      <c r="N42" s="32">
        <v>0.98068088541117582</v>
      </c>
      <c r="O42" s="32">
        <v>5.2454773109882984</v>
      </c>
      <c r="P42" s="32">
        <v>21.657557844698783</v>
      </c>
      <c r="Q42" s="32">
        <v>36.682736929477983</v>
      </c>
      <c r="R42" s="32">
        <v>3.9372988306267311</v>
      </c>
      <c r="S42" s="32">
        <v>128.07264346669311</v>
      </c>
      <c r="T42" s="31">
        <v>0.2389800084815025</v>
      </c>
      <c r="U42" s="31">
        <v>7.1519539748230346E-2</v>
      </c>
      <c r="V42" s="31">
        <v>6.1350006469499251E-2</v>
      </c>
      <c r="W42" s="31">
        <v>0.71590477768051486</v>
      </c>
      <c r="X42" s="31">
        <v>6.025565979669429E-2</v>
      </c>
      <c r="Y42" s="31">
        <v>0.24427342031412549</v>
      </c>
      <c r="Z42" s="31">
        <v>0.24427342031412547</v>
      </c>
      <c r="AA42" s="65">
        <v>0.13842721531237037</v>
      </c>
    </row>
    <row r="43" spans="1:27">
      <c r="A43" s="29" t="s">
        <v>125</v>
      </c>
      <c r="B43" s="30">
        <v>173</v>
      </c>
      <c r="C43" s="31">
        <v>7.8341888111888122E-2</v>
      </c>
      <c r="D43" s="31">
        <v>0.132841717030939</v>
      </c>
      <c r="E43" s="31">
        <v>0.14415922427185879</v>
      </c>
      <c r="F43" s="31">
        <v>0.24284596243598935</v>
      </c>
      <c r="G43" s="32">
        <v>1.0113882281398234</v>
      </c>
      <c r="H43" s="32">
        <v>1.094707449030331</v>
      </c>
      <c r="I43" s="31">
        <v>0.10897074748284423</v>
      </c>
      <c r="J43" s="31">
        <v>0.28965125158318689</v>
      </c>
      <c r="K43" s="31">
        <v>6.4354999999999996E-2</v>
      </c>
      <c r="L43" s="31">
        <v>0.2310829232799077</v>
      </c>
      <c r="M43" s="31">
        <v>9.4895386455382216E-2</v>
      </c>
      <c r="N43" s="32">
        <v>1.3895015946994185</v>
      </c>
      <c r="O43" s="32">
        <v>1.1836835844750719</v>
      </c>
      <c r="P43" s="32">
        <v>8.0294493119680102</v>
      </c>
      <c r="Q43" s="32">
        <v>9.1651713540934789</v>
      </c>
      <c r="R43" s="32">
        <v>1.5788152644485345</v>
      </c>
      <c r="S43" s="32">
        <v>20.550712047888325</v>
      </c>
      <c r="T43" s="31">
        <v>0.60934413809759824</v>
      </c>
      <c r="U43" s="31">
        <v>6.9435145953745721E-3</v>
      </c>
      <c r="V43" s="31">
        <v>5.1463807767742845E-3</v>
      </c>
      <c r="W43" s="31">
        <v>0.2028709193735046</v>
      </c>
      <c r="X43" s="31">
        <v>0.16610003799748513</v>
      </c>
      <c r="Y43" s="31">
        <v>0.18138712820097366</v>
      </c>
      <c r="Z43" s="31">
        <v>0.18138712820097369</v>
      </c>
      <c r="AA43" s="65">
        <v>0.12789569443934776</v>
      </c>
    </row>
    <row r="44" spans="1:27">
      <c r="A44" s="29" t="s">
        <v>200</v>
      </c>
      <c r="B44" s="30">
        <v>232</v>
      </c>
      <c r="C44" s="31">
        <v>0.11022302631578944</v>
      </c>
      <c r="D44" s="31">
        <v>0.1085649671737164</v>
      </c>
      <c r="E44" s="31">
        <v>0.12323476437453092</v>
      </c>
      <c r="F44" s="31">
        <v>0.20089465914726259</v>
      </c>
      <c r="G44" s="32">
        <v>0.5802219144187124</v>
      </c>
      <c r="H44" s="32">
        <v>0.76494921443065134</v>
      </c>
      <c r="I44" s="31">
        <v>8.7833244645004749E-2</v>
      </c>
      <c r="J44" s="31">
        <v>0.29529431178708559</v>
      </c>
      <c r="K44" s="31">
        <v>6.4354999999999996E-2</v>
      </c>
      <c r="L44" s="31">
        <v>0.32208491721063115</v>
      </c>
      <c r="M44" s="31">
        <v>7.502298357098422E-2</v>
      </c>
      <c r="N44" s="32">
        <v>1.3816578903093077</v>
      </c>
      <c r="O44" s="32">
        <v>2.3100825241398097</v>
      </c>
      <c r="P44" s="32">
        <v>12.437422816930145</v>
      </c>
      <c r="Q44" s="32">
        <v>20.576674304329792</v>
      </c>
      <c r="R44" s="32">
        <v>4.0772283903041666</v>
      </c>
      <c r="S44" s="32">
        <v>41.979480731891236</v>
      </c>
      <c r="T44" s="31">
        <v>6.9638858534704903E-2</v>
      </c>
      <c r="U44" s="31">
        <v>7.1738627678908068E-2</v>
      </c>
      <c r="V44" s="31">
        <v>2.4492221939418666E-2</v>
      </c>
      <c r="W44" s="31">
        <v>0.40774981615374539</v>
      </c>
      <c r="X44" s="31">
        <v>0.1194972327229354</v>
      </c>
      <c r="Y44" s="31">
        <v>0.45894118236118964</v>
      </c>
      <c r="Z44" s="31">
        <v>0.45894118236118964</v>
      </c>
      <c r="AA44" s="65">
        <v>0.10768274675714404</v>
      </c>
    </row>
    <row r="45" spans="1:27">
      <c r="A45" s="29" t="s">
        <v>126</v>
      </c>
      <c r="B45" s="30">
        <v>650</v>
      </c>
      <c r="C45" s="31">
        <v>3.4793381147540978E-2</v>
      </c>
      <c r="D45" s="31">
        <v>0.14018791934418812</v>
      </c>
      <c r="E45" s="31">
        <v>8.265390639495232E-2</v>
      </c>
      <c r="F45" s="31">
        <v>0.20563328333825057</v>
      </c>
      <c r="G45" s="32">
        <v>0.78536962610461014</v>
      </c>
      <c r="H45" s="32">
        <v>0.97912748286770979</v>
      </c>
      <c r="I45" s="31">
        <v>0.1015620716518202</v>
      </c>
      <c r="J45" s="31">
        <v>0.33832876960999636</v>
      </c>
      <c r="K45" s="31">
        <v>6.4354999999999996E-2</v>
      </c>
      <c r="L45" s="31">
        <v>0.31642144634643121</v>
      </c>
      <c r="M45" s="31">
        <v>8.4632968113555002E-2</v>
      </c>
      <c r="N45" s="32">
        <v>0.75800943092181328</v>
      </c>
      <c r="O45" s="32">
        <v>3.5637067515271936</v>
      </c>
      <c r="P45" s="32">
        <v>15.089381235478534</v>
      </c>
      <c r="Q45" s="32">
        <v>28.372077561065506</v>
      </c>
      <c r="R45" s="32">
        <v>3.9615827071660785</v>
      </c>
      <c r="S45" s="32">
        <v>60.185329176533351</v>
      </c>
      <c r="T45" s="31">
        <v>-1.9780753051029248E-2</v>
      </c>
      <c r="U45" s="31">
        <v>6.3055972025909804E-2</v>
      </c>
      <c r="V45" s="31">
        <v>8.460904068733224E-3</v>
      </c>
      <c r="W45" s="31">
        <v>0.16016478095524214</v>
      </c>
      <c r="X45" s="31">
        <v>0.10909196658632202</v>
      </c>
      <c r="Y45" s="31">
        <v>0.27136929836694884</v>
      </c>
      <c r="Z45" s="31">
        <v>0.2713692983669489</v>
      </c>
      <c r="AA45" s="65">
        <v>0.12340733671522261</v>
      </c>
    </row>
    <row r="46" spans="1:27">
      <c r="A46" s="29" t="s">
        <v>127</v>
      </c>
      <c r="B46" s="30">
        <v>178</v>
      </c>
      <c r="C46" s="31">
        <v>3.9548646616541346E-2</v>
      </c>
      <c r="D46" s="31">
        <v>0.16559847149871118</v>
      </c>
      <c r="E46" s="31">
        <v>0.25243132693267323</v>
      </c>
      <c r="F46" s="31">
        <v>0.22232585436453201</v>
      </c>
      <c r="G46" s="32">
        <v>0.67520464252812851</v>
      </c>
      <c r="H46" s="32">
        <v>0.72747137702950271</v>
      </c>
      <c r="I46" s="31">
        <v>8.5430915267591126E-2</v>
      </c>
      <c r="J46" s="31">
        <v>0.29781296073261149</v>
      </c>
      <c r="K46" s="31">
        <v>6.4354999999999996E-2</v>
      </c>
      <c r="L46" s="31">
        <v>0.13333771641577577</v>
      </c>
      <c r="M46" s="31">
        <v>8.0448004633486031E-2</v>
      </c>
      <c r="N46" s="32">
        <v>1.7783180364776956</v>
      </c>
      <c r="O46" s="32">
        <v>3.1017983609088646</v>
      </c>
      <c r="P46" s="32">
        <v>15.108858578061582</v>
      </c>
      <c r="Q46" s="32">
        <v>18.460413376699474</v>
      </c>
      <c r="R46" s="32">
        <v>6.0419945471550296</v>
      </c>
      <c r="S46" s="32">
        <v>53.668868712038581</v>
      </c>
      <c r="T46" s="31">
        <v>5.3235793969237562E-2</v>
      </c>
      <c r="U46" s="31">
        <v>3.5742251654174183E-2</v>
      </c>
      <c r="V46" s="31">
        <v>1.3238666896878337E-2</v>
      </c>
      <c r="W46" s="31">
        <v>7.0553053513611574E-2</v>
      </c>
      <c r="X46" s="31">
        <v>0.26800939213262565</v>
      </c>
      <c r="Y46" s="31">
        <v>0.65689100844343251</v>
      </c>
      <c r="Z46" s="31">
        <v>0.65689100844343251</v>
      </c>
      <c r="AA46" s="65">
        <v>0.16660654992579219</v>
      </c>
    </row>
    <row r="47" spans="1:27">
      <c r="A47" s="29" t="s">
        <v>128</v>
      </c>
      <c r="B47" s="30">
        <v>81</v>
      </c>
      <c r="C47" s="31">
        <v>2.0683617021276589E-2</v>
      </c>
      <c r="D47" s="31">
        <v>0.10927793514353079</v>
      </c>
      <c r="E47" s="31">
        <v>0.21875033210744055</v>
      </c>
      <c r="F47" s="31">
        <v>0.25722215886696154</v>
      </c>
      <c r="G47" s="32">
        <v>1.0228619556904517</v>
      </c>
      <c r="H47" s="32">
        <v>1.2103298958985118</v>
      </c>
      <c r="I47" s="31">
        <v>0.11638214632709461</v>
      </c>
      <c r="J47" s="31">
        <v>0.33631953220947924</v>
      </c>
      <c r="K47" s="31">
        <v>6.4354999999999996E-2</v>
      </c>
      <c r="L47" s="31">
        <v>0.25719480780938697</v>
      </c>
      <c r="M47" s="31">
        <v>9.881012579254235E-2</v>
      </c>
      <c r="N47" s="32">
        <v>2.3003858434396283</v>
      </c>
      <c r="O47" s="32">
        <v>1.9345203801039386</v>
      </c>
      <c r="P47" s="32">
        <v>11.38060048642396</v>
      </c>
      <c r="Q47" s="32">
        <v>16.969841193408303</v>
      </c>
      <c r="R47" s="32">
        <v>3.3749990528836591</v>
      </c>
      <c r="S47" s="32">
        <v>143.50472685181344</v>
      </c>
      <c r="T47" s="31">
        <v>0.14317420782326645</v>
      </c>
      <c r="U47" s="31">
        <v>1.9734900420309842E-2</v>
      </c>
      <c r="V47" s="31">
        <v>-1.3947351432358736E-2</v>
      </c>
      <c r="W47" s="31">
        <v>1.4962129840574126E-3</v>
      </c>
      <c r="X47" s="31">
        <v>8.9820800042825985E-2</v>
      </c>
      <c r="Y47" s="31">
        <v>0.55284058091686328</v>
      </c>
      <c r="Z47" s="31">
        <v>0.55284058091686328</v>
      </c>
      <c r="AA47" s="65">
        <v>0.1138079272677219</v>
      </c>
    </row>
    <row r="48" spans="1:27">
      <c r="A48" s="29" t="s">
        <v>129</v>
      </c>
      <c r="B48" s="30">
        <v>202</v>
      </c>
      <c r="C48" s="31">
        <v>8.4602603550295863E-2</v>
      </c>
      <c r="D48" s="31">
        <v>0.11829078864545525</v>
      </c>
      <c r="E48" s="31">
        <v>0.1815670557202762</v>
      </c>
      <c r="F48" s="31">
        <v>0.20990187857546369</v>
      </c>
      <c r="G48" s="32">
        <v>0.62939429078398101</v>
      </c>
      <c r="H48" s="32">
        <v>0.68507622266360246</v>
      </c>
      <c r="I48" s="31">
        <v>8.2713385872736925E-2</v>
      </c>
      <c r="J48" s="31">
        <v>0.24786892322452811</v>
      </c>
      <c r="K48" s="31">
        <v>5.8542999999999998E-2</v>
      </c>
      <c r="L48" s="31">
        <v>0.26006451089662946</v>
      </c>
      <c r="M48" s="31">
        <v>7.2572567265888899E-2</v>
      </c>
      <c r="N48" s="32">
        <v>1.8091101184233098</v>
      </c>
      <c r="O48" s="32">
        <v>1.169134129847309</v>
      </c>
      <c r="P48" s="32">
        <v>8.1421543031470112</v>
      </c>
      <c r="Q48" s="32">
        <v>8.5980381763760416</v>
      </c>
      <c r="R48" s="32">
        <v>1.7824284117595675</v>
      </c>
      <c r="S48" s="32">
        <v>22.772643938729356</v>
      </c>
      <c r="T48" s="31">
        <v>-1.5909868291309952E-2</v>
      </c>
      <c r="U48" s="31">
        <v>7.5983583944395005E-3</v>
      </c>
      <c r="V48" s="31">
        <v>4.2288337720457351E-3</v>
      </c>
      <c r="W48" s="31">
        <v>2.0168608230211157E-2</v>
      </c>
      <c r="X48" s="31">
        <v>0.15203983853675418</v>
      </c>
      <c r="Y48" s="31">
        <v>0.4245453994262916</v>
      </c>
      <c r="Z48" s="31">
        <v>0.42454539942629155</v>
      </c>
      <c r="AA48" s="65">
        <v>0.1184053018887523</v>
      </c>
    </row>
    <row r="49" spans="1:27">
      <c r="A49" s="29" t="s">
        <v>130</v>
      </c>
      <c r="B49" s="30">
        <v>137</v>
      </c>
      <c r="C49" s="31">
        <v>8.2657570093457935E-2</v>
      </c>
      <c r="D49" s="31">
        <v>0.10819946113762266</v>
      </c>
      <c r="E49" s="31">
        <v>9.6416580120373102E-2</v>
      </c>
      <c r="F49" s="31">
        <v>0.14300985402084812</v>
      </c>
      <c r="G49" s="32">
        <v>0.7749958133235606</v>
      </c>
      <c r="H49" s="32">
        <v>0.88662318345492797</v>
      </c>
      <c r="I49" s="31">
        <v>9.5632546059460893E-2</v>
      </c>
      <c r="J49" s="31">
        <v>0.25290884975248129</v>
      </c>
      <c r="K49" s="31">
        <v>6.4354999999999996E-2</v>
      </c>
      <c r="L49" s="31">
        <v>0.50932175441628835</v>
      </c>
      <c r="M49" s="31">
        <v>7.1402973365437467E-2</v>
      </c>
      <c r="N49" s="32">
        <v>1.0309138465092278</v>
      </c>
      <c r="O49" s="32">
        <v>1.0625828777250275</v>
      </c>
      <c r="P49" s="32">
        <v>7.2156792634234428</v>
      </c>
      <c r="Q49" s="32">
        <v>8.8058900860566141</v>
      </c>
      <c r="R49" s="32">
        <v>1.1248722994828504</v>
      </c>
      <c r="S49" s="32">
        <v>45.466420035837494</v>
      </c>
      <c r="T49" s="31">
        <v>-0.96189182737838586</v>
      </c>
      <c r="U49" s="31">
        <v>6.8793425377158711E-3</v>
      </c>
      <c r="V49" s="31">
        <v>4.7986822649044936E-3</v>
      </c>
      <c r="W49" s="31">
        <v>-7.8830681023021473E-2</v>
      </c>
      <c r="X49" s="31">
        <v>7.4159728954237961E-2</v>
      </c>
      <c r="Y49" s="31">
        <v>0.6190700745883686</v>
      </c>
      <c r="Z49" s="31">
        <v>0.6190700745883686</v>
      </c>
      <c r="AA49" s="65">
        <v>0.10832802165624872</v>
      </c>
    </row>
    <row r="50" spans="1:27">
      <c r="A50" s="29" t="s">
        <v>131</v>
      </c>
      <c r="B50" s="30">
        <v>228</v>
      </c>
      <c r="C50" s="31">
        <v>9.0641658031088077E-2</v>
      </c>
      <c r="D50" s="31">
        <v>9.7581466004191875E-2</v>
      </c>
      <c r="E50" s="31">
        <v>0.13311212828485519</v>
      </c>
      <c r="F50" s="31">
        <v>0.18702298039483281</v>
      </c>
      <c r="G50" s="32">
        <v>0.66476894823629862</v>
      </c>
      <c r="H50" s="32">
        <v>0.71082250665406388</v>
      </c>
      <c r="I50" s="31">
        <v>8.4363722676525504E-2</v>
      </c>
      <c r="J50" s="31">
        <v>0.26743776755542148</v>
      </c>
      <c r="K50" s="31">
        <v>6.4354999999999996E-2</v>
      </c>
      <c r="L50" s="31">
        <v>0.18249067562498464</v>
      </c>
      <c r="M50" s="31">
        <v>7.7738689099656436E-2</v>
      </c>
      <c r="N50" s="32">
        <v>1.6491131323911132</v>
      </c>
      <c r="O50" s="32">
        <v>1.1297486196935083</v>
      </c>
      <c r="P50" s="32">
        <v>9.2472286919352698</v>
      </c>
      <c r="Q50" s="32">
        <v>10.817649285030543</v>
      </c>
      <c r="R50" s="32">
        <v>1.5899488639029249</v>
      </c>
      <c r="S50" s="32">
        <v>19.552938187213641</v>
      </c>
      <c r="T50" s="31">
        <v>-0.28476029827138211</v>
      </c>
      <c r="U50" s="31">
        <v>6.965993910183885E-3</v>
      </c>
      <c r="V50" s="31">
        <v>-3.1311810875102627E-3</v>
      </c>
      <c r="W50" s="31">
        <v>0.19017906155847933</v>
      </c>
      <c r="X50" s="31">
        <v>0.12312293515838731</v>
      </c>
      <c r="Y50" s="31">
        <v>0.31767302616536391</v>
      </c>
      <c r="Z50" s="31">
        <v>0.31767302616536397</v>
      </c>
      <c r="AA50" s="65">
        <v>9.7921920811046684E-2</v>
      </c>
    </row>
    <row r="51" spans="1:27">
      <c r="A51" s="29" t="s">
        <v>201</v>
      </c>
      <c r="B51" s="30">
        <v>1374</v>
      </c>
      <c r="C51" s="31">
        <v>0.11473422264875235</v>
      </c>
      <c r="D51" s="31">
        <v>0.17622005224472409</v>
      </c>
      <c r="E51" s="31">
        <v>5.5770237112366595E-2</v>
      </c>
      <c r="F51" s="31">
        <v>0.17295984619363799</v>
      </c>
      <c r="G51" s="32">
        <v>0.53979286446123986</v>
      </c>
      <c r="H51" s="32">
        <v>0.7538219195489253</v>
      </c>
      <c r="I51" s="31">
        <v>8.7119985043086115E-2</v>
      </c>
      <c r="J51" s="31">
        <v>0.29524731282444133</v>
      </c>
      <c r="K51" s="31">
        <v>6.4354999999999996E-2</v>
      </c>
      <c r="L51" s="31">
        <v>0.42424609492116599</v>
      </c>
      <c r="M51" s="31">
        <v>7.0549072134151486E-2</v>
      </c>
      <c r="N51" s="32">
        <v>0.34866273077820698</v>
      </c>
      <c r="O51" s="32">
        <v>4.6552157668738818</v>
      </c>
      <c r="P51" s="32">
        <v>16.809441335551345</v>
      </c>
      <c r="Q51" s="32">
        <v>20.170578625395265</v>
      </c>
      <c r="R51" s="32">
        <v>1.3814510990522937</v>
      </c>
      <c r="S51" s="32">
        <v>56.350072695147695</v>
      </c>
      <c r="T51" s="31" t="s">
        <v>169</v>
      </c>
      <c r="U51" s="31">
        <v>3.600827575408963E-2</v>
      </c>
      <c r="V51" s="31">
        <v>7.6788117841486078E-2</v>
      </c>
      <c r="W51" s="31">
        <v>0.52420609676460339</v>
      </c>
      <c r="X51" s="31">
        <v>0.10448446992594369</v>
      </c>
      <c r="Y51" s="31">
        <v>0.56047596516159481</v>
      </c>
      <c r="Z51" s="31">
        <v>0.56047596516159481</v>
      </c>
      <c r="AA51" s="65">
        <v>0.17504604457389827</v>
      </c>
    </row>
    <row r="52" spans="1:27">
      <c r="A52" s="29" t="s">
        <v>132</v>
      </c>
      <c r="B52" s="30">
        <v>1492</v>
      </c>
      <c r="C52" s="31">
        <v>6.0736806953339488E-2</v>
      </c>
      <c r="D52" s="31">
        <v>9.9188091807699746E-2</v>
      </c>
      <c r="E52" s="31">
        <v>0.12714981972762704</v>
      </c>
      <c r="F52" s="31">
        <v>0.21301565480909104</v>
      </c>
      <c r="G52" s="32">
        <v>1.0383610269809804</v>
      </c>
      <c r="H52" s="32">
        <v>1.0707088534325078</v>
      </c>
      <c r="I52" s="31">
        <v>0.10743243750502375</v>
      </c>
      <c r="J52" s="31">
        <v>0.29756519697738837</v>
      </c>
      <c r="K52" s="31">
        <v>6.4354999999999996E-2</v>
      </c>
      <c r="L52" s="31">
        <v>0.13307684167690589</v>
      </c>
      <c r="M52" s="31">
        <v>9.9531382825323991E-2</v>
      </c>
      <c r="N52" s="32">
        <v>1.4758444913873308</v>
      </c>
      <c r="O52" s="32">
        <v>2.1520511804771969</v>
      </c>
      <c r="P52" s="32">
        <v>14.740091472662543</v>
      </c>
      <c r="Q52" s="32">
        <v>20.507888137578245</v>
      </c>
      <c r="R52" s="32">
        <v>2.9318971669892666</v>
      </c>
      <c r="S52" s="32">
        <v>59.821455161114287</v>
      </c>
      <c r="T52" s="31">
        <v>0.28320474661866296</v>
      </c>
      <c r="U52" s="31">
        <v>4.1859504460015663E-2</v>
      </c>
      <c r="V52" s="31">
        <v>4.2353512106588428E-2</v>
      </c>
      <c r="W52" s="31">
        <v>0.91591251057606826</v>
      </c>
      <c r="X52" s="31">
        <v>0.11997300767360307</v>
      </c>
      <c r="Y52" s="31">
        <v>0.41450280864813127</v>
      </c>
      <c r="Z52" s="31">
        <v>0.41450280864813127</v>
      </c>
      <c r="AA52" s="65">
        <v>0.10081767143303756</v>
      </c>
    </row>
    <row r="53" spans="1:27">
      <c r="A53" s="29" t="s">
        <v>133</v>
      </c>
      <c r="B53" s="30">
        <v>1815</v>
      </c>
      <c r="C53" s="31">
        <v>0.19804777777777752</v>
      </c>
      <c r="D53" s="31">
        <v>0.1066486206425039</v>
      </c>
      <c r="E53" s="31">
        <v>0.14836568932569863</v>
      </c>
      <c r="F53" s="31">
        <v>0.30835376594192654</v>
      </c>
      <c r="G53" s="32">
        <v>0.98882838286003538</v>
      </c>
      <c r="H53" s="32">
        <v>1.0907339755589991</v>
      </c>
      <c r="I53" s="31">
        <v>0.10871604783333184</v>
      </c>
      <c r="J53" s="31">
        <v>0.57513373902119769</v>
      </c>
      <c r="K53" s="31">
        <v>6.7024E-2</v>
      </c>
      <c r="L53" s="31">
        <v>0.21730036180967932</v>
      </c>
      <c r="M53" s="31">
        <v>9.5968660005839604E-2</v>
      </c>
      <c r="N53" s="32">
        <v>1.4403961344658236</v>
      </c>
      <c r="O53" s="32">
        <v>1.3218409435391527</v>
      </c>
      <c r="P53" s="32">
        <v>7.8168870617573027</v>
      </c>
      <c r="Q53" s="32">
        <v>11.719208861545544</v>
      </c>
      <c r="R53" s="32">
        <v>1.8383154452637784</v>
      </c>
      <c r="S53" s="32">
        <v>54.204297468339057</v>
      </c>
      <c r="T53" s="31">
        <v>0.11976332846375269</v>
      </c>
      <c r="U53" s="31">
        <v>8.001763962680733E-2</v>
      </c>
      <c r="V53" s="31">
        <v>4.8951300244026628E-2</v>
      </c>
      <c r="W53" s="31">
        <v>0.84861810600502985</v>
      </c>
      <c r="X53" s="31">
        <v>0.10498912521603543</v>
      </c>
      <c r="Y53" s="31">
        <v>0.85950262197204541</v>
      </c>
      <c r="Z53" s="31">
        <v>0.85950262197204541</v>
      </c>
      <c r="AA53" s="65">
        <v>0.10717263648228532</v>
      </c>
    </row>
    <row r="54" spans="1:27">
      <c r="A54" s="29" t="s">
        <v>134</v>
      </c>
      <c r="B54" s="30">
        <v>137</v>
      </c>
      <c r="C54" s="31">
        <v>7.1007029702970265E-2</v>
      </c>
      <c r="D54" s="31">
        <v>7.0961579936263952E-2</v>
      </c>
      <c r="E54" s="31">
        <v>0.11212639112128629</v>
      </c>
      <c r="F54" s="31">
        <v>0.26676749544617556</v>
      </c>
      <c r="G54" s="32">
        <v>0.77554815342767547</v>
      </c>
      <c r="H54" s="32">
        <v>0.82887590656792509</v>
      </c>
      <c r="I54" s="31">
        <v>9.1930945611004011E-2</v>
      </c>
      <c r="J54" s="31">
        <v>0.2790876657137058</v>
      </c>
      <c r="K54" s="31">
        <v>6.4354999999999996E-2</v>
      </c>
      <c r="L54" s="31">
        <v>0.22256683686744955</v>
      </c>
      <c r="M54" s="31">
        <v>8.2166797901965696E-2</v>
      </c>
      <c r="N54" s="32">
        <v>1.9486920792014812</v>
      </c>
      <c r="O54" s="32">
        <v>1.0643054466715693</v>
      </c>
      <c r="P54" s="32">
        <v>9.43316440474951</v>
      </c>
      <c r="Q54" s="32">
        <v>14.408234304339361</v>
      </c>
      <c r="R54" s="32">
        <v>1.8408621168699564</v>
      </c>
      <c r="S54" s="32">
        <v>148.70651436275134</v>
      </c>
      <c r="T54" s="31">
        <v>0.13322722592940051</v>
      </c>
      <c r="U54" s="31">
        <v>2.4677177006253253E-2</v>
      </c>
      <c r="V54" s="31">
        <v>1.6106125519195953E-2</v>
      </c>
      <c r="W54" s="31">
        <v>0.30437740451249901</v>
      </c>
      <c r="X54" s="31">
        <v>8.2629468165346887E-2</v>
      </c>
      <c r="Y54" s="31">
        <v>0.52401832957131256</v>
      </c>
      <c r="Z54" s="31">
        <v>0.52401832957131256</v>
      </c>
      <c r="AA54" s="65">
        <v>7.1497526286580126E-2</v>
      </c>
    </row>
    <row r="55" spans="1:27">
      <c r="A55" s="29" t="s">
        <v>135</v>
      </c>
      <c r="B55" s="30">
        <v>36</v>
      </c>
      <c r="C55" s="31">
        <v>0.17374848484848482</v>
      </c>
      <c r="D55" s="31">
        <v>0.18330450455077879</v>
      </c>
      <c r="E55" s="31">
        <v>0.21955647007213316</v>
      </c>
      <c r="F55" s="31">
        <v>0.41146504501815462</v>
      </c>
      <c r="G55" s="32">
        <v>0.93789803915060777</v>
      </c>
      <c r="H55" s="32">
        <v>0.99082952615484288</v>
      </c>
      <c r="I55" s="31">
        <v>0.10231217262652544</v>
      </c>
      <c r="J55" s="31">
        <v>0.26835269009888651</v>
      </c>
      <c r="K55" s="31">
        <v>6.4354999999999996E-2</v>
      </c>
      <c r="L55" s="31">
        <v>0.14876666788463416</v>
      </c>
      <c r="M55" s="31">
        <v>9.424130439210901E-2</v>
      </c>
      <c r="N55" s="32">
        <v>1.6577440240335313</v>
      </c>
      <c r="O55" s="32">
        <v>1.2699079204434363</v>
      </c>
      <c r="P55" s="32">
        <v>5.329375681172027</v>
      </c>
      <c r="Q55" s="32">
        <v>6.9103766360635088</v>
      </c>
      <c r="R55" s="32">
        <v>1.9959989938763145</v>
      </c>
      <c r="S55" s="32">
        <v>14.031826818454119</v>
      </c>
      <c r="T55" s="31">
        <v>3.2549087570827216E-2</v>
      </c>
      <c r="U55" s="31">
        <v>7.5515814514412374E-2</v>
      </c>
      <c r="V55" s="31">
        <v>1.7882863221327785E-2</v>
      </c>
      <c r="W55" s="31">
        <v>0.1470972992362721</v>
      </c>
      <c r="X55" s="31">
        <v>0.21117990075672649</v>
      </c>
      <c r="Y55" s="31">
        <v>0.48938589191024878</v>
      </c>
      <c r="Z55" s="31">
        <v>0.48938589191024873</v>
      </c>
      <c r="AA55" s="65">
        <v>0.18395151105610733</v>
      </c>
    </row>
    <row r="56" spans="1:27">
      <c r="A56" s="29" t="s">
        <v>136</v>
      </c>
      <c r="B56" s="30">
        <v>590</v>
      </c>
      <c r="C56" s="31">
        <v>0.26669155223880614</v>
      </c>
      <c r="D56" s="31">
        <v>0.36359811391786417</v>
      </c>
      <c r="E56" s="31">
        <v>0.24158267687634824</v>
      </c>
      <c r="F56" s="31">
        <v>0.31260731207135428</v>
      </c>
      <c r="G56" s="32">
        <v>0.96400287636378446</v>
      </c>
      <c r="H56" s="32">
        <v>1.088855941735434</v>
      </c>
      <c r="I56" s="31">
        <v>0.10859566586524133</v>
      </c>
      <c r="J56" s="31">
        <v>0.48387766980457797</v>
      </c>
      <c r="K56" s="31">
        <v>6.4354999999999996E-2</v>
      </c>
      <c r="L56" s="31">
        <v>0.21367468576413548</v>
      </c>
      <c r="M56" s="31">
        <v>9.5660793577814512E-2</v>
      </c>
      <c r="N56" s="32">
        <v>0.72177787759688772</v>
      </c>
      <c r="O56" s="32">
        <v>2.3810527342876315</v>
      </c>
      <c r="P56" s="32">
        <v>4.2234317999172477</v>
      </c>
      <c r="Q56" s="32">
        <v>6.3968445728922925</v>
      </c>
      <c r="R56" s="32">
        <v>1.5420415249160988</v>
      </c>
      <c r="S56" s="32">
        <v>17.550483815303338</v>
      </c>
      <c r="T56" s="31">
        <v>1.1379439275655217E-2</v>
      </c>
      <c r="U56" s="31">
        <v>0.27791758398609795</v>
      </c>
      <c r="V56" s="31">
        <v>0.14230625112830322</v>
      </c>
      <c r="W56" s="31">
        <v>0.53680367572185095</v>
      </c>
      <c r="X56" s="31">
        <v>0.21873526979182842</v>
      </c>
      <c r="Y56" s="31">
        <v>0.38354605719548041</v>
      </c>
      <c r="Z56" s="31">
        <v>0.38354605719548041</v>
      </c>
      <c r="AA56" s="65">
        <v>0.36597778616024979</v>
      </c>
    </row>
    <row r="57" spans="1:27">
      <c r="A57" s="29" t="s">
        <v>137</v>
      </c>
      <c r="B57" s="30">
        <v>174</v>
      </c>
      <c r="C57" s="31">
        <v>0.14224071428571419</v>
      </c>
      <c r="D57" s="31">
        <v>0.20652391715940321</v>
      </c>
      <c r="E57" s="31">
        <v>0.12634031115186051</v>
      </c>
      <c r="F57" s="31">
        <v>0.17576164835069483</v>
      </c>
      <c r="G57" s="32">
        <v>0.58306892157959134</v>
      </c>
      <c r="H57" s="32">
        <v>0.85477327531748326</v>
      </c>
      <c r="I57" s="31">
        <v>9.3590966947850684E-2</v>
      </c>
      <c r="J57" s="31">
        <v>0.29604834790023915</v>
      </c>
      <c r="K57" s="31">
        <v>6.4354999999999996E-2</v>
      </c>
      <c r="L57" s="31">
        <v>0.41344813826810339</v>
      </c>
      <c r="M57" s="31">
        <v>7.4766403252430683E-2</v>
      </c>
      <c r="N57" s="32">
        <v>0.70119353498470294</v>
      </c>
      <c r="O57" s="32">
        <v>2.4350441266320879</v>
      </c>
      <c r="P57" s="32">
        <v>8.6538309913820974</v>
      </c>
      <c r="Q57" s="32">
        <v>11.667657427910877</v>
      </c>
      <c r="R57" s="32">
        <v>1.7319473403576051</v>
      </c>
      <c r="S57" s="32">
        <v>379.61372013410056</v>
      </c>
      <c r="T57" s="31">
        <v>4.0400031397025173E-2</v>
      </c>
      <c r="U57" s="31">
        <v>0.11718132418192696</v>
      </c>
      <c r="V57" s="31">
        <v>8.0230525406116748E-2</v>
      </c>
      <c r="W57" s="31">
        <v>0.47879736709681725</v>
      </c>
      <c r="X57" s="31">
        <v>0.19802991406641668</v>
      </c>
      <c r="Y57" s="31">
        <v>0.58133831922958967</v>
      </c>
      <c r="Z57" s="31">
        <v>0.58133831922958967</v>
      </c>
      <c r="AA57" s="65">
        <v>0.20766740281227819</v>
      </c>
    </row>
    <row r="58" spans="1:27">
      <c r="A58" s="29" t="s">
        <v>138</v>
      </c>
      <c r="B58" s="30">
        <v>444</v>
      </c>
      <c r="C58" s="31">
        <v>7.7933924418604542E-2</v>
      </c>
      <c r="D58" s="31">
        <v>6.7211945796333383E-2</v>
      </c>
      <c r="E58" s="31">
        <v>0.14553325656056432</v>
      </c>
      <c r="F58" s="31">
        <v>0.23018694802682557</v>
      </c>
      <c r="G58" s="32">
        <v>0.81650032260313887</v>
      </c>
      <c r="H58" s="32">
        <v>0.97654622433771521</v>
      </c>
      <c r="I58" s="31">
        <v>0.10139661298004755</v>
      </c>
      <c r="J58" s="31">
        <v>0.36102582329931987</v>
      </c>
      <c r="K58" s="31">
        <v>6.4354999999999996E-2</v>
      </c>
      <c r="L58" s="31">
        <v>0.29357721636774026</v>
      </c>
      <c r="M58" s="31">
        <v>8.5738290794127661E-2</v>
      </c>
      <c r="N58" s="32">
        <v>2.4835718538686238</v>
      </c>
      <c r="O58" s="32">
        <v>0.64414147900341523</v>
      </c>
      <c r="P58" s="32">
        <v>6.4382791191869799</v>
      </c>
      <c r="Q58" s="32">
        <v>8.8875254665849557</v>
      </c>
      <c r="R58" s="32">
        <v>1.4899584515535069</v>
      </c>
      <c r="S58" s="32">
        <v>46.826721740920014</v>
      </c>
      <c r="T58" s="31">
        <v>6.4448066148705088E-2</v>
      </c>
      <c r="U58" s="31">
        <v>3.9255162065945412E-2</v>
      </c>
      <c r="V58" s="31">
        <v>2.1534721834103415E-2</v>
      </c>
      <c r="W58" s="31">
        <v>0.41173452769247471</v>
      </c>
      <c r="X58" s="31">
        <v>0.1671058520345248</v>
      </c>
      <c r="Y58" s="31">
        <v>0.25278543214691185</v>
      </c>
      <c r="Z58" s="31">
        <v>0.25278543214691185</v>
      </c>
      <c r="AA58" s="65">
        <v>6.7815316278665161E-2</v>
      </c>
    </row>
    <row r="59" spans="1:27">
      <c r="A59" s="29" t="s">
        <v>139</v>
      </c>
      <c r="B59" s="30">
        <v>164</v>
      </c>
      <c r="C59" s="31">
        <v>5.7694754098360626E-2</v>
      </c>
      <c r="D59" s="31">
        <v>9.1697469290684869E-2</v>
      </c>
      <c r="E59" s="31">
        <v>0.12158429116691415</v>
      </c>
      <c r="F59" s="31">
        <v>0.21199308348189852</v>
      </c>
      <c r="G59" s="32">
        <v>0.63169706370972833</v>
      </c>
      <c r="H59" s="32">
        <v>0.82652071493614188</v>
      </c>
      <c r="I59" s="31">
        <v>9.1779977827406697E-2</v>
      </c>
      <c r="J59" s="31">
        <v>0.2595251335373906</v>
      </c>
      <c r="K59" s="31">
        <v>6.4354999999999996E-2</v>
      </c>
      <c r="L59" s="31">
        <v>0.34484163116723443</v>
      </c>
      <c r="M59" s="31">
        <v>7.6703617639080637E-2</v>
      </c>
      <c r="N59" s="32">
        <v>1.563525798101618</v>
      </c>
      <c r="O59" s="32">
        <v>1.4040689663460026</v>
      </c>
      <c r="P59" s="32">
        <v>9.2921989769964295</v>
      </c>
      <c r="Q59" s="32">
        <v>15.085462079349663</v>
      </c>
      <c r="R59" s="32">
        <v>2.2006560571887719</v>
      </c>
      <c r="S59" s="32">
        <v>29.949387233831278</v>
      </c>
      <c r="T59" s="31">
        <v>0.13503323145959242</v>
      </c>
      <c r="U59" s="31">
        <v>7.3430271754610754E-2</v>
      </c>
      <c r="V59" s="31">
        <v>4.0861988250109449E-2</v>
      </c>
      <c r="W59" s="31">
        <v>0.76467093347497295</v>
      </c>
      <c r="X59" s="31">
        <v>0.12437615563003381</v>
      </c>
      <c r="Y59" s="31">
        <v>0.40548111787380564</v>
      </c>
      <c r="Z59" s="31">
        <v>0.40548111787380559</v>
      </c>
      <c r="AA59" s="65">
        <v>9.2122168444348992E-2</v>
      </c>
    </row>
    <row r="60" spans="1:27">
      <c r="A60" s="29" t="s">
        <v>140</v>
      </c>
      <c r="B60" s="30">
        <v>266</v>
      </c>
      <c r="C60" s="31">
        <v>3.0151770334928208E-2</v>
      </c>
      <c r="D60" s="31">
        <v>6.5469265151261863E-2</v>
      </c>
      <c r="E60" s="31">
        <v>4.9573756287668594E-2</v>
      </c>
      <c r="F60" s="31">
        <v>0.208529801624149</v>
      </c>
      <c r="G60" s="32">
        <v>0.67452726357603943</v>
      </c>
      <c r="H60" s="32">
        <v>0.91123562267706948</v>
      </c>
      <c r="I60" s="31">
        <v>9.7210203413600149E-2</v>
      </c>
      <c r="J60" s="31">
        <v>0.29232142502794328</v>
      </c>
      <c r="K60" s="31">
        <v>6.4354999999999996E-2</v>
      </c>
      <c r="L60" s="31">
        <v>0.39221477839053925</v>
      </c>
      <c r="M60" s="31">
        <v>7.7932890429325469E-2</v>
      </c>
      <c r="N60" s="32">
        <v>0.86614493988644492</v>
      </c>
      <c r="O60" s="32">
        <v>1.3103287441086131</v>
      </c>
      <c r="P60" s="32">
        <v>10.145296025613924</v>
      </c>
      <c r="Q60" s="32">
        <v>19.409725734324383</v>
      </c>
      <c r="R60" s="32">
        <v>1.0700113153525874</v>
      </c>
      <c r="S60" s="32">
        <v>53.229040853217001</v>
      </c>
      <c r="T60" s="31">
        <v>0.19301023843083542</v>
      </c>
      <c r="U60" s="31">
        <v>0.10356254127142554</v>
      </c>
      <c r="V60" s="31">
        <v>6.8286821802886769E-2</v>
      </c>
      <c r="W60" s="31">
        <v>1.5270401595610297</v>
      </c>
      <c r="X60" s="31">
        <v>6.4685812884941685E-2</v>
      </c>
      <c r="Y60" s="31">
        <v>0.55881830017691447</v>
      </c>
      <c r="Z60" s="31">
        <v>0.55881830017691447</v>
      </c>
      <c r="AA60" s="65">
        <v>6.5270026738935519E-2</v>
      </c>
    </row>
    <row r="61" spans="1:27">
      <c r="A61" s="29" t="s">
        <v>141</v>
      </c>
      <c r="B61" s="30">
        <v>488</v>
      </c>
      <c r="C61" s="31">
        <v>0.10553491271820446</v>
      </c>
      <c r="D61" s="31">
        <v>0.13542991805419821</v>
      </c>
      <c r="E61" s="31">
        <v>7.7773290566387959E-2</v>
      </c>
      <c r="F61" s="31">
        <v>0.20805972007633658</v>
      </c>
      <c r="G61" s="32">
        <v>0.44709739928296827</v>
      </c>
      <c r="H61" s="32">
        <v>0.73654518278252623</v>
      </c>
      <c r="I61" s="31">
        <v>8.6012546216359925E-2</v>
      </c>
      <c r="J61" s="31">
        <v>0.25342379632553674</v>
      </c>
      <c r="K61" s="31">
        <v>6.4354999999999996E-2</v>
      </c>
      <c r="L61" s="31">
        <v>0.49590794161286106</v>
      </c>
      <c r="M61" s="31">
        <v>6.7191732858331563E-2</v>
      </c>
      <c r="N61" s="32">
        <v>0.68526874049072972</v>
      </c>
      <c r="O61" s="32">
        <v>1.9842440306784828</v>
      </c>
      <c r="P61" s="32">
        <v>8.7108600321499665</v>
      </c>
      <c r="Q61" s="32">
        <v>14.113054268619704</v>
      </c>
      <c r="R61" s="32">
        <v>1.3054398461869166</v>
      </c>
      <c r="S61" s="32">
        <v>19.746454537908715</v>
      </c>
      <c r="T61" s="31">
        <v>5.1321052580214174E-2</v>
      </c>
      <c r="U61" s="31">
        <v>0.16145031366596388</v>
      </c>
      <c r="V61" s="31">
        <v>9.7845997009163577E-2</v>
      </c>
      <c r="W61" s="31">
        <v>0.93997521797198369</v>
      </c>
      <c r="X61" s="31">
        <v>0.12425005928175513</v>
      </c>
      <c r="Y61" s="31">
        <v>0.63064006144032125</v>
      </c>
      <c r="Z61" s="31">
        <v>0.63064006144032125</v>
      </c>
      <c r="AA61" s="65">
        <v>0.13547671716176615</v>
      </c>
    </row>
    <row r="62" spans="1:27">
      <c r="A62" s="29" t="s">
        <v>142</v>
      </c>
      <c r="B62" s="30">
        <v>853</v>
      </c>
      <c r="C62" s="31">
        <v>0.39661279569892466</v>
      </c>
      <c r="D62" s="31">
        <v>0.11716428482873288</v>
      </c>
      <c r="E62" s="31">
        <v>9.0931099417145486E-2</v>
      </c>
      <c r="F62" s="31">
        <v>0.25659862660670979</v>
      </c>
      <c r="G62" s="32">
        <v>1.0402350701665943</v>
      </c>
      <c r="H62" s="32">
        <v>1.0916417105034704</v>
      </c>
      <c r="I62" s="31">
        <v>0.10877423364327246</v>
      </c>
      <c r="J62" s="31">
        <v>0.60159260726154473</v>
      </c>
      <c r="K62" s="31">
        <v>6.7024E-2</v>
      </c>
      <c r="L62" s="31">
        <v>0.15542889273887234</v>
      </c>
      <c r="M62" s="31">
        <v>9.9647338638234689E-2</v>
      </c>
      <c r="N62" s="32">
        <v>0.8076654779709096</v>
      </c>
      <c r="O62" s="32">
        <v>2.388243444540735</v>
      </c>
      <c r="P62" s="32">
        <v>8.8129811908686815</v>
      </c>
      <c r="Q62" s="32">
        <v>18.827938179346596</v>
      </c>
      <c r="R62" s="32">
        <v>1.6763220630025462</v>
      </c>
      <c r="S62" s="32">
        <v>250.16739966900235</v>
      </c>
      <c r="T62" s="31">
        <v>0.10876920780761588</v>
      </c>
      <c r="U62" s="31">
        <v>0.18593105272862404</v>
      </c>
      <c r="V62" s="31">
        <v>0.11279334038614539</v>
      </c>
      <c r="W62" s="31">
        <v>1.560681789819641</v>
      </c>
      <c r="X62" s="31">
        <v>4.3236320854281259E-2</v>
      </c>
      <c r="Y62" s="31">
        <v>0.98308006126650493</v>
      </c>
      <c r="Z62" s="31">
        <v>0.98308006126650493</v>
      </c>
      <c r="AA62" s="65">
        <v>0.11750297486073459</v>
      </c>
    </row>
    <row r="63" spans="1:27">
      <c r="A63" s="29" t="s">
        <v>364</v>
      </c>
      <c r="B63" s="30">
        <v>205</v>
      </c>
      <c r="C63" s="31">
        <v>2.5649285714285718E-2</v>
      </c>
      <c r="D63" s="31">
        <v>7.5733670014209539E-2</v>
      </c>
      <c r="E63" s="31">
        <v>9.1693019012514851E-2</v>
      </c>
      <c r="F63" s="31">
        <v>0.118450253445926</v>
      </c>
      <c r="G63" s="32">
        <v>0.98174439942557767</v>
      </c>
      <c r="H63" s="32">
        <v>0.98667454557159306</v>
      </c>
      <c r="I63" s="31">
        <v>0.10204583837113912</v>
      </c>
      <c r="J63" s="31">
        <v>0.30045957687616837</v>
      </c>
      <c r="K63" s="31">
        <v>6.4354999999999996E-2</v>
      </c>
      <c r="L63" s="31">
        <v>0.17696837446783933</v>
      </c>
      <c r="M63" s="31">
        <v>9.2492107878384716E-2</v>
      </c>
      <c r="N63" s="32">
        <v>1.4375094926430516</v>
      </c>
      <c r="O63" s="32">
        <v>1.544761587796009</v>
      </c>
      <c r="P63" s="32">
        <v>12.19735357007114</v>
      </c>
      <c r="Q63" s="32">
        <v>19.632013175283291</v>
      </c>
      <c r="R63" s="32">
        <v>1.6779599293789245</v>
      </c>
      <c r="S63" s="32">
        <v>41.064074331233321</v>
      </c>
      <c r="T63" s="31">
        <v>8.4396816377801928E-2</v>
      </c>
      <c r="U63" s="31">
        <v>3.023021107723154E-2</v>
      </c>
      <c r="V63" s="31">
        <v>-1.3126563486090452E-2</v>
      </c>
      <c r="W63" s="31">
        <v>-0.10842879148619908</v>
      </c>
      <c r="X63" s="31">
        <v>8.9123022177273498E-2</v>
      </c>
      <c r="Y63" s="31">
        <v>0.41364930060750954</v>
      </c>
      <c r="Z63" s="31">
        <v>0.41364930060750948</v>
      </c>
      <c r="AA63" s="65">
        <v>7.3676111504347927E-2</v>
      </c>
    </row>
    <row r="64" spans="1:27">
      <c r="A64" s="29" t="s">
        <v>143</v>
      </c>
      <c r="B64" s="30">
        <v>633</v>
      </c>
      <c r="C64" s="31">
        <v>9.1772292576419237E-2</v>
      </c>
      <c r="D64" s="31">
        <v>0.30402639114664837</v>
      </c>
      <c r="E64" s="31">
        <v>3.1870624041347918E-2</v>
      </c>
      <c r="F64" s="31">
        <v>3.2850631372118813E-2</v>
      </c>
      <c r="G64" s="32">
        <v>0.51715701412377979</v>
      </c>
      <c r="H64" s="32">
        <v>0.80382166555826706</v>
      </c>
      <c r="I64" s="31">
        <v>9.0324968762284921E-2</v>
      </c>
      <c r="J64" s="31">
        <v>0.19440345710965456</v>
      </c>
      <c r="K64" s="31">
        <v>5.8542999999999998E-2</v>
      </c>
      <c r="L64" s="31">
        <v>0.44103424923766665</v>
      </c>
      <c r="M64" s="31">
        <v>6.9770542718865444E-2</v>
      </c>
      <c r="N64" s="32">
        <v>0.11461297944621147</v>
      </c>
      <c r="O64" s="32">
        <v>11.928153053441946</v>
      </c>
      <c r="P64" s="32">
        <v>21.659963653072243</v>
      </c>
      <c r="Q64" s="32">
        <v>36.907123476218715</v>
      </c>
      <c r="R64" s="32">
        <v>1.4873329243681386</v>
      </c>
      <c r="S64" s="32">
        <v>65.224529819282452</v>
      </c>
      <c r="T64" s="31">
        <v>0.94396697344893565</v>
      </c>
      <c r="U64" s="31">
        <v>6.0725251904459342E-2</v>
      </c>
      <c r="V64" s="31">
        <v>-5.9045135347357683E-2</v>
      </c>
      <c r="W64" s="31">
        <v>-0.18402675200436258</v>
      </c>
      <c r="X64" s="31">
        <v>2.0324312920631606E-2</v>
      </c>
      <c r="Y64" s="31">
        <v>3.4298055269373591</v>
      </c>
      <c r="Z64" s="31">
        <v>3.4298055269373591</v>
      </c>
      <c r="AA64" s="65">
        <v>0.28379516755336087</v>
      </c>
    </row>
    <row r="65" spans="1:27">
      <c r="A65" s="29" t="s">
        <v>144</v>
      </c>
      <c r="B65" s="30">
        <v>884</v>
      </c>
      <c r="C65" s="31">
        <v>0.10489185582822072</v>
      </c>
      <c r="D65" s="31">
        <v>5.0080867769680779E-2</v>
      </c>
      <c r="E65" s="31">
        <v>2.0519444443367243E-2</v>
      </c>
      <c r="F65" s="31">
        <v>0.29363272379157651</v>
      </c>
      <c r="G65" s="32">
        <v>0.4151846023610043</v>
      </c>
      <c r="H65" s="32">
        <v>0.98381928935145857</v>
      </c>
      <c r="I65" s="31">
        <v>0.10186281644742851</v>
      </c>
      <c r="J65" s="31">
        <v>0.32264079845830512</v>
      </c>
      <c r="K65" s="31">
        <v>6.4354999999999996E-2</v>
      </c>
      <c r="L65" s="31">
        <v>0.71338918457751455</v>
      </c>
      <c r="M65" s="31">
        <v>6.348069309822775E-2</v>
      </c>
      <c r="N65" s="32">
        <v>0.48136054077406221</v>
      </c>
      <c r="O65" s="32">
        <v>1.6844769371768094</v>
      </c>
      <c r="P65" s="32">
        <v>13.21058928721682</v>
      </c>
      <c r="Q65" s="32">
        <v>25.061544895916871</v>
      </c>
      <c r="R65" s="32">
        <v>0.47499232700938854</v>
      </c>
      <c r="S65" s="32">
        <v>85.617825124817145</v>
      </c>
      <c r="T65" s="31">
        <v>1.9372904748389623</v>
      </c>
      <c r="U65" s="31">
        <v>2.4175751924503074E-2</v>
      </c>
      <c r="V65" s="31">
        <v>1.5641880147807902E-2</v>
      </c>
      <c r="W65" s="31">
        <v>-2.4874862323222326</v>
      </c>
      <c r="X65" s="31">
        <v>-3.4840201694336069E-2</v>
      </c>
      <c r="Y65" s="31">
        <v>7.9532474775776667E-3</v>
      </c>
      <c r="Z65" s="31">
        <v>7.9532474775776407E-3</v>
      </c>
      <c r="AA65" s="65">
        <v>4.9828779780654801E-2</v>
      </c>
    </row>
    <row r="66" spans="1:27">
      <c r="A66" s="29" t="s">
        <v>145</v>
      </c>
      <c r="B66" s="30">
        <v>336</v>
      </c>
      <c r="C66" s="31">
        <v>4.3873405797101465E-2</v>
      </c>
      <c r="D66" s="31">
        <v>0.15167474002655593</v>
      </c>
      <c r="E66" s="31">
        <v>3.5054354887619474E-2</v>
      </c>
      <c r="F66" s="31">
        <v>0.28115061326406465</v>
      </c>
      <c r="G66" s="32">
        <v>0.54027621202156262</v>
      </c>
      <c r="H66" s="32">
        <v>0.94126979574630987</v>
      </c>
      <c r="I66" s="31">
        <v>9.913539390733847E-2</v>
      </c>
      <c r="J66" s="31">
        <v>0.25548788218587742</v>
      </c>
      <c r="K66" s="31">
        <v>6.4354999999999996E-2</v>
      </c>
      <c r="L66" s="31">
        <v>0.54735806735395398</v>
      </c>
      <c r="M66" s="31">
        <v>7.1179036879308918E-2</v>
      </c>
      <c r="N66" s="32">
        <v>0.26352308133588775</v>
      </c>
      <c r="O66" s="32">
        <v>3.3452161322956986</v>
      </c>
      <c r="P66" s="32">
        <v>13.533672644677281</v>
      </c>
      <c r="Q66" s="32">
        <v>19.755324773603924</v>
      </c>
      <c r="R66" s="32">
        <v>0.67632359153553245</v>
      </c>
      <c r="S66" s="32">
        <v>82.378100398027456</v>
      </c>
      <c r="T66" s="31">
        <v>1.1297095601126699</v>
      </c>
      <c r="U66" s="31">
        <v>8.6251862945798785E-2</v>
      </c>
      <c r="V66" s="31">
        <v>8.263981951953811E-2</v>
      </c>
      <c r="W66" s="31">
        <v>1.1017161071666843</v>
      </c>
      <c r="X66" s="31">
        <v>3.9727774034120228E-2</v>
      </c>
      <c r="Y66" s="31">
        <v>0.57547165687174862</v>
      </c>
      <c r="Z66" s="31">
        <v>0.57547165687174862</v>
      </c>
      <c r="AA66" s="65">
        <v>0.15726657130404778</v>
      </c>
    </row>
    <row r="67" spans="1:27">
      <c r="A67" s="29" t="s">
        <v>146</v>
      </c>
      <c r="B67" s="30">
        <v>748</v>
      </c>
      <c r="C67" s="31">
        <v>8.5338026565465006E-2</v>
      </c>
      <c r="D67" s="31">
        <v>0.16934513350573324</v>
      </c>
      <c r="E67" s="31">
        <v>3.9065889833080299E-2</v>
      </c>
      <c r="F67" s="31">
        <v>0.20979484449374183</v>
      </c>
      <c r="G67" s="32">
        <v>0.56013966502407275</v>
      </c>
      <c r="H67" s="32">
        <v>0.87519911806776363</v>
      </c>
      <c r="I67" s="31">
        <v>9.4900263468143647E-2</v>
      </c>
      <c r="J67" s="31">
        <v>0.28966941137178137</v>
      </c>
      <c r="K67" s="31">
        <v>6.4354999999999996E-2</v>
      </c>
      <c r="L67" s="31">
        <v>0.47132844724291262</v>
      </c>
      <c r="M67" s="31">
        <v>7.2823262816387013E-2</v>
      </c>
      <c r="N67" s="32">
        <v>0.25417193766136481</v>
      </c>
      <c r="O67" s="32">
        <v>4.0704803621905601</v>
      </c>
      <c r="P67" s="32">
        <v>16.501271688502577</v>
      </c>
      <c r="Q67" s="32">
        <v>21.262656069801153</v>
      </c>
      <c r="R67" s="32">
        <v>0.91823573499989108</v>
      </c>
      <c r="S67" s="32">
        <v>66.290745319241054</v>
      </c>
      <c r="T67" s="31">
        <v>0.19381853732242252</v>
      </c>
      <c r="U67" s="31">
        <v>2.5089112611829594E-2</v>
      </c>
      <c r="V67" s="31">
        <v>2.3190835360523514E-2</v>
      </c>
      <c r="W67" s="31">
        <v>0.13557623813278311</v>
      </c>
      <c r="X67" s="31">
        <v>-2.8154334130633382E-2</v>
      </c>
      <c r="Y67" s="31">
        <v>6.5958463668374101E-3</v>
      </c>
      <c r="Z67" s="31">
        <v>6.5958463668374101E-3</v>
      </c>
      <c r="AA67" s="65">
        <v>0.17582372303902682</v>
      </c>
    </row>
    <row r="68" spans="1:27">
      <c r="A68" s="29" t="s">
        <v>147</v>
      </c>
      <c r="B68" s="30">
        <v>326</v>
      </c>
      <c r="C68" s="31">
        <v>6.7453374485596698E-2</v>
      </c>
      <c r="D68" s="31">
        <v>0.11257736658811469</v>
      </c>
      <c r="E68" s="31">
        <v>0.1118567611101358</v>
      </c>
      <c r="F68" s="31">
        <v>0.24549862040910825</v>
      </c>
      <c r="G68" s="32">
        <v>0.90095338579692241</v>
      </c>
      <c r="H68" s="32">
        <v>0.99486811366784356</v>
      </c>
      <c r="I68" s="31">
        <v>0.10257104608610877</v>
      </c>
      <c r="J68" s="31">
        <v>0.31551562219003843</v>
      </c>
      <c r="K68" s="31">
        <v>6.4354999999999996E-2</v>
      </c>
      <c r="L68" s="31">
        <v>0.21268298134588476</v>
      </c>
      <c r="M68" s="31">
        <v>9.0977541070688381E-2</v>
      </c>
      <c r="N68" s="32">
        <v>1.2170497477677569</v>
      </c>
      <c r="O68" s="32">
        <v>2.1605517731648614</v>
      </c>
      <c r="P68" s="32">
        <v>11.793257016689154</v>
      </c>
      <c r="Q68" s="32">
        <v>19.324996402942183</v>
      </c>
      <c r="R68" s="32">
        <v>3.0397868598630824</v>
      </c>
      <c r="S68" s="32">
        <v>65.706363445765007</v>
      </c>
      <c r="T68" s="31">
        <v>0.16351049819930016</v>
      </c>
      <c r="U68" s="31">
        <v>6.2188333287252054E-2</v>
      </c>
      <c r="V68" s="31">
        <v>3.0626786553431942E-2</v>
      </c>
      <c r="W68" s="31">
        <v>0.4828574746721972</v>
      </c>
      <c r="X68" s="31">
        <v>9.452247803676618E-2</v>
      </c>
      <c r="Y68" s="31">
        <v>0.4868889544762211</v>
      </c>
      <c r="Z68" s="31">
        <v>0.48688895447622116</v>
      </c>
      <c r="AA68" s="65">
        <v>0.10633930550184408</v>
      </c>
    </row>
    <row r="69" spans="1:27">
      <c r="A69" s="29" t="s">
        <v>148</v>
      </c>
      <c r="B69" s="30">
        <v>34</v>
      </c>
      <c r="C69" s="31">
        <v>8.0257586206896561E-2</v>
      </c>
      <c r="D69" s="31">
        <v>0.10234972842353283</v>
      </c>
      <c r="E69" s="31">
        <v>0.23300411586091974</v>
      </c>
      <c r="F69" s="31">
        <v>0.17106530742952844</v>
      </c>
      <c r="G69" s="32">
        <v>1.0857693512076685</v>
      </c>
      <c r="H69" s="32">
        <v>1.1410235796208721</v>
      </c>
      <c r="I69" s="31">
        <v>0.11193961145369791</v>
      </c>
      <c r="J69" s="31">
        <v>0.23429812694853552</v>
      </c>
      <c r="K69" s="31">
        <v>5.8542999999999998E-2</v>
      </c>
      <c r="L69" s="31">
        <v>0.21538998013834515</v>
      </c>
      <c r="M69" s="31">
        <v>9.7245771829478023E-2</v>
      </c>
      <c r="N69" s="32">
        <v>2.6148396847258599</v>
      </c>
      <c r="O69" s="32">
        <v>0.75713755752094358</v>
      </c>
      <c r="P69" s="32">
        <v>8.5181858887897732</v>
      </c>
      <c r="Q69" s="32">
        <v>7.3798604971670629</v>
      </c>
      <c r="R69" s="32">
        <v>1.3386475086303296</v>
      </c>
      <c r="S69" s="32">
        <v>13.499805347113609</v>
      </c>
      <c r="T69" s="31">
        <v>-0.69732768167972969</v>
      </c>
      <c r="U69" s="31">
        <v>6.7383761889283872E-4</v>
      </c>
      <c r="V69" s="31">
        <v>1.8491228366908426E-2</v>
      </c>
      <c r="W69" s="31">
        <v>0.31393549854645547</v>
      </c>
      <c r="X69" s="31">
        <v>0.18999090330907187</v>
      </c>
      <c r="Y69" s="31">
        <v>0.21042384692812813</v>
      </c>
      <c r="Z69" s="31">
        <v>0.2104238469281281</v>
      </c>
      <c r="AA69" s="65">
        <v>0.10227896161981583</v>
      </c>
    </row>
    <row r="70" spans="1:27">
      <c r="A70" s="29" t="s">
        <v>202</v>
      </c>
      <c r="B70" s="30">
        <v>394</v>
      </c>
      <c r="C70" s="31">
        <v>3.6257622377622346E-2</v>
      </c>
      <c r="D70" s="31">
        <v>9.5059010957297199E-2</v>
      </c>
      <c r="E70" s="31">
        <v>0.12877333183735615</v>
      </c>
      <c r="F70" s="31">
        <v>0.19200454245697118</v>
      </c>
      <c r="G70" s="32">
        <v>0.84691209454718896</v>
      </c>
      <c r="H70" s="32">
        <v>0.98015356869100667</v>
      </c>
      <c r="I70" s="31">
        <v>0.10162784375309353</v>
      </c>
      <c r="J70" s="31">
        <v>0.29860207290824442</v>
      </c>
      <c r="K70" s="31">
        <v>6.4354999999999996E-2</v>
      </c>
      <c r="L70" s="31">
        <v>0.21472117827075884</v>
      </c>
      <c r="M70" s="31">
        <v>9.0125760647455352E-2</v>
      </c>
      <c r="N70" s="32">
        <v>1.7170453671868751</v>
      </c>
      <c r="O70" s="32">
        <v>2.6891541496559115</v>
      </c>
      <c r="P70" s="32">
        <v>16.48286806183112</v>
      </c>
      <c r="Q70" s="32">
        <v>29.127158687564172</v>
      </c>
      <c r="R70" s="32">
        <v>9.1911841941799413</v>
      </c>
      <c r="S70" s="32">
        <v>79.594383511185526</v>
      </c>
      <c r="T70" s="31">
        <v>-1.5570926850960395E-2</v>
      </c>
      <c r="U70" s="31">
        <v>4.2112293334399038E-2</v>
      </c>
      <c r="V70" s="31">
        <v>1.6541780294223832E-2</v>
      </c>
      <c r="W70" s="31">
        <v>0.2483825751653094</v>
      </c>
      <c r="X70" s="31">
        <v>0.24646866445962604</v>
      </c>
      <c r="Y70" s="31">
        <v>0.64040252806340192</v>
      </c>
      <c r="Z70" s="31">
        <v>0.64040252806340192</v>
      </c>
      <c r="AA70" s="65">
        <v>8.6895532423177463E-2</v>
      </c>
    </row>
    <row r="71" spans="1:27">
      <c r="A71" s="29" t="s">
        <v>149</v>
      </c>
      <c r="B71" s="30">
        <v>204</v>
      </c>
      <c r="C71" s="31">
        <v>7.3979379310344817E-2</v>
      </c>
      <c r="D71" s="31">
        <v>4.5843634003713801E-2</v>
      </c>
      <c r="E71" s="31">
        <v>0.10481182756223011</v>
      </c>
      <c r="F71" s="31">
        <v>0.2275776164708411</v>
      </c>
      <c r="G71" s="32">
        <v>0.71515265230227776</v>
      </c>
      <c r="H71" s="32">
        <v>0.9984182748699072</v>
      </c>
      <c r="I71" s="31">
        <v>0.10279861141916105</v>
      </c>
      <c r="J71" s="31">
        <v>0.32732613175188158</v>
      </c>
      <c r="K71" s="31">
        <v>6.4354999999999996E-2</v>
      </c>
      <c r="L71" s="31">
        <v>0.38448853694962759</v>
      </c>
      <c r="M71" s="31">
        <v>8.1752363529354249E-2</v>
      </c>
      <c r="N71" s="32">
        <v>2.9249830898771991</v>
      </c>
      <c r="O71" s="32">
        <v>0.76304746263985546</v>
      </c>
      <c r="P71" s="32">
        <v>11.188689690797089</v>
      </c>
      <c r="Q71" s="32">
        <v>16.606135028579924</v>
      </c>
      <c r="R71" s="32">
        <v>3.251210132543064</v>
      </c>
      <c r="S71" s="32">
        <v>30.238685744862362</v>
      </c>
      <c r="T71" s="31">
        <v>0.10706378902882009</v>
      </c>
      <c r="U71" s="31">
        <v>1.94756882094714E-2</v>
      </c>
      <c r="V71" s="31">
        <v>1.7281765587046687E-2</v>
      </c>
      <c r="W71" s="31">
        <v>0.82827773689845452</v>
      </c>
      <c r="X71" s="31">
        <v>0.2076925236086363</v>
      </c>
      <c r="Y71" s="31">
        <v>0.26136084734296877</v>
      </c>
      <c r="Z71" s="31">
        <v>0.26136084734296872</v>
      </c>
      <c r="AA71" s="65">
        <v>4.3671243067015246E-2</v>
      </c>
    </row>
    <row r="72" spans="1:27">
      <c r="A72" s="29" t="s">
        <v>150</v>
      </c>
      <c r="B72" s="30">
        <v>120</v>
      </c>
      <c r="C72" s="31">
        <v>5.391283950617283E-2</v>
      </c>
      <c r="D72" s="31">
        <v>0.10876679058825126</v>
      </c>
      <c r="E72" s="31">
        <v>0.2434078621058679</v>
      </c>
      <c r="F72" s="31">
        <v>0.24354371791455404</v>
      </c>
      <c r="G72" s="32">
        <v>0.96248561606011518</v>
      </c>
      <c r="H72" s="32">
        <v>1.1069063250264495</v>
      </c>
      <c r="I72" s="31">
        <v>0.10975269543419541</v>
      </c>
      <c r="J72" s="31">
        <v>0.30071356129427335</v>
      </c>
      <c r="K72" s="31">
        <v>6.4354999999999996E-2</v>
      </c>
      <c r="L72" s="31">
        <v>0.18643722278574137</v>
      </c>
      <c r="M72" s="31">
        <v>9.8250939172565388E-2</v>
      </c>
      <c r="N72" s="32">
        <v>2.8306543984716934</v>
      </c>
      <c r="O72" s="32">
        <v>1.8618827532091615</v>
      </c>
      <c r="P72" s="32">
        <v>12.924894242121775</v>
      </c>
      <c r="Q72" s="32">
        <v>17.009576813204827</v>
      </c>
      <c r="R72" s="32">
        <v>19.811084981805248</v>
      </c>
      <c r="S72" s="32">
        <v>33.618358654770915</v>
      </c>
      <c r="T72" s="31">
        <v>8.9745026637499725E-2</v>
      </c>
      <c r="U72" s="31">
        <v>2.635790719826963E-2</v>
      </c>
      <c r="V72" s="31">
        <v>8.4592894467163497E-3</v>
      </c>
      <c r="W72" s="31">
        <v>5.8794934852472613E-2</v>
      </c>
      <c r="X72" s="31">
        <v>0.85228172803753866</v>
      </c>
      <c r="Y72" s="31">
        <v>0.47316731981227755</v>
      </c>
      <c r="Z72" s="31">
        <v>0.47316731981227755</v>
      </c>
      <c r="AA72" s="65">
        <v>0.10736791491467859</v>
      </c>
    </row>
    <row r="73" spans="1:27">
      <c r="A73" s="29" t="s">
        <v>151</v>
      </c>
      <c r="B73" s="30">
        <v>1028</v>
      </c>
      <c r="C73" s="31">
        <v>0.10370086657496563</v>
      </c>
      <c r="D73" s="31">
        <v>5.2198984719087675E-2</v>
      </c>
      <c r="E73" s="31">
        <v>8.7295774312562774E-2</v>
      </c>
      <c r="F73" s="31">
        <v>0.22076759899753429</v>
      </c>
      <c r="G73" s="32">
        <v>0.61072958377877129</v>
      </c>
      <c r="H73" s="32">
        <v>0.80245279768180777</v>
      </c>
      <c r="I73" s="31">
        <v>9.0237224331403881E-2</v>
      </c>
      <c r="J73" s="31">
        <v>0.31082069146992614</v>
      </c>
      <c r="K73" s="31">
        <v>6.4354999999999996E-2</v>
      </c>
      <c r="L73" s="31">
        <v>0.36447404135218497</v>
      </c>
      <c r="M73" s="31">
        <v>7.4864835371168378E-2</v>
      </c>
      <c r="N73" s="32">
        <v>1.9850579256746457</v>
      </c>
      <c r="O73" s="32">
        <v>0.83129637184913119</v>
      </c>
      <c r="P73" s="32">
        <v>11.837965793763226</v>
      </c>
      <c r="Q73" s="32">
        <v>15.17094325756824</v>
      </c>
      <c r="R73" s="32">
        <v>1.6896602976560289</v>
      </c>
      <c r="S73" s="32">
        <v>47.963497120770214</v>
      </c>
      <c r="T73" s="31">
        <v>0.15950699645612881</v>
      </c>
      <c r="U73" s="31">
        <v>2.7385728666768458E-2</v>
      </c>
      <c r="V73" s="31">
        <v>2.7856372186036486E-2</v>
      </c>
      <c r="W73" s="31">
        <v>0.7507573636319792</v>
      </c>
      <c r="X73" s="31">
        <v>0.14332500695587758</v>
      </c>
      <c r="Y73" s="31">
        <v>0.36173027740438085</v>
      </c>
      <c r="Z73" s="31">
        <v>0.36173027740438091</v>
      </c>
      <c r="AA73" s="65">
        <v>5.2591315437978028E-2</v>
      </c>
    </row>
    <row r="74" spans="1:27">
      <c r="A74" s="29" t="s">
        <v>152</v>
      </c>
      <c r="B74" s="30">
        <v>256</v>
      </c>
      <c r="C74" s="31">
        <v>9.6226153846153736E-3</v>
      </c>
      <c r="D74" s="31">
        <v>4.3542241635271914E-2</v>
      </c>
      <c r="E74" s="31">
        <v>8.3478279708728051E-2</v>
      </c>
      <c r="F74" s="31">
        <v>0.19379422929778309</v>
      </c>
      <c r="G74" s="32">
        <v>0.99306784074250776</v>
      </c>
      <c r="H74" s="32">
        <v>1.0856124994038361</v>
      </c>
      <c r="I74" s="31">
        <v>0.10838776121178589</v>
      </c>
      <c r="J74" s="31">
        <v>0.29728382030674888</v>
      </c>
      <c r="K74" s="31">
        <v>6.4354999999999996E-2</v>
      </c>
      <c r="L74" s="31">
        <v>0.1680989294267965</v>
      </c>
      <c r="M74" s="31">
        <v>9.8246781920433096E-2</v>
      </c>
      <c r="N74" s="32">
        <v>2.1335725223471864</v>
      </c>
      <c r="O74" s="32">
        <v>1.4828729592721801</v>
      </c>
      <c r="P74" s="32">
        <v>15.611727952528405</v>
      </c>
      <c r="Q74" s="32">
        <v>34.184988499351526</v>
      </c>
      <c r="R74" s="32">
        <v>4.7814203126747996</v>
      </c>
      <c r="S74" s="32">
        <v>65.253794901275398</v>
      </c>
      <c r="T74" s="31">
        <v>-1.2451183702950622E-2</v>
      </c>
      <c r="U74" s="31">
        <v>4.7244512276556745E-2</v>
      </c>
      <c r="V74" s="31">
        <v>1.9004521712700662E-2</v>
      </c>
      <c r="W74" s="31">
        <v>0.72588271722709163</v>
      </c>
      <c r="X74" s="31">
        <v>0.15077463621146744</v>
      </c>
      <c r="Y74" s="31">
        <v>0.25887617580414191</v>
      </c>
      <c r="Z74" s="31">
        <v>0.25887617580414191</v>
      </c>
      <c r="AA74" s="65">
        <v>4.5982485680762068E-2</v>
      </c>
    </row>
    <row r="75" spans="1:27">
      <c r="A75" s="29" t="s">
        <v>153</v>
      </c>
      <c r="B75" s="30">
        <v>201</v>
      </c>
      <c r="C75" s="31">
        <v>5.3329683544303758E-2</v>
      </c>
      <c r="D75" s="31">
        <v>3.9152682778807651E-2</v>
      </c>
      <c r="E75" s="31">
        <v>0.10888121057037063</v>
      </c>
      <c r="F75" s="31">
        <v>0.23475115944607719</v>
      </c>
      <c r="G75" s="32">
        <v>0.55190516839256432</v>
      </c>
      <c r="H75" s="32">
        <v>0.70568036082683883</v>
      </c>
      <c r="I75" s="31">
        <v>8.4034111129000374E-2</v>
      </c>
      <c r="J75" s="31">
        <v>0.25255189468537265</v>
      </c>
      <c r="K75" s="31">
        <v>6.4354999999999996E-2</v>
      </c>
      <c r="L75" s="31">
        <v>0.33371729426885527</v>
      </c>
      <c r="M75" s="31">
        <v>7.2029032886533645E-2</v>
      </c>
      <c r="N75" s="32">
        <v>3.4246814204206171</v>
      </c>
      <c r="O75" s="32">
        <v>0.6274825802759757</v>
      </c>
      <c r="P75" s="32">
        <v>9.2926197466361646</v>
      </c>
      <c r="Q75" s="32">
        <v>15.8484938548917</v>
      </c>
      <c r="R75" s="32">
        <v>2.5117227966655129</v>
      </c>
      <c r="S75" s="32">
        <v>40.906368724613998</v>
      </c>
      <c r="T75" s="31">
        <v>-3.0261379667246124E-2</v>
      </c>
      <c r="U75" s="31">
        <v>2.9563097141051251E-2</v>
      </c>
      <c r="V75" s="31">
        <v>9.885347371725476E-3</v>
      </c>
      <c r="W75" s="31">
        <v>0.30008433336189916</v>
      </c>
      <c r="X75" s="31">
        <v>0.10054514265836895</v>
      </c>
      <c r="Y75" s="31">
        <v>0.50215049989591976</v>
      </c>
      <c r="Z75" s="31">
        <v>0.50215049989591976</v>
      </c>
      <c r="AA75" s="65">
        <v>3.9591001476449145E-2</v>
      </c>
    </row>
    <row r="76" spans="1:27">
      <c r="A76" s="29" t="s">
        <v>462</v>
      </c>
      <c r="B76" s="30">
        <v>123</v>
      </c>
      <c r="C76" s="31">
        <v>5.323048543689321E-2</v>
      </c>
      <c r="D76" s="31">
        <v>0.48374162072210697</v>
      </c>
      <c r="E76" s="31">
        <v>4.496131610719778E-2</v>
      </c>
      <c r="F76" s="31">
        <v>4.4981924599758992E-2</v>
      </c>
      <c r="G76" s="32">
        <v>0.61480470227742534</v>
      </c>
      <c r="H76" s="32">
        <v>0.94720211763714923</v>
      </c>
      <c r="I76" s="31">
        <v>9.9515655740541276E-2</v>
      </c>
      <c r="J76" s="31">
        <v>0.17432124177759648</v>
      </c>
      <c r="K76" s="31">
        <v>5.8542999999999998E-2</v>
      </c>
      <c r="L76" s="31">
        <v>0.43600243609609318</v>
      </c>
      <c r="M76" s="31">
        <v>7.5188575720272904E-2</v>
      </c>
      <c r="N76" s="32">
        <v>9.8238037992712926E-2</v>
      </c>
      <c r="O76" s="32">
        <v>12.063494268116479</v>
      </c>
      <c r="P76" s="32">
        <v>18.13747290703505</v>
      </c>
      <c r="Q76" s="32">
        <v>22.997222452541244</v>
      </c>
      <c r="R76" s="32">
        <v>1.168886234847035</v>
      </c>
      <c r="S76" s="32">
        <v>77.557007629367305</v>
      </c>
      <c r="T76" s="31">
        <v>-7.1442705363018263E-2</v>
      </c>
      <c r="U76" s="31">
        <v>3.4648147310819444E-2</v>
      </c>
      <c r="V76" s="31">
        <v>-3.249446096351747E-2</v>
      </c>
      <c r="W76" s="31">
        <v>-8.5253457323609463E-2</v>
      </c>
      <c r="X76" s="31">
        <v>3.5616724732323919E-2</v>
      </c>
      <c r="Y76" s="31">
        <v>1.6515768649547726</v>
      </c>
      <c r="Z76" s="31">
        <v>1.6515768649547726</v>
      </c>
      <c r="AA76" s="65">
        <v>0.47495564360098547</v>
      </c>
    </row>
    <row r="77" spans="1:27">
      <c r="A77" s="29" t="s">
        <v>154</v>
      </c>
      <c r="B77" s="30">
        <v>639</v>
      </c>
      <c r="C77" s="31">
        <v>5.1914952380952423E-2</v>
      </c>
      <c r="D77" s="31">
        <v>5.04221790728843E-2</v>
      </c>
      <c r="E77" s="31">
        <v>0.11756426158826133</v>
      </c>
      <c r="F77" s="31">
        <v>0.25216642740714312</v>
      </c>
      <c r="G77" s="32">
        <v>0.98079672894532766</v>
      </c>
      <c r="H77" s="32">
        <v>1.0906405392648799</v>
      </c>
      <c r="I77" s="31">
        <v>0.10871005856687881</v>
      </c>
      <c r="J77" s="31">
        <v>0.33815801390687678</v>
      </c>
      <c r="K77" s="31">
        <v>6.4354999999999996E-2</v>
      </c>
      <c r="L77" s="31">
        <v>0.21088688811216749</v>
      </c>
      <c r="M77" s="31">
        <v>9.5919822670371899E-2</v>
      </c>
      <c r="N77" s="32">
        <v>2.6894797418402416</v>
      </c>
      <c r="O77" s="32">
        <v>1.124117236951806</v>
      </c>
      <c r="P77" s="32">
        <v>11.71406075761</v>
      </c>
      <c r="Q77" s="32">
        <v>21.065236561544381</v>
      </c>
      <c r="R77" s="32">
        <v>3.575349088959423</v>
      </c>
      <c r="S77" s="32">
        <v>48.403695063803532</v>
      </c>
      <c r="T77" s="31">
        <v>6.1325245781905E-2</v>
      </c>
      <c r="U77" s="31">
        <v>2.2601381462110832E-2</v>
      </c>
      <c r="V77" s="31">
        <v>1.0176207106635218E-2</v>
      </c>
      <c r="W77" s="31">
        <v>0.22248105248757027</v>
      </c>
      <c r="X77" s="31">
        <v>8.2289088114543829E-2</v>
      </c>
      <c r="Y77" s="31">
        <v>0.71101924636845149</v>
      </c>
      <c r="Z77" s="31">
        <v>0.71101924636845149</v>
      </c>
      <c r="AA77" s="65">
        <v>5.1646898824351938E-2</v>
      </c>
    </row>
    <row r="78" spans="1:27">
      <c r="A78" s="29" t="s">
        <v>155</v>
      </c>
      <c r="B78" s="30">
        <v>89</v>
      </c>
      <c r="C78" s="31">
        <v>5.1510142857142824E-2</v>
      </c>
      <c r="D78" s="31">
        <v>8.7797443814186651E-2</v>
      </c>
      <c r="E78" s="31">
        <v>8.6701711502713455E-2</v>
      </c>
      <c r="F78" s="31">
        <v>0.22925931428575885</v>
      </c>
      <c r="G78" s="32">
        <v>0.88487723640109039</v>
      </c>
      <c r="H78" s="32">
        <v>1.0447442130882163</v>
      </c>
      <c r="I78" s="31">
        <v>0.10576810405895468</v>
      </c>
      <c r="J78" s="31">
        <v>0.26902119043396677</v>
      </c>
      <c r="K78" s="31">
        <v>6.4354999999999996E-2</v>
      </c>
      <c r="L78" s="31">
        <v>0.29805660736281792</v>
      </c>
      <c r="M78" s="31">
        <v>8.8567915935576891E-2</v>
      </c>
      <c r="N78" s="32">
        <v>1.1842357353944357</v>
      </c>
      <c r="O78" s="32">
        <v>1.0282305738273891</v>
      </c>
      <c r="P78" s="32">
        <v>6.9378826189015301</v>
      </c>
      <c r="Q78" s="32">
        <v>11.448330027422402</v>
      </c>
      <c r="R78" s="32">
        <v>1.2500330822119678</v>
      </c>
      <c r="S78" s="32">
        <v>30.551312070435429</v>
      </c>
      <c r="T78" s="31">
        <v>0.22165245192765948</v>
      </c>
      <c r="U78" s="31">
        <v>6.427069529051857E-2</v>
      </c>
      <c r="V78" s="31">
        <v>4.0742011539558178E-2</v>
      </c>
      <c r="W78" s="31">
        <v>0.70272375987566593</v>
      </c>
      <c r="X78" s="31">
        <v>9.0156624243509564E-2</v>
      </c>
      <c r="Y78" s="31">
        <v>0.36944271507301657</v>
      </c>
      <c r="Z78" s="31">
        <v>0.36944271507301663</v>
      </c>
      <c r="AA78" s="65">
        <v>8.8400563366041268E-2</v>
      </c>
    </row>
    <row r="79" spans="1:27">
      <c r="A79" s="29" t="s">
        <v>156</v>
      </c>
      <c r="B79" s="30">
        <v>647</v>
      </c>
      <c r="C79" s="31">
        <v>5.7737299107142814E-2</v>
      </c>
      <c r="D79" s="31">
        <v>0.16322682653942916</v>
      </c>
      <c r="E79" s="31">
        <v>0.11416550216309514</v>
      </c>
      <c r="F79" s="31">
        <v>0.12199186980792059</v>
      </c>
      <c r="G79" s="32">
        <v>1.6672585627718386</v>
      </c>
      <c r="H79" s="32">
        <v>1.6822579862201203</v>
      </c>
      <c r="I79" s="31">
        <v>0.14663273691670972</v>
      </c>
      <c r="J79" s="31">
        <v>0.34381956656749763</v>
      </c>
      <c r="K79" s="31">
        <v>6.4354999999999996E-2</v>
      </c>
      <c r="L79" s="31">
        <v>7.3734405001800757E-2</v>
      </c>
      <c r="M79" s="31">
        <v>0.13936455796336028</v>
      </c>
      <c r="N79" s="32">
        <v>0.73596655025993429</v>
      </c>
      <c r="O79" s="32">
        <v>6.3251190470549714</v>
      </c>
      <c r="P79" s="32">
        <v>20.981056455012983</v>
      </c>
      <c r="Q79" s="32">
        <v>37.448565489297373</v>
      </c>
      <c r="R79" s="32">
        <v>5.0498851727182421</v>
      </c>
      <c r="S79" s="32">
        <v>110.96534074441963</v>
      </c>
      <c r="T79" s="31">
        <v>0.1666210435199012</v>
      </c>
      <c r="U79" s="31">
        <v>0.20552519176488981</v>
      </c>
      <c r="V79" s="31">
        <v>0.11495413779205399</v>
      </c>
      <c r="W79" s="31">
        <v>0.9343515564878393</v>
      </c>
      <c r="X79" s="31">
        <v>0.12679960999111173</v>
      </c>
      <c r="Y79" s="31">
        <v>0.50892416546552466</v>
      </c>
      <c r="Z79" s="31">
        <v>0.50892416546552466</v>
      </c>
      <c r="AA79" s="65">
        <v>0.16739903396879197</v>
      </c>
    </row>
    <row r="80" spans="1:27">
      <c r="A80" s="29" t="s">
        <v>157</v>
      </c>
      <c r="B80" s="30">
        <v>367</v>
      </c>
      <c r="C80" s="31">
        <v>8.2306953125000082E-2</v>
      </c>
      <c r="D80" s="31">
        <v>0.21824208267685805</v>
      </c>
      <c r="E80" s="31">
        <v>0.23276660818443079</v>
      </c>
      <c r="F80" s="31">
        <v>0.15580173596694386</v>
      </c>
      <c r="G80" s="32">
        <v>1.9655187566677479</v>
      </c>
      <c r="H80" s="32">
        <v>1.9544533519177909</v>
      </c>
      <c r="I80" s="31">
        <v>0.16408045985793041</v>
      </c>
      <c r="J80" s="31">
        <v>0.33511289572378489</v>
      </c>
      <c r="K80" s="31">
        <v>6.4354999999999996E-2</v>
      </c>
      <c r="L80" s="31">
        <v>5.8023812386351313E-2</v>
      </c>
      <c r="M80" s="31">
        <v>0.15734852868163274</v>
      </c>
      <c r="N80" s="32">
        <v>1.1814497522995548</v>
      </c>
      <c r="O80" s="32">
        <v>5.1436731551086314</v>
      </c>
      <c r="P80" s="32">
        <v>19.317946832775082</v>
      </c>
      <c r="Q80" s="32">
        <v>23.201206714872207</v>
      </c>
      <c r="R80" s="32">
        <v>6.020479517171851</v>
      </c>
      <c r="S80" s="32">
        <v>53.5861384211724</v>
      </c>
      <c r="T80" s="31">
        <v>0.31060313147362573</v>
      </c>
      <c r="U80" s="31">
        <v>0.10522991608042923</v>
      </c>
      <c r="V80" s="31">
        <v>8.2087062132810473E-2</v>
      </c>
      <c r="W80" s="31">
        <v>0.60567211669178123</v>
      </c>
      <c r="X80" s="31">
        <v>0.26290365948670547</v>
      </c>
      <c r="Y80" s="31">
        <v>0.28643463629818056</v>
      </c>
      <c r="Z80" s="31">
        <v>0.28643463629818056</v>
      </c>
      <c r="AA80" s="65">
        <v>0.22432131540380959</v>
      </c>
    </row>
    <row r="81" spans="1:27">
      <c r="A81" s="29" t="s">
        <v>158</v>
      </c>
      <c r="B81" s="30">
        <v>348</v>
      </c>
      <c r="C81" s="31">
        <v>8.7350467625899333E-2</v>
      </c>
      <c r="D81" s="31">
        <v>0.17220230906567344</v>
      </c>
      <c r="E81" s="31">
        <v>0.1114541536581069</v>
      </c>
      <c r="F81" s="31">
        <v>0.13252980229125183</v>
      </c>
      <c r="G81" s="32">
        <v>0.86316017623922947</v>
      </c>
      <c r="H81" s="32">
        <v>0.94534794555439849</v>
      </c>
      <c r="I81" s="31">
        <v>9.9396803310036946E-2</v>
      </c>
      <c r="J81" s="31">
        <v>0.29862899830307638</v>
      </c>
      <c r="K81" s="31">
        <v>6.4354999999999996E-2</v>
      </c>
      <c r="L81" s="31">
        <v>0.30865122449384191</v>
      </c>
      <c r="M81" s="31">
        <v>8.3551733023279007E-2</v>
      </c>
      <c r="N81" s="32">
        <v>0.75063573592149446</v>
      </c>
      <c r="O81" s="32">
        <v>1.4812037419285911</v>
      </c>
      <c r="P81" s="32">
        <v>6.1171943683610888</v>
      </c>
      <c r="Q81" s="32">
        <v>8.4464592018993567</v>
      </c>
      <c r="R81" s="32">
        <v>0.9527523070472026</v>
      </c>
      <c r="S81" s="32">
        <v>16.82060502870786</v>
      </c>
      <c r="T81" s="31">
        <v>-4.8828006332956118E-3</v>
      </c>
      <c r="U81" s="31">
        <v>0.10792273114460793</v>
      </c>
      <c r="V81" s="31">
        <v>5.447159926448495E-2</v>
      </c>
      <c r="W81" s="31">
        <v>0.15408897103284014</v>
      </c>
      <c r="X81" s="31">
        <v>0.13643801936112437</v>
      </c>
      <c r="Y81" s="31">
        <v>0.98443637265788042</v>
      </c>
      <c r="Z81" s="31">
        <v>0.98443637265788042</v>
      </c>
      <c r="AA81" s="65">
        <v>0.17202742276129496</v>
      </c>
    </row>
    <row r="82" spans="1:27">
      <c r="A82" s="29" t="s">
        <v>159</v>
      </c>
      <c r="B82" s="30">
        <v>85</v>
      </c>
      <c r="C82" s="31">
        <v>-1.5779047619047627E-2</v>
      </c>
      <c r="D82" s="31">
        <v>9.6810510662738339E-2</v>
      </c>
      <c r="E82" s="31">
        <v>0.1568299261062974</v>
      </c>
      <c r="F82" s="31">
        <v>0.18937093682463682</v>
      </c>
      <c r="G82" s="32">
        <v>0.87217985776557838</v>
      </c>
      <c r="H82" s="32">
        <v>0.89970753820860683</v>
      </c>
      <c r="I82" s="31">
        <v>9.64712531991717E-2</v>
      </c>
      <c r="J82" s="31">
        <v>0.31722109009264282</v>
      </c>
      <c r="K82" s="31">
        <v>6.4354999999999996E-2</v>
      </c>
      <c r="L82" s="31">
        <v>0.11004901871848086</v>
      </c>
      <c r="M82" s="31">
        <v>9.1143676845062818E-2</v>
      </c>
      <c r="N82" s="32">
        <v>1.8788356569732299</v>
      </c>
      <c r="O82" s="32">
        <v>2.2689859800308465</v>
      </c>
      <c r="P82" s="32">
        <v>17.311594837188309</v>
      </c>
      <c r="Q82" s="32">
        <v>23.138673472383189</v>
      </c>
      <c r="R82" s="32">
        <v>4.8476262794550502</v>
      </c>
      <c r="S82" s="32">
        <v>37.918236607649753</v>
      </c>
      <c r="T82" s="31">
        <v>0.19999599558905171</v>
      </c>
      <c r="U82" s="31">
        <v>1.5544843240502102E-2</v>
      </c>
      <c r="V82" s="31">
        <v>-4.8392857594613693E-3</v>
      </c>
      <c r="W82" s="31">
        <v>-0.16076892920930611</v>
      </c>
      <c r="X82" s="31">
        <v>0.18728005326541672</v>
      </c>
      <c r="Y82" s="31">
        <v>0.409713367577831</v>
      </c>
      <c r="Z82" s="31">
        <v>0.40971336757783106</v>
      </c>
      <c r="AA82" s="65">
        <v>9.6829008068406927E-2</v>
      </c>
    </row>
    <row r="83" spans="1:27">
      <c r="A83" s="29" t="s">
        <v>203</v>
      </c>
      <c r="B83" s="30">
        <v>317</v>
      </c>
      <c r="C83" s="31">
        <v>9.0190864197530848E-2</v>
      </c>
      <c r="D83" s="31">
        <v>0.24397492356226394</v>
      </c>
      <c r="E83" s="31">
        <v>0.15958092016299488</v>
      </c>
      <c r="F83" s="31">
        <v>0.16758546169524055</v>
      </c>
      <c r="G83" s="32">
        <v>1.3553519753448984</v>
      </c>
      <c r="H83" s="32">
        <v>1.3567754111266985</v>
      </c>
      <c r="I83" s="31">
        <v>0.12576930385322138</v>
      </c>
      <c r="J83" s="31">
        <v>0.43820902465030337</v>
      </c>
      <c r="K83" s="31">
        <v>6.4354999999999996E-2</v>
      </c>
      <c r="L83" s="31">
        <v>4.7797711791041753E-2</v>
      </c>
      <c r="M83" s="31">
        <v>0.12205499195264412</v>
      </c>
      <c r="N83" s="32">
        <v>0.7038722223983197</v>
      </c>
      <c r="O83" s="32">
        <v>5.6046230766596787</v>
      </c>
      <c r="P83" s="32">
        <v>17.539469415145653</v>
      </c>
      <c r="Q83" s="32">
        <v>22.713777633858793</v>
      </c>
      <c r="R83" s="32">
        <v>5.1419967098307433</v>
      </c>
      <c r="S83" s="32">
        <v>235.20710735258044</v>
      </c>
      <c r="T83" s="31">
        <v>1.237984909365137E-2</v>
      </c>
      <c r="U83" s="31">
        <v>0.10657483391064425</v>
      </c>
      <c r="V83" s="31">
        <v>6.9392997898686956E-2</v>
      </c>
      <c r="W83" s="31">
        <v>0.40565234355200125</v>
      </c>
      <c r="X83" s="31">
        <v>0.20902108693447333</v>
      </c>
      <c r="Y83" s="31">
        <v>2.7408126710641995E-2</v>
      </c>
      <c r="Z83" s="31">
        <v>2.7408126710641967E-2</v>
      </c>
      <c r="AA83" s="65">
        <v>0.2539681337781789</v>
      </c>
    </row>
    <row r="84" spans="1:27">
      <c r="A84" s="29" t="s">
        <v>204</v>
      </c>
      <c r="B84" s="30">
        <v>151</v>
      </c>
      <c r="C84" s="31">
        <v>0.12337151515151509</v>
      </c>
      <c r="D84" s="31">
        <v>-7.9294626938409478E-4</v>
      </c>
      <c r="E84" s="31">
        <v>1.3073769344178877E-2</v>
      </c>
      <c r="F84" s="31">
        <v>0.19524857352132749</v>
      </c>
      <c r="G84" s="32">
        <v>1.2987745259934127</v>
      </c>
      <c r="H84" s="32">
        <v>1.3617461374106075</v>
      </c>
      <c r="I84" s="31">
        <v>0.12608792740801994</v>
      </c>
      <c r="J84" s="31">
        <v>0.4698226412977678</v>
      </c>
      <c r="K84" s="31">
        <v>6.4354999999999996E-2</v>
      </c>
      <c r="L84" s="31">
        <v>9.975444577952966E-2</v>
      </c>
      <c r="M84" s="31">
        <v>0.11830432607700352</v>
      </c>
      <c r="N84" s="32">
        <v>0.87876345257354582</v>
      </c>
      <c r="O84" s="32">
        <v>6.014836641489655</v>
      </c>
      <c r="P84" s="32">
        <v>20.437795067593832</v>
      </c>
      <c r="Q84" s="32" t="s">
        <v>169</v>
      </c>
      <c r="R84" s="32">
        <v>7.9662272263700649</v>
      </c>
      <c r="S84" s="32">
        <v>62.967863533904847</v>
      </c>
      <c r="T84" s="31">
        <v>5.2075579926891671E-2</v>
      </c>
      <c r="U84" s="31">
        <v>5.952822499084804E-2</v>
      </c>
      <c r="V84" s="31">
        <v>3.3495177178797853E-2</v>
      </c>
      <c r="W84" s="31" t="s">
        <v>169</v>
      </c>
      <c r="X84" s="31">
        <v>-0.1000445714406943</v>
      </c>
      <c r="Y84" s="31">
        <v>3.7426538106636142E-3</v>
      </c>
      <c r="Z84" s="31">
        <v>3.742653810663632E-3</v>
      </c>
      <c r="AA84" s="65">
        <v>1.4866689098504717E-2</v>
      </c>
    </row>
    <row r="85" spans="1:27">
      <c r="A85" s="29" t="s">
        <v>205</v>
      </c>
      <c r="B85" s="30">
        <v>1616</v>
      </c>
      <c r="C85" s="31">
        <v>0.14317631639722875</v>
      </c>
      <c r="D85" s="31">
        <v>0.20245159521759304</v>
      </c>
      <c r="E85" s="31">
        <v>0.18335837660819065</v>
      </c>
      <c r="F85" s="31">
        <v>0.18835127456152267</v>
      </c>
      <c r="G85" s="32">
        <v>1.2856288444138277</v>
      </c>
      <c r="H85" s="32">
        <v>1.2989897339228438</v>
      </c>
      <c r="I85" s="31">
        <v>0.1220652419444543</v>
      </c>
      <c r="J85" s="31">
        <v>0.43591421376196465</v>
      </c>
      <c r="K85" s="31">
        <v>6.4354999999999996E-2</v>
      </c>
      <c r="L85" s="31">
        <v>5.8498553215884729E-2</v>
      </c>
      <c r="M85" s="31">
        <v>0.11773606072885792</v>
      </c>
      <c r="N85" s="32">
        <v>0.93431463114526914</v>
      </c>
      <c r="O85" s="32">
        <v>9.2021360326786272</v>
      </c>
      <c r="P85" s="32">
        <v>28.477414772492683</v>
      </c>
      <c r="Q85" s="32">
        <v>41.069427617896672</v>
      </c>
      <c r="R85" s="32">
        <v>9.1521655273789015</v>
      </c>
      <c r="S85" s="32">
        <v>96.429558616104799</v>
      </c>
      <c r="T85" s="31">
        <v>0.13353321179634448</v>
      </c>
      <c r="U85" s="31">
        <v>7.2338647326731509E-2</v>
      </c>
      <c r="V85" s="31">
        <v>5.8858352723089355E-2</v>
      </c>
      <c r="W85" s="31">
        <v>0.47630101656615403</v>
      </c>
      <c r="X85" s="31">
        <v>0.16957095297200744</v>
      </c>
      <c r="Y85" s="31">
        <v>0.32891322539673207</v>
      </c>
      <c r="Z85" s="31">
        <v>0.32891322539673207</v>
      </c>
      <c r="AA85" s="65">
        <v>0.2128494752540537</v>
      </c>
    </row>
    <row r="86" spans="1:27">
      <c r="A86" s="29" t="s">
        <v>160</v>
      </c>
      <c r="B86" s="30">
        <v>718</v>
      </c>
      <c r="C86" s="31">
        <v>8.9877693761814953E-2</v>
      </c>
      <c r="D86" s="31">
        <v>7.1882709961167288E-2</v>
      </c>
      <c r="E86" s="31">
        <v>9.0490646917452996E-2</v>
      </c>
      <c r="F86" s="31">
        <v>0.20410892423422414</v>
      </c>
      <c r="G86" s="32">
        <v>1.0067866757688511</v>
      </c>
      <c r="H86" s="32">
        <v>1.1651510574107107</v>
      </c>
      <c r="I86" s="31">
        <v>0.11348618278002656</v>
      </c>
      <c r="J86" s="31">
        <v>0.32684206346899725</v>
      </c>
      <c r="K86" s="31">
        <v>6.4354999999999996E-2</v>
      </c>
      <c r="L86" s="31">
        <v>0.29282307986344297</v>
      </c>
      <c r="M86" s="31">
        <v>9.43279783811177E-2</v>
      </c>
      <c r="N86" s="32">
        <v>1.4569431690097066</v>
      </c>
      <c r="O86" s="32">
        <v>0.82345152227004692</v>
      </c>
      <c r="P86" s="32">
        <v>6.8965107139084347</v>
      </c>
      <c r="Q86" s="32">
        <v>10.902342900094528</v>
      </c>
      <c r="R86" s="32">
        <v>1.1441036709966868</v>
      </c>
      <c r="S86" s="32">
        <v>42.976377741324214</v>
      </c>
      <c r="T86" s="31">
        <v>0.14636397364702697</v>
      </c>
      <c r="U86" s="31">
        <v>6.0461241690778517E-2</v>
      </c>
      <c r="V86" s="31">
        <v>3.8355539277544926E-2</v>
      </c>
      <c r="W86" s="31">
        <v>0.53656824682116389</v>
      </c>
      <c r="X86" s="31">
        <v>1.0149487153178546E-4</v>
      </c>
      <c r="Y86" s="31">
        <v>0.50757038626113782</v>
      </c>
      <c r="Z86" s="31">
        <v>0.50757038626113782</v>
      </c>
      <c r="AA86" s="65">
        <v>7.2216297686501646E-2</v>
      </c>
    </row>
    <row r="87" spans="1:27">
      <c r="A87" s="29" t="s">
        <v>161</v>
      </c>
      <c r="B87" s="30">
        <v>98</v>
      </c>
      <c r="C87" s="31">
        <v>5.8909873417721491E-2</v>
      </c>
      <c r="D87" s="31">
        <v>0.14601324969098126</v>
      </c>
      <c r="E87" s="31">
        <v>8.3083945264971218E-2</v>
      </c>
      <c r="F87" s="31">
        <v>0.22352795591870572</v>
      </c>
      <c r="G87" s="32">
        <v>0.65306669844642107</v>
      </c>
      <c r="H87" s="32">
        <v>0.89702716273321637</v>
      </c>
      <c r="I87" s="31">
        <v>9.6299441131199176E-2</v>
      </c>
      <c r="J87" s="31">
        <v>0.29268715180378874</v>
      </c>
      <c r="K87" s="31">
        <v>6.4354999999999996E-2</v>
      </c>
      <c r="L87" s="31">
        <v>0.40042659317895096</v>
      </c>
      <c r="M87" s="31">
        <v>7.6983211796126785E-2</v>
      </c>
      <c r="N87" s="32">
        <v>0.70559134798484291</v>
      </c>
      <c r="O87" s="32">
        <v>2.2521573000348893</v>
      </c>
      <c r="P87" s="32">
        <v>7.3658215226325741</v>
      </c>
      <c r="Q87" s="32">
        <v>15.636398623682114</v>
      </c>
      <c r="R87" s="32">
        <v>1.5396711794028612</v>
      </c>
      <c r="S87" s="32">
        <v>33.140192317051493</v>
      </c>
      <c r="T87" s="31">
        <v>-0.13702130661688386</v>
      </c>
      <c r="U87" s="31">
        <v>0.15233253139594796</v>
      </c>
      <c r="V87" s="31">
        <v>1.5600504167240693E-2</v>
      </c>
      <c r="W87" s="31">
        <v>0.30505836377849743</v>
      </c>
      <c r="X87" s="31">
        <v>8.1817965354738606E-2</v>
      </c>
      <c r="Y87" s="31">
        <v>0.73581410704959538</v>
      </c>
      <c r="Z87" s="31">
        <v>0.73581410704959538</v>
      </c>
      <c r="AA87" s="65">
        <v>0.14327448180824279</v>
      </c>
    </row>
    <row r="88" spans="1:27">
      <c r="A88" s="29" t="s">
        <v>162</v>
      </c>
      <c r="B88" s="30">
        <v>453</v>
      </c>
      <c r="C88" s="31">
        <v>4.597224324324331E-2</v>
      </c>
      <c r="D88" s="31">
        <v>0.10996963575683866</v>
      </c>
      <c r="E88" s="31">
        <v>0.13621198637699075</v>
      </c>
      <c r="F88" s="31">
        <v>0.14782676227475378</v>
      </c>
      <c r="G88" s="32">
        <v>1.1744668677688679</v>
      </c>
      <c r="H88" s="32">
        <v>1.1857162349929411</v>
      </c>
      <c r="I88" s="31">
        <v>0.11480441066304753</v>
      </c>
      <c r="J88" s="31">
        <v>0.36121152315507654</v>
      </c>
      <c r="K88" s="31">
        <v>6.4354999999999996E-2</v>
      </c>
      <c r="L88" s="31">
        <v>0.1142283270036728</v>
      </c>
      <c r="M88" s="31">
        <v>0.10718034416385619</v>
      </c>
      <c r="N88" s="32">
        <v>1.2621053433181888</v>
      </c>
      <c r="O88" s="32">
        <v>2.3180551802022662</v>
      </c>
      <c r="P88" s="32">
        <v>14.280877316972687</v>
      </c>
      <c r="Q88" s="32">
        <v>19.412425519408654</v>
      </c>
      <c r="R88" s="32">
        <v>3.4564201757538755</v>
      </c>
      <c r="S88" s="32">
        <v>120.31624232759637</v>
      </c>
      <c r="T88" s="31">
        <v>0.2467526994732748</v>
      </c>
      <c r="U88" s="31">
        <v>3.1587752026217802E-2</v>
      </c>
      <c r="V88" s="31">
        <v>2.5610341352148045E-2</v>
      </c>
      <c r="W88" s="31">
        <v>0.53624243524757387</v>
      </c>
      <c r="X88" s="31">
        <v>0.12935477470221635</v>
      </c>
      <c r="Y88" s="31">
        <v>0.53281684273348318</v>
      </c>
      <c r="Z88" s="31">
        <v>0.53281684273348318</v>
      </c>
      <c r="AA88" s="65">
        <v>0.11666475116522709</v>
      </c>
    </row>
    <row r="89" spans="1:27">
      <c r="A89" s="29" t="s">
        <v>163</v>
      </c>
      <c r="B89" s="30">
        <v>288</v>
      </c>
      <c r="C89" s="31">
        <v>8.3990325581395367E-2</v>
      </c>
      <c r="D89" s="31">
        <v>0.15465250724642493</v>
      </c>
      <c r="E89" s="31">
        <v>9.502129852429432E-2</v>
      </c>
      <c r="F89" s="31">
        <v>0.21847468285036431</v>
      </c>
      <c r="G89" s="32">
        <v>0.54380765893084926</v>
      </c>
      <c r="H89" s="32">
        <v>0.84937394426990198</v>
      </c>
      <c r="I89" s="31">
        <v>9.3244869827700722E-2</v>
      </c>
      <c r="J89" s="31">
        <v>0.30131886139364733</v>
      </c>
      <c r="K89" s="31">
        <v>6.4354999999999996E-2</v>
      </c>
      <c r="L89" s="31">
        <v>0.45672240461702718</v>
      </c>
      <c r="M89" s="31">
        <v>7.2608070838520944E-2</v>
      </c>
      <c r="N89" s="32">
        <v>0.70336611562835483</v>
      </c>
      <c r="O89" s="32">
        <v>2.1627790318150595</v>
      </c>
      <c r="P89" s="32">
        <v>6.8782617323965107</v>
      </c>
      <c r="Q89" s="32">
        <v>13.87123121304074</v>
      </c>
      <c r="R89" s="32">
        <v>1.3805704498802143</v>
      </c>
      <c r="S89" s="32">
        <v>41.987956622506964</v>
      </c>
      <c r="T89" s="31">
        <v>-2.2673400403473124E-3</v>
      </c>
      <c r="U89" s="31">
        <v>0.14743047766451223</v>
      </c>
      <c r="V89" s="31">
        <v>-1.4085192899059247E-2</v>
      </c>
      <c r="W89" s="31">
        <v>-3.2843039502150062E-2</v>
      </c>
      <c r="X89" s="31">
        <v>7.7965825034148964E-2</v>
      </c>
      <c r="Y89" s="31">
        <v>0.89726292934699314</v>
      </c>
      <c r="Z89" s="31">
        <v>0.89726292934699314</v>
      </c>
      <c r="AA89" s="65">
        <v>0.15572276593304948</v>
      </c>
    </row>
    <row r="90" spans="1:27">
      <c r="A90" s="29" t="s">
        <v>164</v>
      </c>
      <c r="B90" s="30">
        <v>56</v>
      </c>
      <c r="C90" s="31">
        <v>0.17277631578947372</v>
      </c>
      <c r="D90" s="31">
        <v>0.33764511168785449</v>
      </c>
      <c r="E90" s="31">
        <v>0.23171724996207485</v>
      </c>
      <c r="F90" s="31">
        <v>0.22440219224658214</v>
      </c>
      <c r="G90" s="32">
        <v>0.55335166411883363</v>
      </c>
      <c r="H90" s="32">
        <v>0.66681534728718983</v>
      </c>
      <c r="I90" s="31">
        <v>8.1542863761108864E-2</v>
      </c>
      <c r="J90" s="31">
        <v>0.31215895747055444</v>
      </c>
      <c r="K90" s="31">
        <v>6.4354999999999996E-2</v>
      </c>
      <c r="L90" s="31">
        <v>0.2486214464550604</v>
      </c>
      <c r="M90" s="31">
        <v>7.3218383808498447E-2</v>
      </c>
      <c r="N90" s="32">
        <v>0.82776359486461115</v>
      </c>
      <c r="O90" s="32">
        <v>3.4660578760708209</v>
      </c>
      <c r="P90" s="32">
        <v>9.3346134735871544</v>
      </c>
      <c r="Q90" s="32">
        <v>10.234059067347866</v>
      </c>
      <c r="R90" s="32">
        <v>3.165594026107247</v>
      </c>
      <c r="S90" s="32">
        <v>32.34526176009394</v>
      </c>
      <c r="T90" s="31">
        <v>0.16055763294660808</v>
      </c>
      <c r="U90" s="31">
        <v>2.7943882680795992E-2</v>
      </c>
      <c r="V90" s="31">
        <v>0.12228402836106581</v>
      </c>
      <c r="W90" s="31">
        <v>0.547914256652139</v>
      </c>
      <c r="X90" s="31">
        <v>0.28431447473661764</v>
      </c>
      <c r="Y90" s="31">
        <v>0.71673295556635797</v>
      </c>
      <c r="Z90" s="31">
        <v>0.71673295556635797</v>
      </c>
      <c r="AA90" s="65">
        <v>0.3388030614931572</v>
      </c>
    </row>
    <row r="91" spans="1:27">
      <c r="A91" s="29" t="s">
        <v>165</v>
      </c>
      <c r="B91" s="30">
        <v>814</v>
      </c>
      <c r="C91" s="31">
        <v>6.8819829867674889E-2</v>
      </c>
      <c r="D91" s="31">
        <v>8.1729681142174035E-2</v>
      </c>
      <c r="E91" s="31">
        <v>0.11094138504346908</v>
      </c>
      <c r="F91" s="31">
        <v>0.2321761753893829</v>
      </c>
      <c r="G91" s="32">
        <v>0.83459832372009224</v>
      </c>
      <c r="H91" s="32">
        <v>0.96150401715756062</v>
      </c>
      <c r="I91" s="31">
        <v>0.10043240749979965</v>
      </c>
      <c r="J91" s="31">
        <v>0.33828754622915935</v>
      </c>
      <c r="K91" s="31">
        <v>6.4354999999999996E-2</v>
      </c>
      <c r="L91" s="31">
        <v>0.23398055283779895</v>
      </c>
      <c r="M91" s="31">
        <v>8.8178356109443634E-2</v>
      </c>
      <c r="N91" s="32">
        <v>1.5702161122553679</v>
      </c>
      <c r="O91" s="32">
        <v>1.7510056071966937</v>
      </c>
      <c r="P91" s="32">
        <v>13.095157810929388</v>
      </c>
      <c r="Q91" s="32">
        <v>20.73464754699225</v>
      </c>
      <c r="R91" s="32">
        <v>2.9795085225017091</v>
      </c>
      <c r="S91" s="32">
        <v>67.818917178040763</v>
      </c>
      <c r="T91" s="31">
        <v>4.1684770419250901E-2</v>
      </c>
      <c r="U91" s="31">
        <v>4.7915082111758524E-2</v>
      </c>
      <c r="V91" s="31">
        <v>1.7927106258437311E-2</v>
      </c>
      <c r="W91" s="31">
        <v>0.26742535673629758</v>
      </c>
      <c r="X91" s="31">
        <v>0.13669978808037947</v>
      </c>
      <c r="Y91" s="31">
        <v>0.70694546110190781</v>
      </c>
      <c r="Z91" s="31">
        <v>0.70694546110190781</v>
      </c>
      <c r="AA91" s="65">
        <v>8.2544146577357064E-2</v>
      </c>
    </row>
    <row r="92" spans="1:27">
      <c r="A92" s="29" t="s">
        <v>206</v>
      </c>
      <c r="B92" s="30">
        <v>49</v>
      </c>
      <c r="C92" s="31">
        <v>-3.0885714285714284E-3</v>
      </c>
      <c r="D92" s="31">
        <v>0.21498144726244756</v>
      </c>
      <c r="E92" s="31">
        <v>6.9119560768903215E-2</v>
      </c>
      <c r="F92" s="31">
        <v>0.24505070391318398</v>
      </c>
      <c r="G92" s="32">
        <v>0.49774817486891276</v>
      </c>
      <c r="H92" s="32">
        <v>0.62873301396022774</v>
      </c>
      <c r="I92" s="31">
        <v>7.9101786194850601E-2</v>
      </c>
      <c r="J92" s="31">
        <v>0.19255174201825431</v>
      </c>
      <c r="K92" s="31">
        <v>5.8542999999999998E-2</v>
      </c>
      <c r="L92" s="31">
        <v>0.29637583863669564</v>
      </c>
      <c r="M92" s="31">
        <v>6.8615453676364027E-2</v>
      </c>
      <c r="N92" s="32">
        <v>0.41782902810812145</v>
      </c>
      <c r="O92" s="32">
        <v>4.3308076668859918</v>
      </c>
      <c r="P92" s="32">
        <v>13.312399536973738</v>
      </c>
      <c r="Q92" s="32">
        <v>19.991498075481349</v>
      </c>
      <c r="R92" s="32">
        <v>2.3646194357101571</v>
      </c>
      <c r="S92" s="32">
        <v>54.741203880677759</v>
      </c>
      <c r="T92" s="31">
        <v>5.7506948181917567E-2</v>
      </c>
      <c r="U92" s="31">
        <v>0.15777752692235825</v>
      </c>
      <c r="V92" s="31">
        <v>9.3695085422431948E-2</v>
      </c>
      <c r="W92" s="31">
        <v>0.59998074725489892</v>
      </c>
      <c r="X92" s="31">
        <v>0.11847480095542907</v>
      </c>
      <c r="Y92" s="31">
        <v>0.40046902958975961</v>
      </c>
      <c r="Z92" s="31">
        <v>0.40046902958975961</v>
      </c>
      <c r="AA92" s="65">
        <v>0.21543368123934645</v>
      </c>
    </row>
    <row r="93" spans="1:27">
      <c r="A93" s="29" t="s">
        <v>166</v>
      </c>
      <c r="B93" s="30">
        <v>106</v>
      </c>
      <c r="C93" s="31">
        <v>3.0212820512820499E-2</v>
      </c>
      <c r="D93" s="31">
        <v>8.6002602084205251E-2</v>
      </c>
      <c r="E93" s="31">
        <v>0.11601095133243049</v>
      </c>
      <c r="F93" s="31">
        <v>0.25768128155429043</v>
      </c>
      <c r="G93" s="32">
        <v>0.86855446130273672</v>
      </c>
      <c r="H93" s="32">
        <v>1.014247113846068</v>
      </c>
      <c r="I93" s="31">
        <v>0.10381323999753296</v>
      </c>
      <c r="J93" s="31">
        <v>0.29115150502982234</v>
      </c>
      <c r="K93" s="31">
        <v>6.4354999999999996E-2</v>
      </c>
      <c r="L93" s="31">
        <v>0.2228508736235762</v>
      </c>
      <c r="M93" s="31">
        <v>9.1388651731912157E-2</v>
      </c>
      <c r="N93" s="32">
        <v>1.6608901785159869</v>
      </c>
      <c r="O93" s="32">
        <v>1.5858226133716171</v>
      </c>
      <c r="P93" s="32">
        <v>9.9759117010960452</v>
      </c>
      <c r="Q93" s="32">
        <v>17.984157510576409</v>
      </c>
      <c r="R93" s="32">
        <v>2.8560845316782566</v>
      </c>
      <c r="S93" s="32">
        <v>27.978465612651178</v>
      </c>
      <c r="T93" s="31">
        <v>6.887580582714127E-2</v>
      </c>
      <c r="U93" s="31">
        <v>0.11440306207150297</v>
      </c>
      <c r="V93" s="31">
        <v>7.0906288771700826E-2</v>
      </c>
      <c r="W93" s="31">
        <v>1.0534268769842428</v>
      </c>
      <c r="X93" s="31">
        <v>0.12020693727190154</v>
      </c>
      <c r="Y93" s="31">
        <v>0.20666338943773319</v>
      </c>
      <c r="Z93" s="31">
        <v>0.20666338943773321</v>
      </c>
      <c r="AA93" s="65">
        <v>8.7568536221324531E-2</v>
      </c>
    </row>
    <row r="94" spans="1:27">
      <c r="A94" s="29" t="s">
        <v>167</v>
      </c>
      <c r="B94" s="30">
        <v>50</v>
      </c>
      <c r="C94" s="31">
        <v>7.822044444444444E-2</v>
      </c>
      <c r="D94" s="31">
        <v>0.12264771308987717</v>
      </c>
      <c r="E94" s="31">
        <v>8.3203294891983776E-2</v>
      </c>
      <c r="F94" s="31">
        <v>0.20200998795914907</v>
      </c>
      <c r="G94" s="32">
        <v>0.450628600024159</v>
      </c>
      <c r="H94" s="32">
        <v>0.68332120062878321</v>
      </c>
      <c r="I94" s="31">
        <v>8.2600888960305013E-2</v>
      </c>
      <c r="J94" s="31">
        <v>0.18493219542658187</v>
      </c>
      <c r="K94" s="31">
        <v>5.8542999999999998E-2</v>
      </c>
      <c r="L94" s="31">
        <v>0.44487456960580835</v>
      </c>
      <c r="M94" s="31">
        <v>6.5303731247185803E-2</v>
      </c>
      <c r="N94" s="32">
        <v>0.81265791645656826</v>
      </c>
      <c r="O94" s="32">
        <v>1.8774889614873247</v>
      </c>
      <c r="P94" s="32">
        <v>9.8576400464813911</v>
      </c>
      <c r="Q94" s="32">
        <v>15.288914408255289</v>
      </c>
      <c r="R94" s="32">
        <v>1.6154897142974749</v>
      </c>
      <c r="S94" s="32">
        <v>20.35742084554553</v>
      </c>
      <c r="T94" s="31">
        <v>-5.9726752264008982E-3</v>
      </c>
      <c r="U94" s="31">
        <v>0.14206470240344751</v>
      </c>
      <c r="V94" s="31">
        <v>7.7470213531287552E-2</v>
      </c>
      <c r="W94" s="31">
        <v>0.78421627401339178</v>
      </c>
      <c r="X94" s="31">
        <v>0.10614481878166143</v>
      </c>
      <c r="Y94" s="31">
        <v>0.66703361608745293</v>
      </c>
      <c r="Z94" s="31">
        <v>0.66703361608745293</v>
      </c>
      <c r="AA94" s="65">
        <v>0.12236645400729412</v>
      </c>
    </row>
    <row r="95" spans="1:27">
      <c r="A95" s="29" t="s">
        <v>168</v>
      </c>
      <c r="B95" s="30">
        <v>102</v>
      </c>
      <c r="C95" s="31">
        <v>6.4320126582278495E-2</v>
      </c>
      <c r="D95" s="31">
        <v>0.23268694623750139</v>
      </c>
      <c r="E95" s="31">
        <v>6.2337784350112529E-2</v>
      </c>
      <c r="F95" s="31">
        <v>0.19785675095563685</v>
      </c>
      <c r="G95" s="32">
        <v>0.42747496428667964</v>
      </c>
      <c r="H95" s="32">
        <v>0.67007062372170145</v>
      </c>
      <c r="I95" s="31">
        <v>8.1751526980561068E-2</v>
      </c>
      <c r="J95" s="31">
        <v>0.2363824550771299</v>
      </c>
      <c r="K95" s="31">
        <v>5.8542999999999998E-2</v>
      </c>
      <c r="L95" s="31">
        <v>0.46441396893036424</v>
      </c>
      <c r="M95" s="31">
        <v>6.4089113908372797E-2</v>
      </c>
      <c r="N95" s="32">
        <v>0.31191832028707545</v>
      </c>
      <c r="O95" s="32">
        <v>4.586730603072259</v>
      </c>
      <c r="P95" s="32">
        <v>12.671747297577292</v>
      </c>
      <c r="Q95" s="32">
        <v>19.574007838517673</v>
      </c>
      <c r="R95" s="32">
        <v>1.4758103846880883</v>
      </c>
      <c r="S95" s="32">
        <v>26.689561208834522</v>
      </c>
      <c r="T95" s="31">
        <v>7.3514917165189764E-2</v>
      </c>
      <c r="U95" s="31">
        <v>0.22672810101363378</v>
      </c>
      <c r="V95" s="31">
        <v>0.11572837757579656</v>
      </c>
      <c r="W95" s="31">
        <v>0.96245008986535185</v>
      </c>
      <c r="X95" s="31">
        <v>8.6431791752134852E-3</v>
      </c>
      <c r="Y95" s="31">
        <v>0.83290989604815646</v>
      </c>
      <c r="Z95" s="31">
        <v>0.46710436060400684</v>
      </c>
      <c r="AA95" s="65">
        <v>0.23254289553331942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
  <sheetViews>
    <sheetView workbookViewId="0">
      <selection activeCell="B27" sqref="B27"/>
    </sheetView>
  </sheetViews>
  <sheetFormatPr baseColWidth="10" defaultRowHeight="14"/>
  <cols>
    <col min="1" max="1" width="17.7109375" customWidth="1"/>
  </cols>
  <sheetData>
    <row r="1" spans="1:12" ht="18">
      <c r="A1" s="14" t="s">
        <v>208</v>
      </c>
      <c r="B1" s="15"/>
      <c r="C1" s="15"/>
      <c r="D1" s="15"/>
      <c r="E1" s="15"/>
    </row>
    <row r="2" spans="1:12">
      <c r="A2" s="16" t="s">
        <v>209</v>
      </c>
      <c r="B2" s="16" t="s">
        <v>210</v>
      </c>
      <c r="C2" s="16" t="s">
        <v>211</v>
      </c>
      <c r="D2" s="16" t="s">
        <v>212</v>
      </c>
      <c r="E2" s="16" t="s">
        <v>213</v>
      </c>
    </row>
    <row r="3" spans="1:12" ht="14" customHeight="1">
      <c r="A3" s="17" t="s">
        <v>257</v>
      </c>
      <c r="B3" s="17">
        <v>800</v>
      </c>
      <c r="C3" s="18">
        <f>IF(B3=0,0,VLOOKUP(A3,'Country ERP'!$A$5:$E$195,4))</f>
        <v>5.2715839731572595E-2</v>
      </c>
      <c r="D3" s="18">
        <f>IF(B3&gt;0,B3/$B$15,)</f>
        <v>0.4</v>
      </c>
      <c r="E3" s="18">
        <f>C3*D3</f>
        <v>2.1086335892629038E-2</v>
      </c>
      <c r="H3" s="182" t="s">
        <v>368</v>
      </c>
      <c r="I3" s="182"/>
      <c r="J3" s="182"/>
      <c r="K3" s="182"/>
      <c r="L3" s="182"/>
    </row>
    <row r="4" spans="1:12">
      <c r="A4" s="17" t="s">
        <v>367</v>
      </c>
      <c r="B4" s="17">
        <v>1200</v>
      </c>
      <c r="C4" s="18">
        <f>IF(B4=0,0,VLOOKUP(A4,'Country ERP'!$A$5:$E$195,4))</f>
        <v>4.3299999999999998E-2</v>
      </c>
      <c r="D4" s="18">
        <f>IF(B4&gt;0,B4/$B$15,)</f>
        <v>0.6</v>
      </c>
      <c r="E4" s="18">
        <f t="shared" ref="E4:E14" si="0">C4*D4</f>
        <v>2.598E-2</v>
      </c>
      <c r="H4" s="182"/>
      <c r="I4" s="182"/>
      <c r="J4" s="182"/>
      <c r="K4" s="182"/>
      <c r="L4" s="182"/>
    </row>
    <row r="5" spans="1:12">
      <c r="A5" s="17"/>
      <c r="B5" s="17"/>
      <c r="C5" s="18">
        <f>IF(B5=0,0,VLOOKUP(A5,'Country ERP'!$A$5:$E$195,4))</f>
        <v>0</v>
      </c>
      <c r="D5" s="18">
        <f t="shared" ref="D5:D14" si="1">IF(B5&gt;0,B5/$B$15,)</f>
        <v>0</v>
      </c>
      <c r="E5" s="18">
        <f t="shared" si="0"/>
        <v>0</v>
      </c>
      <c r="H5" s="182"/>
      <c r="I5" s="182"/>
      <c r="J5" s="182"/>
      <c r="K5" s="182"/>
      <c r="L5" s="182"/>
    </row>
    <row r="6" spans="1:12">
      <c r="A6" s="17"/>
      <c r="B6" s="17"/>
      <c r="C6" s="18">
        <f>IF(B6=0,0,VLOOKUP(A6,'Country ERP'!$A$5:$E$195,4))</f>
        <v>0</v>
      </c>
      <c r="D6" s="18">
        <f t="shared" si="1"/>
        <v>0</v>
      </c>
      <c r="E6" s="18">
        <f t="shared" si="0"/>
        <v>0</v>
      </c>
      <c r="H6" s="182"/>
      <c r="I6" s="182"/>
      <c r="J6" s="182"/>
      <c r="K6" s="182"/>
      <c r="L6" s="182"/>
    </row>
    <row r="7" spans="1:12">
      <c r="A7" s="17"/>
      <c r="B7" s="17"/>
      <c r="C7" s="18">
        <f>IF(B7=0,0,VLOOKUP(A7,'Country ERP'!$A$5:$E$195,4))</f>
        <v>0</v>
      </c>
      <c r="D7" s="18">
        <f t="shared" si="1"/>
        <v>0</v>
      </c>
      <c r="E7" s="18">
        <f t="shared" si="0"/>
        <v>0</v>
      </c>
      <c r="H7" s="182"/>
      <c r="I7" s="182"/>
      <c r="J7" s="182"/>
      <c r="K7" s="182"/>
      <c r="L7" s="182"/>
    </row>
    <row r="8" spans="1:12">
      <c r="A8" s="17"/>
      <c r="B8" s="17"/>
      <c r="C8" s="18">
        <f>IF(B8=0,0,VLOOKUP(A8,'Country ERP'!$A$5:$E$195,4))</f>
        <v>0</v>
      </c>
      <c r="D8" s="18">
        <f t="shared" si="1"/>
        <v>0</v>
      </c>
      <c r="E8" s="18">
        <f t="shared" si="0"/>
        <v>0</v>
      </c>
      <c r="H8" s="182"/>
      <c r="I8" s="182"/>
      <c r="J8" s="182"/>
      <c r="K8" s="182"/>
      <c r="L8" s="182"/>
    </row>
    <row r="9" spans="1:12">
      <c r="A9" s="17"/>
      <c r="B9" s="17"/>
      <c r="C9" s="18">
        <f>IF(B9=0,0,VLOOKUP(A9,'Country ERP'!$A$5:$E$195,4))</f>
        <v>0</v>
      </c>
      <c r="D9" s="18">
        <f t="shared" si="1"/>
        <v>0</v>
      </c>
      <c r="E9" s="18">
        <f t="shared" si="0"/>
        <v>0</v>
      </c>
      <c r="H9" s="182"/>
      <c r="I9" s="182"/>
      <c r="J9" s="182"/>
      <c r="K9" s="182"/>
      <c r="L9" s="182"/>
    </row>
    <row r="10" spans="1:12">
      <c r="A10" s="17"/>
      <c r="B10" s="17"/>
      <c r="C10" s="18">
        <f>IF(B10=0,0,VLOOKUP(A10,'Country ERP'!$A$5:$E$195,4))</f>
        <v>0</v>
      </c>
      <c r="D10" s="18">
        <f t="shared" si="1"/>
        <v>0</v>
      </c>
      <c r="E10" s="18">
        <f t="shared" si="0"/>
        <v>0</v>
      </c>
      <c r="H10" s="182"/>
      <c r="I10" s="182"/>
      <c r="J10" s="182"/>
      <c r="K10" s="182"/>
      <c r="L10" s="182"/>
    </row>
    <row r="11" spans="1:12">
      <c r="A11" s="17"/>
      <c r="B11" s="17"/>
      <c r="C11" s="18">
        <f>IF(B11=0,0,VLOOKUP(A11,'Country ERP'!$A$5:$E$195,4))</f>
        <v>0</v>
      </c>
      <c r="D11" s="18">
        <f>IF(B11&gt;0,B11/$B$15,)</f>
        <v>0</v>
      </c>
      <c r="E11" s="18">
        <f>C11*D11</f>
        <v>0</v>
      </c>
      <c r="H11" s="182"/>
      <c r="I11" s="182"/>
      <c r="J11" s="182"/>
      <c r="K11" s="182"/>
      <c r="L11" s="182"/>
    </row>
    <row r="12" spans="1:12">
      <c r="A12" s="17"/>
      <c r="B12" s="17"/>
      <c r="C12" s="18">
        <f>IF(B12=0,0,VLOOKUP(A12,'Country ERP'!$A$5:$E$195,4))</f>
        <v>0</v>
      </c>
      <c r="D12" s="18">
        <f>IF(B12&gt;0,B12/$B$15,)</f>
        <v>0</v>
      </c>
      <c r="E12" s="18">
        <f>C12*D12</f>
        <v>0</v>
      </c>
      <c r="H12" s="182"/>
      <c r="I12" s="182"/>
      <c r="J12" s="182"/>
      <c r="K12" s="182"/>
      <c r="L12" s="182"/>
    </row>
    <row r="13" spans="1:12">
      <c r="A13" s="12"/>
      <c r="B13" s="17"/>
      <c r="C13" s="12"/>
      <c r="D13" s="18">
        <f t="shared" si="1"/>
        <v>0</v>
      </c>
      <c r="E13" s="18">
        <f t="shared" si="0"/>
        <v>0</v>
      </c>
      <c r="H13" s="182"/>
      <c r="I13" s="182"/>
      <c r="J13" s="182"/>
      <c r="K13" s="182"/>
      <c r="L13" s="182"/>
    </row>
    <row r="14" spans="1:12">
      <c r="A14" s="12"/>
      <c r="B14" s="17"/>
      <c r="C14" s="12"/>
      <c r="D14" s="18">
        <f t="shared" si="1"/>
        <v>0</v>
      </c>
      <c r="E14" s="18">
        <f t="shared" si="0"/>
        <v>0</v>
      </c>
      <c r="H14" s="182"/>
      <c r="I14" s="182"/>
      <c r="J14" s="182"/>
      <c r="K14" s="182"/>
      <c r="L14" s="182"/>
    </row>
    <row r="15" spans="1:12">
      <c r="A15" s="19" t="s">
        <v>215</v>
      </c>
      <c r="B15" s="19">
        <f>SUM(B3:B14)</f>
        <v>2000</v>
      </c>
      <c r="C15" s="19"/>
      <c r="D15" s="18">
        <f>SUM(D3:D14)</f>
        <v>1</v>
      </c>
      <c r="E15" s="18">
        <f>SUM(E3:E14)</f>
        <v>4.7066335892629041E-2</v>
      </c>
      <c r="H15" s="182"/>
      <c r="I15" s="182"/>
      <c r="J15" s="182"/>
      <c r="K15" s="182"/>
      <c r="L15" s="182"/>
    </row>
    <row r="16" spans="1:12" ht="16">
      <c r="A16" s="14" t="s">
        <v>216</v>
      </c>
      <c r="B16" s="6"/>
      <c r="C16" s="6"/>
      <c r="D16" s="6"/>
      <c r="E16" s="6"/>
      <c r="H16" s="182"/>
      <c r="I16" s="182"/>
      <c r="J16" s="182"/>
      <c r="K16" s="182"/>
      <c r="L16" s="182"/>
    </row>
    <row r="17" spans="1:12">
      <c r="A17" s="20" t="s">
        <v>217</v>
      </c>
      <c r="B17" s="20" t="s">
        <v>210</v>
      </c>
      <c r="C17" s="20" t="s">
        <v>211</v>
      </c>
      <c r="D17" s="20" t="s">
        <v>212</v>
      </c>
      <c r="E17" s="20" t="s">
        <v>213</v>
      </c>
      <c r="H17" s="182"/>
      <c r="I17" s="182"/>
      <c r="J17" s="182"/>
      <c r="K17" s="182"/>
      <c r="L17" s="182"/>
    </row>
    <row r="18" spans="1:12">
      <c r="A18" s="19" t="str">
        <f>'Country ERP'!A201</f>
        <v>Africa</v>
      </c>
      <c r="B18" s="17"/>
      <c r="C18" s="21">
        <f>'Country ERP'!B201</f>
        <v>0.12636516288511693</v>
      </c>
      <c r="D18" s="18">
        <f t="shared" ref="D18:D29" si="2">B18/$B$29</f>
        <v>0</v>
      </c>
      <c r="E18" s="22">
        <f>C18*D18</f>
        <v>0</v>
      </c>
      <c r="H18" s="182"/>
      <c r="I18" s="182"/>
      <c r="J18" s="182"/>
      <c r="K18" s="182"/>
      <c r="L18" s="182"/>
    </row>
    <row r="19" spans="1:12">
      <c r="A19" s="19" t="str">
        <f>'Country ERP'!A202</f>
        <v>Asia</v>
      </c>
      <c r="B19" s="17">
        <v>7607</v>
      </c>
      <c r="C19" s="21">
        <f>'Country ERP'!B202</f>
        <v>5.8700000000000002E-2</v>
      </c>
      <c r="D19" s="18">
        <f t="shared" si="2"/>
        <v>0.15585879074722889</v>
      </c>
      <c r="E19" s="22">
        <f t="shared" ref="E19:E26" si="3">C19*D19</f>
        <v>9.1489110168623353E-3</v>
      </c>
      <c r="H19" s="182"/>
      <c r="I19" s="182"/>
      <c r="J19" s="182"/>
      <c r="K19" s="182"/>
      <c r="L19" s="182"/>
    </row>
    <row r="20" spans="1:12">
      <c r="A20" s="19" t="str">
        <f>'Country ERP'!A203</f>
        <v>Australia &amp; New Zealand</v>
      </c>
      <c r="B20" s="17"/>
      <c r="C20" s="21">
        <f>'Country ERP'!B203</f>
        <v>4.3342933242096059E-2</v>
      </c>
      <c r="D20" s="18">
        <f t="shared" si="2"/>
        <v>0</v>
      </c>
      <c r="E20" s="22">
        <f t="shared" si="3"/>
        <v>0</v>
      </c>
    </row>
    <row r="21" spans="1:12">
      <c r="A21" s="19" t="str">
        <f>'Country ERP'!A204</f>
        <v>Caribbean</v>
      </c>
      <c r="B21" s="17"/>
      <c r="C21" s="21">
        <f>'Country ERP'!B204</f>
        <v>0.12432073131656701</v>
      </c>
      <c r="D21" s="18">
        <f t="shared" si="2"/>
        <v>0</v>
      </c>
      <c r="E21" s="22">
        <f t="shared" si="3"/>
        <v>0</v>
      </c>
    </row>
    <row r="22" spans="1:12">
      <c r="A22" s="19" t="str">
        <f>'Country ERP'!A205</f>
        <v>Central and South America</v>
      </c>
      <c r="B22" s="17">
        <v>2094</v>
      </c>
      <c r="C22" s="21">
        <f>'Country ERP'!B205</f>
        <v>9.1502494977120707E-2</v>
      </c>
      <c r="D22" s="18">
        <f t="shared" si="2"/>
        <v>4.2903681848915118E-2</v>
      </c>
      <c r="E22" s="22">
        <f t="shared" si="3"/>
        <v>3.9257939328803402E-3</v>
      </c>
    </row>
    <row r="23" spans="1:12">
      <c r="A23" s="19" t="str">
        <f>'Country ERP'!A206</f>
        <v>Eastern Europe</v>
      </c>
      <c r="B23" s="17"/>
      <c r="C23" s="21">
        <f>'Country ERP'!B206</f>
        <v>7.7277034566536854E-2</v>
      </c>
      <c r="D23" s="18">
        <f t="shared" si="2"/>
        <v>0</v>
      </c>
      <c r="E23" s="22">
        <f t="shared" si="3"/>
        <v>0</v>
      </c>
    </row>
    <row r="24" spans="1:12">
      <c r="A24" s="19" t="str">
        <f>'Country ERP'!A207</f>
        <v>Middle East</v>
      </c>
      <c r="B24" s="17"/>
      <c r="C24" s="21">
        <f>'Country ERP'!B207</f>
        <v>6.42857466003489E-2</v>
      </c>
      <c r="D24" s="18">
        <f t="shared" si="2"/>
        <v>0</v>
      </c>
      <c r="E24" s="22">
        <f t="shared" si="3"/>
        <v>0</v>
      </c>
    </row>
    <row r="25" spans="1:12">
      <c r="A25" s="19" t="str">
        <f>'Country ERP'!A208</f>
        <v>North America</v>
      </c>
      <c r="B25" s="17">
        <v>25381</v>
      </c>
      <c r="C25" s="21">
        <f>'Country ERP'!B208</f>
        <v>4.3299999999999998E-2</v>
      </c>
      <c r="D25" s="18">
        <f t="shared" si="2"/>
        <v>0.52002786485545105</v>
      </c>
      <c r="E25" s="22">
        <f t="shared" si="3"/>
        <v>2.251720654824103E-2</v>
      </c>
    </row>
    <row r="26" spans="1:12">
      <c r="A26" s="19" t="str">
        <f>'Country ERP'!A209</f>
        <v>Western Europe</v>
      </c>
      <c r="B26" s="17">
        <v>13725</v>
      </c>
      <c r="C26" s="21">
        <f>'Country ERP'!B209</f>
        <v>5.4450110634666364E-2</v>
      </c>
      <c r="D26" s="18">
        <f t="shared" si="2"/>
        <v>0.28120966254840496</v>
      </c>
      <c r="E26" s="22">
        <f t="shared" si="3"/>
        <v>1.5311897237297844E-2</v>
      </c>
    </row>
    <row r="27" spans="1:12">
      <c r="A27" s="17"/>
      <c r="B27" s="17"/>
      <c r="C27" s="27">
        <v>7.7600000000000002E-2</v>
      </c>
      <c r="D27" s="18">
        <f>B27/$B$29</f>
        <v>0</v>
      </c>
      <c r="E27" s="22">
        <f>C27*D27</f>
        <v>0</v>
      </c>
    </row>
    <row r="28" spans="1:12">
      <c r="A28" s="17"/>
      <c r="B28" s="17"/>
      <c r="C28" s="27"/>
      <c r="D28" s="18">
        <f>B28/$B$29</f>
        <v>0</v>
      </c>
      <c r="E28" s="22">
        <f>C28*D28</f>
        <v>0</v>
      </c>
    </row>
    <row r="29" spans="1:12">
      <c r="A29" s="19" t="s">
        <v>215</v>
      </c>
      <c r="B29" s="19">
        <f>SUM(B18:B28)</f>
        <v>48807</v>
      </c>
      <c r="C29" s="21"/>
      <c r="D29" s="18">
        <f t="shared" si="2"/>
        <v>1</v>
      </c>
      <c r="E29" s="23">
        <f>SUM(E18:E28)</f>
        <v>5.0903808735281553E-2</v>
      </c>
    </row>
    <row r="33" spans="11:11">
      <c r="K33" s="28"/>
    </row>
  </sheetData>
  <mergeCells count="1">
    <mergeCell ref="H3:L19"/>
  </mergeCells>
  <pageMargins left="0.75" right="0.75" top="1" bottom="1" header="0.5" footer="0.5"/>
  <pageSetup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228"/>
  <sheetViews>
    <sheetView topLeftCell="A210" workbookViewId="0">
      <selection activeCell="B227" sqref="B227:E228"/>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418</v>
      </c>
      <c r="B1" s="33">
        <v>4.3299999999999998E-2</v>
      </c>
      <c r="C1" s="49" t="s">
        <v>510</v>
      </c>
    </row>
    <row r="2" spans="1:6">
      <c r="A2" s="66" t="s">
        <v>427</v>
      </c>
      <c r="B2" s="66"/>
      <c r="C2" s="66"/>
      <c r="D2" s="66"/>
      <c r="E2" s="66"/>
      <c r="F2" s="66"/>
    </row>
    <row r="4" spans="1:6" ht="16">
      <c r="A4" s="72" t="s">
        <v>209</v>
      </c>
      <c r="B4" s="73" t="s">
        <v>369</v>
      </c>
      <c r="C4" s="74" t="s">
        <v>218</v>
      </c>
      <c r="D4" s="74" t="s">
        <v>207</v>
      </c>
      <c r="E4" s="74" t="s">
        <v>219</v>
      </c>
      <c r="F4" s="74" t="s">
        <v>363</v>
      </c>
    </row>
    <row r="5" spans="1:6" ht="16">
      <c r="A5" s="75" t="s">
        <v>220</v>
      </c>
      <c r="B5" s="76" t="s">
        <v>370</v>
      </c>
      <c r="C5" s="77">
        <v>4.8889784279692525E-3</v>
      </c>
      <c r="D5" s="77">
        <f>$B$1+E5</f>
        <v>4.9891087812100818E-2</v>
      </c>
      <c r="E5" s="77">
        <v>6.5910878121008187E-3</v>
      </c>
      <c r="F5" s="77">
        <v>0.15</v>
      </c>
    </row>
    <row r="6" spans="1:6" ht="16">
      <c r="A6" s="75" t="s">
        <v>222</v>
      </c>
      <c r="B6" s="76" t="s">
        <v>380</v>
      </c>
      <c r="C6" s="77">
        <v>3.5619699975204554E-2</v>
      </c>
      <c r="D6" s="77">
        <f t="shared" ref="D6:D69" si="0">$B$1+E6</f>
        <v>9.1320782631020253E-2</v>
      </c>
      <c r="E6" s="77">
        <v>4.8020782631020255E-2</v>
      </c>
      <c r="F6" s="77">
        <v>0.15</v>
      </c>
    </row>
    <row r="7" spans="1:6" ht="16">
      <c r="A7" s="78" t="s">
        <v>372</v>
      </c>
      <c r="B7" s="76" t="s">
        <v>428</v>
      </c>
      <c r="C7" s="77">
        <v>2.9799487560955448E-2</v>
      </c>
      <c r="D7" s="77">
        <f t="shared" si="0"/>
        <v>8.3474249521376429E-2</v>
      </c>
      <c r="E7" s="77">
        <v>4.017424952137643E-2</v>
      </c>
      <c r="F7" s="77">
        <v>0.15</v>
      </c>
    </row>
    <row r="8" spans="1:6" ht="16">
      <c r="A8" s="75" t="s">
        <v>223</v>
      </c>
      <c r="B8" s="76" t="s">
        <v>375</v>
      </c>
      <c r="C8" s="77">
        <v>1.5830977766757577E-2</v>
      </c>
      <c r="D8" s="77">
        <f t="shared" si="0"/>
        <v>6.4642570058231222E-2</v>
      </c>
      <c r="E8" s="77">
        <v>2.134257005823122E-2</v>
      </c>
      <c r="F8" s="77">
        <v>0.1898</v>
      </c>
    </row>
    <row r="9" spans="1:6" ht="16">
      <c r="A9" s="75" t="s">
        <v>225</v>
      </c>
      <c r="B9" s="76" t="s">
        <v>383</v>
      </c>
      <c r="C9" s="77">
        <v>6.4371549301595152E-2</v>
      </c>
      <c r="D9" s="77">
        <f t="shared" si="0"/>
        <v>0.13008265619266079</v>
      </c>
      <c r="E9" s="77">
        <v>8.6782656192660804E-2</v>
      </c>
      <c r="F9" s="77">
        <v>0.25</v>
      </c>
    </row>
    <row r="10" spans="1:6" ht="16">
      <c r="A10" s="75" t="s">
        <v>439</v>
      </c>
      <c r="B10" s="50" t="s">
        <v>428</v>
      </c>
      <c r="C10" s="67">
        <v>6.0122636258365322E-2</v>
      </c>
      <c r="D10" s="77">
        <f t="shared" si="0"/>
        <v>0.12435447404039451</v>
      </c>
      <c r="E10" s="67">
        <v>8.1054474040394509E-2</v>
      </c>
      <c r="F10" s="67">
        <v>0.25228018689443577</v>
      </c>
    </row>
    <row r="11" spans="1:6" ht="16">
      <c r="A11" s="75" t="s">
        <v>440</v>
      </c>
      <c r="B11" s="50" t="s">
        <v>428</v>
      </c>
      <c r="C11" s="67">
        <v>6.0100000000000001E-2</v>
      </c>
      <c r="D11" s="77">
        <f t="shared" si="0"/>
        <v>0.1243122477280291</v>
      </c>
      <c r="E11" s="67">
        <v>8.1012247728029091E-2</v>
      </c>
      <c r="F11" s="67">
        <v>0.25230000000000002</v>
      </c>
    </row>
    <row r="12" spans="1:6" ht="16">
      <c r="A12" s="75" t="s">
        <v>227</v>
      </c>
      <c r="B12" s="76" t="s">
        <v>429</v>
      </c>
      <c r="C12" s="77">
        <v>0.11884873749896685</v>
      </c>
      <c r="D12" s="77">
        <f t="shared" si="0"/>
        <v>0.2035262060989271</v>
      </c>
      <c r="E12" s="77">
        <v>0.1602262060989271</v>
      </c>
      <c r="F12" s="77">
        <v>0.35</v>
      </c>
    </row>
    <row r="13" spans="1:6" ht="16">
      <c r="A13" s="75" t="s">
        <v>229</v>
      </c>
      <c r="B13" s="76" t="s">
        <v>380</v>
      </c>
      <c r="C13" s="77">
        <v>3.5619699975204554E-2</v>
      </c>
      <c r="D13" s="77">
        <f t="shared" si="0"/>
        <v>9.1320782631020253E-2</v>
      </c>
      <c r="E13" s="77">
        <v>4.8020782631020255E-2</v>
      </c>
      <c r="F13" s="77">
        <v>0.18</v>
      </c>
    </row>
    <row r="14" spans="1:6" ht="16">
      <c r="A14" s="75" t="s">
        <v>230</v>
      </c>
      <c r="B14" s="76" t="s">
        <v>379</v>
      </c>
      <c r="C14" s="77">
        <v>2.1767594429291676E-2</v>
      </c>
      <c r="D14" s="77">
        <f t="shared" si="0"/>
        <v>7.2646033830067944E-2</v>
      </c>
      <c r="E14" s="77">
        <v>2.9346033830067942E-2</v>
      </c>
      <c r="F14" s="77">
        <v>0.25</v>
      </c>
    </row>
    <row r="15" spans="1:6" ht="16">
      <c r="A15" s="75" t="s">
        <v>232</v>
      </c>
      <c r="B15" s="76" t="s">
        <v>376</v>
      </c>
      <c r="C15" s="77">
        <v>0</v>
      </c>
      <c r="D15" s="77">
        <f t="shared" si="0"/>
        <v>4.3299999999999998E-2</v>
      </c>
      <c r="E15" s="77">
        <v>0</v>
      </c>
      <c r="F15" s="77">
        <v>0.3</v>
      </c>
    </row>
    <row r="16" spans="1:6" ht="16">
      <c r="A16" s="75" t="s">
        <v>234</v>
      </c>
      <c r="B16" s="76" t="s">
        <v>377</v>
      </c>
      <c r="C16" s="77">
        <v>3.9577444416893943E-3</v>
      </c>
      <c r="D16" s="77">
        <f t="shared" si="0"/>
        <v>4.8635642514557806E-2</v>
      </c>
      <c r="E16" s="77">
        <v>5.335642514557805E-3</v>
      </c>
      <c r="F16" s="77">
        <v>0.24</v>
      </c>
    </row>
    <row r="17" spans="1:6" ht="16">
      <c r="A17" s="75" t="s">
        <v>235</v>
      </c>
      <c r="B17" s="76" t="s">
        <v>391</v>
      </c>
      <c r="C17" s="77">
        <v>2.4794104884701216E-2</v>
      </c>
      <c r="D17" s="77">
        <f t="shared" si="0"/>
        <v>7.6726231047082732E-2</v>
      </c>
      <c r="E17" s="77">
        <v>3.3426231047082741E-2</v>
      </c>
      <c r="F17" s="77">
        <v>0.2</v>
      </c>
    </row>
    <row r="18" spans="1:6" ht="16">
      <c r="A18" s="75" t="s">
        <v>236</v>
      </c>
      <c r="B18" s="76" t="s">
        <v>371</v>
      </c>
      <c r="C18" s="77">
        <v>4.4582827093148182E-2</v>
      </c>
      <c r="D18" s="77">
        <f t="shared" si="0"/>
        <v>0.10340444361987178</v>
      </c>
      <c r="E18" s="77">
        <v>6.0104443619871772E-2</v>
      </c>
      <c r="F18" s="77">
        <v>0</v>
      </c>
    </row>
    <row r="19" spans="1:6" ht="16">
      <c r="A19" s="75" t="s">
        <v>237</v>
      </c>
      <c r="B19" s="76" t="s">
        <v>374</v>
      </c>
      <c r="C19" s="77">
        <v>5.4477188197371677E-2</v>
      </c>
      <c r="D19" s="77">
        <f t="shared" si="0"/>
        <v>0.11674354990626629</v>
      </c>
      <c r="E19" s="77">
        <v>7.3443549906266281E-2</v>
      </c>
      <c r="F19" s="77">
        <v>0</v>
      </c>
    </row>
    <row r="20" spans="1:6" ht="16">
      <c r="A20" s="75" t="s">
        <v>238</v>
      </c>
      <c r="B20" s="76" t="s">
        <v>374</v>
      </c>
      <c r="C20" s="77">
        <v>5.4477188197371677E-2</v>
      </c>
      <c r="D20" s="77">
        <f t="shared" si="0"/>
        <v>0.11674354990626629</v>
      </c>
      <c r="E20" s="77">
        <v>7.3443549906266281E-2</v>
      </c>
      <c r="F20" s="77">
        <v>0.3</v>
      </c>
    </row>
    <row r="21" spans="1:6" ht="16">
      <c r="A21" s="75" t="s">
        <v>240</v>
      </c>
      <c r="B21" s="76" t="s">
        <v>383</v>
      </c>
      <c r="C21" s="77">
        <v>6.4371549301595152E-2</v>
      </c>
      <c r="D21" s="77">
        <f t="shared" si="0"/>
        <v>0.13008265619266079</v>
      </c>
      <c r="E21" s="77">
        <v>8.6782656192660804E-2</v>
      </c>
      <c r="F21" s="77">
        <v>5.5E-2</v>
      </c>
    </row>
    <row r="22" spans="1:6" ht="16">
      <c r="A22" s="75" t="s">
        <v>241</v>
      </c>
      <c r="B22" s="76" t="s">
        <v>419</v>
      </c>
      <c r="C22" s="77">
        <v>0.17499999999999999</v>
      </c>
      <c r="D22" s="77">
        <f t="shared" si="0"/>
        <v>0.27922666323069684</v>
      </c>
      <c r="E22" s="77">
        <v>0.23592666323069683</v>
      </c>
      <c r="F22" s="77">
        <v>0.18</v>
      </c>
    </row>
    <row r="23" spans="1:6" ht="16">
      <c r="A23" s="75" t="s">
        <v>242</v>
      </c>
      <c r="B23" s="76" t="s">
        <v>382</v>
      </c>
      <c r="C23" s="77">
        <v>5.9366166625340932E-3</v>
      </c>
      <c r="D23" s="77">
        <f t="shared" si="0"/>
        <v>5.1303463771836713E-2</v>
      </c>
      <c r="E23" s="77">
        <v>8.0034637718367115E-3</v>
      </c>
      <c r="F23" s="77">
        <v>0.25</v>
      </c>
    </row>
    <row r="24" spans="1:6" ht="16">
      <c r="A24" s="75" t="s">
        <v>243</v>
      </c>
      <c r="B24" s="76" t="s">
        <v>381</v>
      </c>
      <c r="C24" s="77">
        <v>7.4265910405818647E-2</v>
      </c>
      <c r="D24" s="77">
        <f t="shared" si="0"/>
        <v>0.1434217624790553</v>
      </c>
      <c r="E24" s="77">
        <v>0.10012176247905531</v>
      </c>
      <c r="F24" s="77">
        <v>0.2853</v>
      </c>
    </row>
    <row r="25" spans="1:6" ht="16">
      <c r="A25" s="75" t="s">
        <v>384</v>
      </c>
      <c r="B25" s="76" t="s">
        <v>371</v>
      </c>
      <c r="C25" s="77">
        <v>4.4582827093148182E-2</v>
      </c>
      <c r="D25" s="77">
        <f t="shared" si="0"/>
        <v>0.10340444361987178</v>
      </c>
      <c r="E25" s="77">
        <v>6.0104443619871772E-2</v>
      </c>
      <c r="F25" s="77">
        <v>0.3</v>
      </c>
    </row>
    <row r="26" spans="1:6" ht="16">
      <c r="A26" s="75" t="s">
        <v>244</v>
      </c>
      <c r="B26" s="76" t="s">
        <v>385</v>
      </c>
      <c r="C26" s="77">
        <v>8.3811058765187203E-3</v>
      </c>
      <c r="D26" s="77">
        <f t="shared" si="0"/>
        <v>5.4599007677887119E-2</v>
      </c>
      <c r="E26" s="77">
        <v>1.1299007677887121E-2</v>
      </c>
      <c r="F26" s="77">
        <v>0</v>
      </c>
    </row>
    <row r="27" spans="1:6" ht="16">
      <c r="A27" s="75" t="s">
        <v>214</v>
      </c>
      <c r="B27" s="76" t="s">
        <v>430</v>
      </c>
      <c r="C27" s="77">
        <v>9.9060015290519873E-2</v>
      </c>
      <c r="D27" s="77">
        <f t="shared" si="0"/>
        <v>0.17684799352613806</v>
      </c>
      <c r="E27" s="77">
        <v>0.13354799352613805</v>
      </c>
      <c r="F27" s="77">
        <v>0.25</v>
      </c>
    </row>
    <row r="28" spans="1:6" ht="16">
      <c r="A28" s="75" t="s">
        <v>245</v>
      </c>
      <c r="B28" s="76" t="s">
        <v>383</v>
      </c>
      <c r="C28" s="77">
        <v>6.4371549301595152E-2</v>
      </c>
      <c r="D28" s="77">
        <f t="shared" si="0"/>
        <v>0.13008265619266079</v>
      </c>
      <c r="E28" s="77">
        <v>8.6782656192660804E-2</v>
      </c>
      <c r="F28" s="77">
        <v>0.1</v>
      </c>
    </row>
    <row r="29" spans="1:6" ht="16">
      <c r="A29" s="75" t="s">
        <v>246</v>
      </c>
      <c r="B29" s="76" t="s">
        <v>389</v>
      </c>
      <c r="C29" s="77">
        <v>1.1873233325068186E-2</v>
      </c>
      <c r="D29" s="77">
        <f t="shared" si="0"/>
        <v>5.9306927543673421E-2</v>
      </c>
      <c r="E29" s="77">
        <v>1.6006927543673423E-2</v>
      </c>
      <c r="F29" s="77">
        <v>0.22</v>
      </c>
    </row>
    <row r="30" spans="1:6" ht="16">
      <c r="A30" s="75" t="s">
        <v>247</v>
      </c>
      <c r="B30" s="76" t="s">
        <v>391</v>
      </c>
      <c r="C30" s="77">
        <v>2.4794104884701216E-2</v>
      </c>
      <c r="D30" s="77">
        <f t="shared" si="0"/>
        <v>7.6726231047082732E-2</v>
      </c>
      <c r="E30" s="77">
        <v>3.3426231047082741E-2</v>
      </c>
      <c r="F30" s="77">
        <v>0.34</v>
      </c>
    </row>
    <row r="31" spans="1:6" ht="16">
      <c r="A31" s="75" t="s">
        <v>441</v>
      </c>
      <c r="B31" s="76" t="s">
        <v>428</v>
      </c>
      <c r="C31" s="77">
        <v>6.0122636258365322E-2</v>
      </c>
      <c r="D31" s="77">
        <f t="shared" si="0"/>
        <v>0.12435447404039451</v>
      </c>
      <c r="E31" s="77">
        <v>8.1054474040394509E-2</v>
      </c>
      <c r="F31" s="77">
        <v>0.25228018689443577</v>
      </c>
    </row>
    <row r="32" spans="1:6" ht="16">
      <c r="A32" s="79" t="s">
        <v>386</v>
      </c>
      <c r="B32" s="76" t="s">
        <v>428</v>
      </c>
      <c r="C32" s="77">
        <v>5.9366166625340923E-3</v>
      </c>
      <c r="D32" s="77">
        <f t="shared" si="0"/>
        <v>5.1303463771836706E-2</v>
      </c>
      <c r="E32" s="77">
        <v>8.0034637718367097E-3</v>
      </c>
      <c r="F32" s="77">
        <v>0.34</v>
      </c>
    </row>
    <row r="33" spans="1:6" ht="16">
      <c r="A33" s="75" t="s">
        <v>248</v>
      </c>
      <c r="B33" s="76" t="s">
        <v>375</v>
      </c>
      <c r="C33" s="77">
        <v>1.5830977766757577E-2</v>
      </c>
      <c r="D33" s="77">
        <f t="shared" si="0"/>
        <v>6.4642570058231222E-2</v>
      </c>
      <c r="E33" s="77">
        <v>2.134257005823122E-2</v>
      </c>
      <c r="F33" s="77">
        <v>0.1</v>
      </c>
    </row>
    <row r="34" spans="1:6" ht="16">
      <c r="A34" s="75" t="s">
        <v>249</v>
      </c>
      <c r="B34" s="76" t="s">
        <v>381</v>
      </c>
      <c r="C34" s="77">
        <v>7.4265910405818647E-2</v>
      </c>
      <c r="D34" s="77">
        <f t="shared" si="0"/>
        <v>0.1434217624790553</v>
      </c>
      <c r="E34" s="77">
        <v>0.10012176247905531</v>
      </c>
      <c r="F34" s="77">
        <v>0.28000000000000003</v>
      </c>
    </row>
    <row r="35" spans="1:6" ht="16">
      <c r="A35" s="75" t="s">
        <v>250</v>
      </c>
      <c r="B35" s="76" t="s">
        <v>374</v>
      </c>
      <c r="C35" s="77">
        <v>5.4477188197371677E-2</v>
      </c>
      <c r="D35" s="77">
        <f t="shared" si="0"/>
        <v>0.11674354990626629</v>
      </c>
      <c r="E35" s="77">
        <v>7.3443549906266281E-2</v>
      </c>
      <c r="F35" s="77">
        <v>0.2</v>
      </c>
    </row>
    <row r="36" spans="1:6" ht="16">
      <c r="A36" s="75" t="s">
        <v>251</v>
      </c>
      <c r="B36" s="76" t="s">
        <v>381</v>
      </c>
      <c r="C36" s="77">
        <v>7.4265910405818647E-2</v>
      </c>
      <c r="D36" s="77">
        <f t="shared" si="0"/>
        <v>0.1434217624790553</v>
      </c>
      <c r="E36" s="77">
        <v>0.10012176247905531</v>
      </c>
      <c r="F36" s="77">
        <v>0.33</v>
      </c>
    </row>
    <row r="37" spans="1:6" ht="16">
      <c r="A37" s="75" t="s">
        <v>252</v>
      </c>
      <c r="B37" s="76" t="s">
        <v>376</v>
      </c>
      <c r="C37" s="77">
        <v>0</v>
      </c>
      <c r="D37" s="77">
        <f t="shared" si="0"/>
        <v>4.3299999999999998E-2</v>
      </c>
      <c r="E37" s="77">
        <v>0</v>
      </c>
      <c r="F37" s="77">
        <v>0.26500000000000001</v>
      </c>
    </row>
    <row r="38" spans="1:6" ht="16">
      <c r="A38" s="75" t="s">
        <v>255</v>
      </c>
      <c r="B38" s="76" t="s">
        <v>374</v>
      </c>
      <c r="C38" s="77">
        <v>5.4477188197371677E-2</v>
      </c>
      <c r="D38" s="77">
        <f t="shared" si="0"/>
        <v>0.11674354990626629</v>
      </c>
      <c r="E38" s="77">
        <v>7.3443549906266281E-2</v>
      </c>
      <c r="F38" s="77">
        <v>0</v>
      </c>
    </row>
    <row r="39" spans="1:6" ht="16">
      <c r="A39" s="75" t="s">
        <v>254</v>
      </c>
      <c r="B39" s="76" t="s">
        <v>382</v>
      </c>
      <c r="C39" s="77">
        <v>5.9366166625340932E-3</v>
      </c>
      <c r="D39" s="77">
        <f t="shared" si="0"/>
        <v>5.1303463771836713E-2</v>
      </c>
      <c r="E39" s="77">
        <v>8.0034637718367115E-3</v>
      </c>
      <c r="F39" s="77">
        <v>0</v>
      </c>
    </row>
    <row r="40" spans="1:6" ht="16">
      <c r="A40" s="75" t="s">
        <v>442</v>
      </c>
      <c r="B40" s="50" t="s">
        <v>428</v>
      </c>
      <c r="C40" s="67">
        <v>8.2741050967470049E-3</v>
      </c>
      <c r="D40" s="77">
        <f t="shared" si="0"/>
        <v>5.4454754323974987E-2</v>
      </c>
      <c r="E40" s="67">
        <v>1.1154754323974989E-2</v>
      </c>
      <c r="F40" s="67">
        <v>0.24775219614916172</v>
      </c>
    </row>
    <row r="41" spans="1:6" ht="16">
      <c r="A41" s="75" t="s">
        <v>256</v>
      </c>
      <c r="B41" s="76" t="s">
        <v>385</v>
      </c>
      <c r="C41" s="77">
        <v>8.3811058765187203E-3</v>
      </c>
      <c r="D41" s="77">
        <f t="shared" si="0"/>
        <v>5.4599007677887119E-2</v>
      </c>
      <c r="E41" s="77">
        <v>1.1299007677887121E-2</v>
      </c>
      <c r="F41" s="77">
        <v>0.27</v>
      </c>
    </row>
    <row r="42" spans="1:6" ht="16">
      <c r="A42" s="75" t="s">
        <v>257</v>
      </c>
      <c r="B42" s="76" t="s">
        <v>387</v>
      </c>
      <c r="C42" s="77">
        <v>6.9842548970989338E-3</v>
      </c>
      <c r="D42" s="77">
        <f t="shared" si="0"/>
        <v>5.2715839731572595E-2</v>
      </c>
      <c r="E42" s="77">
        <v>9.4158397315725999E-3</v>
      </c>
      <c r="F42" s="77">
        <v>0.25</v>
      </c>
    </row>
    <row r="43" spans="1:6" ht="16">
      <c r="A43" s="75" t="s">
        <v>258</v>
      </c>
      <c r="B43" s="76" t="s">
        <v>373</v>
      </c>
      <c r="C43" s="77">
        <v>1.885748822216712E-2</v>
      </c>
      <c r="D43" s="77">
        <f t="shared" si="0"/>
        <v>6.8722767275246024E-2</v>
      </c>
      <c r="E43" s="77">
        <v>2.5422767275246023E-2</v>
      </c>
      <c r="F43" s="77">
        <v>0.35</v>
      </c>
    </row>
    <row r="44" spans="1:6" ht="16">
      <c r="A44" s="75" t="s">
        <v>259</v>
      </c>
      <c r="B44" s="76" t="s">
        <v>383</v>
      </c>
      <c r="C44" s="77">
        <v>6.4371549301595152E-2</v>
      </c>
      <c r="D44" s="77">
        <f t="shared" si="0"/>
        <v>0.13008265619266079</v>
      </c>
      <c r="E44" s="77">
        <v>8.6782656192660804E-2</v>
      </c>
      <c r="F44" s="77">
        <v>0.3</v>
      </c>
    </row>
    <row r="45" spans="1:6" ht="16">
      <c r="A45" s="75" t="s">
        <v>260</v>
      </c>
      <c r="B45" s="76" t="s">
        <v>388</v>
      </c>
      <c r="C45" s="77">
        <v>8.9165654186296364E-2</v>
      </c>
      <c r="D45" s="77">
        <f t="shared" si="0"/>
        <v>0.16350888723974355</v>
      </c>
      <c r="E45" s="77">
        <v>0.12020888723974354</v>
      </c>
      <c r="F45" s="77">
        <v>0.28000000000000003</v>
      </c>
    </row>
    <row r="46" spans="1:6" ht="16">
      <c r="A46" s="75" t="s">
        <v>261</v>
      </c>
      <c r="B46" s="76" t="s">
        <v>371</v>
      </c>
      <c r="C46" s="77">
        <v>4.4582827093148182E-2</v>
      </c>
      <c r="D46" s="77">
        <f t="shared" si="0"/>
        <v>0.10340444361987178</v>
      </c>
      <c r="E46" s="77">
        <v>6.0104443619871772E-2</v>
      </c>
      <c r="F46" s="77">
        <v>0.2974</v>
      </c>
    </row>
    <row r="47" spans="1:6" ht="16">
      <c r="A47" s="75" t="s">
        <v>262</v>
      </c>
      <c r="B47" s="76" t="s">
        <v>380</v>
      </c>
      <c r="C47" s="77">
        <v>3.5619699975204554E-2</v>
      </c>
      <c r="D47" s="77">
        <f t="shared" si="0"/>
        <v>9.1320782631020253E-2</v>
      </c>
      <c r="E47" s="77">
        <v>4.8020782631020255E-2</v>
      </c>
      <c r="F47" s="77">
        <v>0.3</v>
      </c>
    </row>
    <row r="48" spans="1:6" ht="16">
      <c r="A48" s="75" t="s">
        <v>263</v>
      </c>
      <c r="B48" s="76" t="s">
        <v>389</v>
      </c>
      <c r="C48" s="77">
        <v>1.1873233325068186E-2</v>
      </c>
      <c r="D48" s="77">
        <f t="shared" si="0"/>
        <v>5.9306927543673421E-2</v>
      </c>
      <c r="E48" s="77">
        <v>1.6006927543673423E-2</v>
      </c>
      <c r="F48" s="77">
        <v>0.18</v>
      </c>
    </row>
    <row r="49" spans="1:6" ht="16">
      <c r="A49" s="75" t="s">
        <v>264</v>
      </c>
      <c r="B49" s="76" t="s">
        <v>429</v>
      </c>
      <c r="C49" s="77">
        <v>0.11884873749896685</v>
      </c>
      <c r="D49" s="77">
        <f t="shared" si="0"/>
        <v>0.2035262060989271</v>
      </c>
      <c r="E49" s="77">
        <v>0.1602262060989271</v>
      </c>
      <c r="F49" s="77">
        <v>0.2853</v>
      </c>
    </row>
    <row r="50" spans="1:6" ht="16">
      <c r="A50" s="80" t="s">
        <v>443</v>
      </c>
      <c r="B50" s="76" t="s">
        <v>379</v>
      </c>
      <c r="C50" s="77">
        <v>2.1767594429291676E-2</v>
      </c>
      <c r="D50" s="77">
        <f t="shared" si="0"/>
        <v>7.2646033830067944E-2</v>
      </c>
      <c r="E50" s="77">
        <v>2.9346033830067942E-2</v>
      </c>
      <c r="F50" s="77">
        <v>0.22</v>
      </c>
    </row>
    <row r="51" spans="1:6" ht="16">
      <c r="A51" s="75" t="s">
        <v>265</v>
      </c>
      <c r="B51" s="76" t="s">
        <v>389</v>
      </c>
      <c r="C51" s="77">
        <v>1.1873233325068186E-2</v>
      </c>
      <c r="D51" s="77">
        <f t="shared" si="0"/>
        <v>5.9306927543673421E-2</v>
      </c>
      <c r="E51" s="77">
        <v>1.6006927543673423E-2</v>
      </c>
      <c r="F51" s="77">
        <v>0.125</v>
      </c>
    </row>
    <row r="52" spans="1:6" ht="16">
      <c r="A52" s="75" t="s">
        <v>266</v>
      </c>
      <c r="B52" s="76" t="s">
        <v>382</v>
      </c>
      <c r="C52" s="77">
        <v>5.9366166625340932E-3</v>
      </c>
      <c r="D52" s="77">
        <f t="shared" si="0"/>
        <v>5.1303463771836713E-2</v>
      </c>
      <c r="E52" s="77">
        <v>8.0034637718367115E-3</v>
      </c>
      <c r="F52" s="77">
        <v>0.19</v>
      </c>
    </row>
    <row r="53" spans="1:6" ht="16">
      <c r="A53" s="75" t="s">
        <v>267</v>
      </c>
      <c r="B53" s="76" t="s">
        <v>376</v>
      </c>
      <c r="C53" s="77">
        <v>0</v>
      </c>
      <c r="D53" s="77">
        <f t="shared" si="0"/>
        <v>4.3299999999999998E-2</v>
      </c>
      <c r="E53" s="77">
        <v>0</v>
      </c>
      <c r="F53" s="77">
        <v>0.22</v>
      </c>
    </row>
    <row r="54" spans="1:6" ht="16">
      <c r="A54" s="75" t="s">
        <v>268</v>
      </c>
      <c r="B54" s="76" t="s">
        <v>380</v>
      </c>
      <c r="C54" s="77">
        <v>3.5619699975204554E-2</v>
      </c>
      <c r="D54" s="77">
        <f t="shared" si="0"/>
        <v>9.1320782631020253E-2</v>
      </c>
      <c r="E54" s="77">
        <v>4.8020782631020255E-2</v>
      </c>
      <c r="F54" s="77">
        <v>0.27</v>
      </c>
    </row>
    <row r="55" spans="1:6" ht="16">
      <c r="A55" s="75" t="s">
        <v>269</v>
      </c>
      <c r="B55" s="76" t="s">
        <v>430</v>
      </c>
      <c r="C55" s="77">
        <v>9.9060015290519873E-2</v>
      </c>
      <c r="D55" s="77">
        <f t="shared" si="0"/>
        <v>0.17684799352613806</v>
      </c>
      <c r="E55" s="77">
        <v>0.13354799352613805</v>
      </c>
      <c r="F55" s="77">
        <v>0.25</v>
      </c>
    </row>
    <row r="56" spans="1:6" ht="16">
      <c r="A56" s="75" t="s">
        <v>270</v>
      </c>
      <c r="B56" s="76" t="s">
        <v>381</v>
      </c>
      <c r="C56" s="77">
        <v>7.4265910405818647E-2</v>
      </c>
      <c r="D56" s="77">
        <f t="shared" si="0"/>
        <v>0.1434217624790553</v>
      </c>
      <c r="E56" s="77">
        <v>0.10012176247905531</v>
      </c>
      <c r="F56" s="77">
        <v>0.22500000000000001</v>
      </c>
    </row>
    <row r="57" spans="1:6" ht="16">
      <c r="A57" s="75" t="s">
        <v>271</v>
      </c>
      <c r="B57" s="76" t="s">
        <v>383</v>
      </c>
      <c r="C57" s="77">
        <v>6.4371549301595152E-2</v>
      </c>
      <c r="D57" s="77">
        <f t="shared" si="0"/>
        <v>0.13008265619266079</v>
      </c>
      <c r="E57" s="77">
        <v>8.6782656192660804E-2</v>
      </c>
      <c r="F57" s="77">
        <v>0.3</v>
      </c>
    </row>
    <row r="58" spans="1:6" ht="16">
      <c r="A58" s="75" t="s">
        <v>272</v>
      </c>
      <c r="B58" s="76" t="s">
        <v>387</v>
      </c>
      <c r="C58" s="77">
        <v>6.9842548970989338E-3</v>
      </c>
      <c r="D58" s="77">
        <f t="shared" si="0"/>
        <v>5.2715839731572595E-2</v>
      </c>
      <c r="E58" s="77">
        <v>9.4158397315725999E-3</v>
      </c>
      <c r="F58" s="77">
        <v>0.2</v>
      </c>
    </row>
    <row r="59" spans="1:6" ht="16">
      <c r="A59" s="75" t="s">
        <v>273</v>
      </c>
      <c r="B59" s="76" t="s">
        <v>388</v>
      </c>
      <c r="C59" s="77">
        <v>8.9165654186296364E-2</v>
      </c>
      <c r="D59" s="77">
        <f t="shared" si="0"/>
        <v>0.16350888723974355</v>
      </c>
      <c r="E59" s="77">
        <v>0.12020888723974354</v>
      </c>
      <c r="F59" s="77">
        <v>0.3</v>
      </c>
    </row>
    <row r="60" spans="1:6" ht="16">
      <c r="A60" s="75" t="s">
        <v>444</v>
      </c>
      <c r="B60" s="50" t="s">
        <v>428</v>
      </c>
      <c r="C60" s="67">
        <v>3.5769376863949848E-2</v>
      </c>
      <c r="D60" s="77">
        <f t="shared" si="0"/>
        <v>9.1522569882017013E-2</v>
      </c>
      <c r="E60" s="67">
        <v>4.8222569882017015E-2</v>
      </c>
      <c r="F60" s="67">
        <v>0.31553952561697912</v>
      </c>
    </row>
    <row r="61" spans="1:6" ht="16">
      <c r="A61" s="75" t="s">
        <v>274</v>
      </c>
      <c r="B61" s="76" t="s">
        <v>371</v>
      </c>
      <c r="C61" s="77">
        <v>4.4582827093148182E-2</v>
      </c>
      <c r="D61" s="77">
        <f t="shared" si="0"/>
        <v>0.10340444361987178</v>
      </c>
      <c r="E61" s="77">
        <v>6.0104443619871772E-2</v>
      </c>
      <c r="F61" s="77">
        <v>0.2</v>
      </c>
    </row>
    <row r="62" spans="1:6" ht="16">
      <c r="A62" s="75" t="s">
        <v>275</v>
      </c>
      <c r="B62" s="76" t="s">
        <v>377</v>
      </c>
      <c r="C62" s="77">
        <v>3.9577444416893943E-3</v>
      </c>
      <c r="D62" s="77">
        <f t="shared" si="0"/>
        <v>4.8635642514557806E-2</v>
      </c>
      <c r="E62" s="77">
        <v>5.335642514557805E-3</v>
      </c>
      <c r="F62" s="77">
        <v>0.2</v>
      </c>
    </row>
    <row r="63" spans="1:6" ht="16">
      <c r="A63" s="75" t="s">
        <v>276</v>
      </c>
      <c r="B63" s="76" t="s">
        <v>382</v>
      </c>
      <c r="C63" s="77">
        <v>5.9366166625340932E-3</v>
      </c>
      <c r="D63" s="77">
        <f t="shared" si="0"/>
        <v>5.1303463771836713E-2</v>
      </c>
      <c r="E63" s="77">
        <v>8.0034637718367115E-3</v>
      </c>
      <c r="F63" s="77">
        <v>0.25</v>
      </c>
    </row>
    <row r="64" spans="1:6" ht="16">
      <c r="A64" s="75" t="s">
        <v>445</v>
      </c>
      <c r="B64" s="50" t="s">
        <v>428</v>
      </c>
      <c r="C64" s="67">
        <v>3.5769376863949848E-2</v>
      </c>
      <c r="D64" s="77">
        <f t="shared" si="0"/>
        <v>9.1522569882017013E-2</v>
      </c>
      <c r="E64" s="67">
        <v>4.8222569882017015E-2</v>
      </c>
      <c r="F64" s="67">
        <v>0.31553952561697912</v>
      </c>
    </row>
    <row r="65" spans="1:6" ht="16">
      <c r="A65" s="75" t="s">
        <v>277</v>
      </c>
      <c r="B65" s="76" t="s">
        <v>388</v>
      </c>
      <c r="C65" s="77">
        <v>8.9165654186296364E-2</v>
      </c>
      <c r="D65" s="77">
        <f t="shared" si="0"/>
        <v>0.16350888723974355</v>
      </c>
      <c r="E65" s="77">
        <v>0.12020888723974354</v>
      </c>
      <c r="F65" s="77">
        <v>0.3</v>
      </c>
    </row>
    <row r="66" spans="1:6" ht="16">
      <c r="A66" s="78" t="s">
        <v>390</v>
      </c>
      <c r="B66" s="76" t="s">
        <v>428</v>
      </c>
      <c r="C66" s="77">
        <v>4.4582827093148182E-2</v>
      </c>
      <c r="D66" s="77">
        <f t="shared" si="0"/>
        <v>0.10340444361987178</v>
      </c>
      <c r="E66" s="77">
        <v>6.0104443619871772E-2</v>
      </c>
      <c r="F66" s="77">
        <v>0.3</v>
      </c>
    </row>
    <row r="67" spans="1:6" ht="16">
      <c r="A67" s="75" t="s">
        <v>278</v>
      </c>
      <c r="B67" s="76" t="s">
        <v>378</v>
      </c>
      <c r="C67" s="77">
        <v>2.9799487560955448E-2</v>
      </c>
      <c r="D67" s="77">
        <f t="shared" si="0"/>
        <v>8.3474249521376429E-2</v>
      </c>
      <c r="E67" s="77">
        <v>4.017424952137643E-2</v>
      </c>
      <c r="F67" s="77">
        <v>0.15</v>
      </c>
    </row>
    <row r="68" spans="1:6" ht="16">
      <c r="A68" s="75" t="s">
        <v>279</v>
      </c>
      <c r="B68" s="76" t="s">
        <v>376</v>
      </c>
      <c r="C68" s="77">
        <v>0</v>
      </c>
      <c r="D68" s="77">
        <f t="shared" si="0"/>
        <v>4.3299999999999998E-2</v>
      </c>
      <c r="E68" s="77">
        <v>0</v>
      </c>
      <c r="F68" s="77">
        <v>0.3</v>
      </c>
    </row>
    <row r="69" spans="1:6" ht="16">
      <c r="A69" s="75" t="s">
        <v>280</v>
      </c>
      <c r="B69" s="76" t="s">
        <v>388</v>
      </c>
      <c r="C69" s="77">
        <v>8.9165654186296364E-2</v>
      </c>
      <c r="D69" s="77">
        <f t="shared" si="0"/>
        <v>0.16350888723974355</v>
      </c>
      <c r="E69" s="77">
        <v>0.12020888723974354</v>
      </c>
      <c r="F69" s="77">
        <v>0.25</v>
      </c>
    </row>
    <row r="70" spans="1:6" ht="16">
      <c r="A70" s="75" t="s">
        <v>446</v>
      </c>
      <c r="B70" s="50" t="s">
        <v>428</v>
      </c>
      <c r="C70" s="67">
        <v>8.2741050967470049E-3</v>
      </c>
      <c r="D70" s="77">
        <f t="shared" ref="D70:D133" si="1">$B$1+E70</f>
        <v>5.4454754323974987E-2</v>
      </c>
      <c r="E70" s="67">
        <v>1.1154754323974989E-2</v>
      </c>
      <c r="F70" s="67">
        <v>0.24775219614916172</v>
      </c>
    </row>
    <row r="71" spans="1:6" ht="16">
      <c r="A71" s="75" t="s">
        <v>281</v>
      </c>
      <c r="B71" s="76" t="s">
        <v>391</v>
      </c>
      <c r="C71" s="77">
        <v>2.4794104884701216E-2</v>
      </c>
      <c r="D71" s="77">
        <f t="shared" si="1"/>
        <v>7.6726231047082732E-2</v>
      </c>
      <c r="E71" s="77">
        <v>3.3426231047082741E-2</v>
      </c>
      <c r="F71" s="77">
        <v>0.22</v>
      </c>
    </row>
    <row r="72" spans="1:6" ht="16">
      <c r="A72" s="75" t="s">
        <v>447</v>
      </c>
      <c r="B72" s="50" t="s">
        <v>428</v>
      </c>
      <c r="C72" s="67">
        <v>8.2741050967470049E-3</v>
      </c>
      <c r="D72" s="77">
        <f t="shared" si="1"/>
        <v>5.4454754323974987E-2</v>
      </c>
      <c r="E72" s="67">
        <v>1.1154754323974989E-2</v>
      </c>
      <c r="F72" s="67">
        <v>0.24775219614916172</v>
      </c>
    </row>
    <row r="73" spans="1:6" ht="16">
      <c r="A73" s="75" t="s">
        <v>282</v>
      </c>
      <c r="B73" s="76" t="s">
        <v>391</v>
      </c>
      <c r="C73" s="77">
        <v>2.4794104884701216E-2</v>
      </c>
      <c r="D73" s="77">
        <f t="shared" si="1"/>
        <v>7.6726231047082732E-2</v>
      </c>
      <c r="E73" s="77">
        <v>3.3426231047082741E-2</v>
      </c>
      <c r="F73" s="77">
        <v>0.25</v>
      </c>
    </row>
    <row r="74" spans="1:6" ht="16">
      <c r="A74" s="75" t="s">
        <v>431</v>
      </c>
      <c r="B74" s="76" t="s">
        <v>387</v>
      </c>
      <c r="C74" s="77">
        <v>6.9842548970989338E-3</v>
      </c>
      <c r="D74" s="77">
        <f t="shared" si="1"/>
        <v>5.2715839731572595E-2</v>
      </c>
      <c r="E74" s="77">
        <v>9.4158397315725999E-3</v>
      </c>
      <c r="F74" s="77">
        <v>0</v>
      </c>
    </row>
    <row r="75" spans="1:6" ht="16">
      <c r="A75" s="79" t="s">
        <v>392</v>
      </c>
      <c r="B75" s="76" t="s">
        <v>428</v>
      </c>
      <c r="C75" s="77">
        <v>8.916565418629635E-2</v>
      </c>
      <c r="D75" s="77">
        <f t="shared" si="1"/>
        <v>0.16350888723974349</v>
      </c>
      <c r="E75" s="77">
        <v>0.1202088872397435</v>
      </c>
      <c r="F75" s="77">
        <v>0</v>
      </c>
    </row>
    <row r="76" spans="1:6" ht="16">
      <c r="A76" s="78" t="s">
        <v>393</v>
      </c>
      <c r="B76" s="76" t="s">
        <v>428</v>
      </c>
      <c r="C76" s="77">
        <v>6.4371549301595138E-2</v>
      </c>
      <c r="D76" s="77">
        <f t="shared" si="1"/>
        <v>0.13008265619266079</v>
      </c>
      <c r="E76" s="77">
        <v>8.678265619266079E-2</v>
      </c>
      <c r="F76" s="77">
        <v>0</v>
      </c>
    </row>
    <row r="77" spans="1:6" ht="16">
      <c r="A77" s="79" t="s">
        <v>394</v>
      </c>
      <c r="B77" s="76" t="s">
        <v>428</v>
      </c>
      <c r="C77" s="77">
        <v>1.5830977766757577E-2</v>
      </c>
      <c r="D77" s="77">
        <f t="shared" si="1"/>
        <v>6.4642570058231222E-2</v>
      </c>
      <c r="E77" s="77">
        <v>2.134257005823122E-2</v>
      </c>
      <c r="F77" s="77">
        <v>0</v>
      </c>
    </row>
    <row r="78" spans="1:6" ht="16">
      <c r="A78" s="78" t="s">
        <v>395</v>
      </c>
      <c r="B78" s="76" t="s">
        <v>428</v>
      </c>
      <c r="C78" s="77">
        <v>0.11884873749896685</v>
      </c>
      <c r="D78" s="77">
        <f t="shared" si="1"/>
        <v>0.2035262060989271</v>
      </c>
      <c r="E78" s="77">
        <v>0.1602262060989271</v>
      </c>
      <c r="F78" s="77">
        <v>0</v>
      </c>
    </row>
    <row r="79" spans="1:6" ht="16">
      <c r="A79" s="75" t="s">
        <v>283</v>
      </c>
      <c r="B79" s="76" t="s">
        <v>371</v>
      </c>
      <c r="C79" s="77">
        <v>4.4582827093148182E-2</v>
      </c>
      <c r="D79" s="77">
        <f t="shared" si="1"/>
        <v>0.10340444361987178</v>
      </c>
      <c r="E79" s="77">
        <v>6.0104443619871772E-2</v>
      </c>
      <c r="F79" s="77">
        <v>0.25</v>
      </c>
    </row>
    <row r="80" spans="1:6" ht="16">
      <c r="A80" s="75" t="s">
        <v>284</v>
      </c>
      <c r="B80" s="76" t="s">
        <v>382</v>
      </c>
      <c r="C80" s="77">
        <v>5.9366166625340932E-3</v>
      </c>
      <c r="D80" s="77">
        <f t="shared" si="1"/>
        <v>5.1303463771836713E-2</v>
      </c>
      <c r="E80" s="77">
        <v>8.0034637718367115E-3</v>
      </c>
      <c r="F80" s="77">
        <v>0.16500000000000001</v>
      </c>
    </row>
    <row r="81" spans="1:6" ht="16">
      <c r="A81" s="75" t="s">
        <v>285</v>
      </c>
      <c r="B81" s="76" t="s">
        <v>373</v>
      </c>
      <c r="C81" s="77">
        <v>1.885748822216712E-2</v>
      </c>
      <c r="D81" s="77">
        <f t="shared" si="1"/>
        <v>6.8722767275246024E-2</v>
      </c>
      <c r="E81" s="77">
        <v>2.5422767275246023E-2</v>
      </c>
      <c r="F81" s="77">
        <v>0.09</v>
      </c>
    </row>
    <row r="82" spans="1:6" ht="16">
      <c r="A82" s="75" t="s">
        <v>286</v>
      </c>
      <c r="B82" s="76" t="s">
        <v>387</v>
      </c>
      <c r="C82" s="77">
        <v>6.9842548970989338E-3</v>
      </c>
      <c r="D82" s="77">
        <f t="shared" si="1"/>
        <v>5.2715839731572595E-2</v>
      </c>
      <c r="E82" s="77">
        <v>9.4158397315725999E-3</v>
      </c>
      <c r="F82" s="77">
        <v>0.2</v>
      </c>
    </row>
    <row r="83" spans="1:6" ht="16">
      <c r="A83" s="75" t="s">
        <v>287</v>
      </c>
      <c r="B83" s="76" t="s">
        <v>379</v>
      </c>
      <c r="C83" s="77">
        <v>2.1767594429291676E-2</v>
      </c>
      <c r="D83" s="77">
        <f t="shared" si="1"/>
        <v>7.2646033830067944E-2</v>
      </c>
      <c r="E83" s="77">
        <v>2.9346033830067942E-2</v>
      </c>
      <c r="F83" s="77">
        <v>0.3</v>
      </c>
    </row>
    <row r="84" spans="1:6" ht="16">
      <c r="A84" s="75" t="s">
        <v>288</v>
      </c>
      <c r="B84" s="76" t="s">
        <v>373</v>
      </c>
      <c r="C84" s="77">
        <v>1.885748822216712E-2</v>
      </c>
      <c r="D84" s="77">
        <f t="shared" si="1"/>
        <v>6.8722767275246024E-2</v>
      </c>
      <c r="E84" s="77">
        <v>2.5422767275246023E-2</v>
      </c>
      <c r="F84" s="77">
        <v>0.22</v>
      </c>
    </row>
    <row r="85" spans="1:6" ht="16">
      <c r="A85" s="79" t="s">
        <v>396</v>
      </c>
      <c r="B85" s="76" t="s">
        <v>428</v>
      </c>
      <c r="C85" s="77">
        <v>6.4371549301595138E-2</v>
      </c>
      <c r="D85" s="77">
        <f t="shared" si="1"/>
        <v>0.13008265619266079</v>
      </c>
      <c r="E85" s="77">
        <v>8.678265619266079E-2</v>
      </c>
      <c r="F85" s="77">
        <v>0.22</v>
      </c>
    </row>
    <row r="86" spans="1:6" ht="16">
      <c r="A86" s="75" t="s">
        <v>365</v>
      </c>
      <c r="B86" s="76" t="s">
        <v>381</v>
      </c>
      <c r="C86" s="77">
        <v>7.4265910405818647E-2</v>
      </c>
      <c r="D86" s="77">
        <f t="shared" si="1"/>
        <v>0.1434217624790553</v>
      </c>
      <c r="E86" s="77">
        <v>0.10012176247905531</v>
      </c>
      <c r="F86" s="77">
        <v>0.15</v>
      </c>
    </row>
    <row r="87" spans="1:6" ht="16">
      <c r="A87" s="75" t="s">
        <v>289</v>
      </c>
      <c r="B87" s="76" t="s">
        <v>382</v>
      </c>
      <c r="C87" s="77">
        <v>5.9366166625340932E-3</v>
      </c>
      <c r="D87" s="77">
        <f t="shared" si="1"/>
        <v>5.1303463771836713E-2</v>
      </c>
      <c r="E87" s="77">
        <v>8.0034637718367115E-3</v>
      </c>
      <c r="F87" s="77">
        <v>0.125</v>
      </c>
    </row>
    <row r="88" spans="1:6" ht="16">
      <c r="A88" s="75" t="s">
        <v>290</v>
      </c>
      <c r="B88" s="76" t="s">
        <v>382</v>
      </c>
      <c r="C88" s="77">
        <v>5.9366166625340932E-3</v>
      </c>
      <c r="D88" s="77">
        <f t="shared" si="1"/>
        <v>5.1303463771836713E-2</v>
      </c>
      <c r="E88" s="77">
        <v>8.0034637718367115E-3</v>
      </c>
      <c r="F88" s="77">
        <v>0</v>
      </c>
    </row>
    <row r="89" spans="1:6" ht="16">
      <c r="A89" s="75" t="s">
        <v>291</v>
      </c>
      <c r="B89" s="76" t="s">
        <v>375</v>
      </c>
      <c r="C89" s="77">
        <v>1.5830977766757577E-2</v>
      </c>
      <c r="D89" s="77">
        <f t="shared" si="1"/>
        <v>6.4642570058231222E-2</v>
      </c>
      <c r="E89" s="77">
        <v>2.134257005823122E-2</v>
      </c>
      <c r="F89" s="77">
        <v>0.23</v>
      </c>
    </row>
    <row r="90" spans="1:6" ht="16">
      <c r="A90" s="75" t="s">
        <v>292</v>
      </c>
      <c r="B90" s="76" t="s">
        <v>379</v>
      </c>
      <c r="C90" s="77">
        <v>2.1767594429291676E-2</v>
      </c>
      <c r="D90" s="77">
        <f t="shared" si="1"/>
        <v>7.2646033830067944E-2</v>
      </c>
      <c r="E90" s="77">
        <v>2.9346033830067942E-2</v>
      </c>
      <c r="F90" s="77">
        <v>0.24</v>
      </c>
    </row>
    <row r="91" spans="1:6" ht="16">
      <c r="A91" s="75" t="s">
        <v>448</v>
      </c>
      <c r="B91" s="76" t="s">
        <v>378</v>
      </c>
      <c r="C91" s="77">
        <v>2.9799487560955448E-2</v>
      </c>
      <c r="D91" s="77">
        <f t="shared" si="1"/>
        <v>8.3474249521376429E-2</v>
      </c>
      <c r="E91" s="77">
        <v>4.017424952137643E-2</v>
      </c>
      <c r="F91" s="77">
        <v>0.25</v>
      </c>
    </row>
    <row r="92" spans="1:6" ht="16">
      <c r="A92" s="75" t="s">
        <v>293</v>
      </c>
      <c r="B92" s="76" t="s">
        <v>371</v>
      </c>
      <c r="C92" s="77">
        <v>4.4582827093148182E-2</v>
      </c>
      <c r="D92" s="77">
        <f t="shared" si="1"/>
        <v>0.10340444361987178</v>
      </c>
      <c r="E92" s="77">
        <v>6.0104443619871772E-2</v>
      </c>
      <c r="F92" s="77">
        <v>0.25</v>
      </c>
    </row>
    <row r="93" spans="1:6" ht="16">
      <c r="A93" s="75" t="s">
        <v>294</v>
      </c>
      <c r="B93" s="76" t="s">
        <v>387</v>
      </c>
      <c r="C93" s="77">
        <v>6.9842548970989338E-3</v>
      </c>
      <c r="D93" s="77">
        <f t="shared" si="1"/>
        <v>5.2715839731572595E-2</v>
      </c>
      <c r="E93" s="77">
        <v>9.4158397315725999E-3</v>
      </c>
      <c r="F93" s="77">
        <v>0.30620000000000003</v>
      </c>
    </row>
    <row r="94" spans="1:6" ht="16">
      <c r="A94" s="75" t="s">
        <v>432</v>
      </c>
      <c r="B94" s="76" t="s">
        <v>370</v>
      </c>
      <c r="C94" s="77">
        <v>4.8889784279692525E-3</v>
      </c>
      <c r="D94" s="77">
        <f t="shared" si="1"/>
        <v>4.9891087812100818E-2</v>
      </c>
      <c r="E94" s="77">
        <v>6.5910878121008187E-3</v>
      </c>
      <c r="F94" s="77">
        <v>0</v>
      </c>
    </row>
    <row r="95" spans="1:6" ht="16">
      <c r="A95" s="75" t="s">
        <v>295</v>
      </c>
      <c r="B95" s="76" t="s">
        <v>380</v>
      </c>
      <c r="C95" s="77">
        <v>3.5619699975204554E-2</v>
      </c>
      <c r="D95" s="77">
        <f t="shared" si="1"/>
        <v>9.1320782631020253E-2</v>
      </c>
      <c r="E95" s="77">
        <v>4.8020782631020255E-2</v>
      </c>
      <c r="F95" s="77">
        <v>0.2</v>
      </c>
    </row>
    <row r="96" spans="1:6" ht="16">
      <c r="A96" s="75" t="s">
        <v>296</v>
      </c>
      <c r="B96" s="76" t="s">
        <v>375</v>
      </c>
      <c r="C96" s="77">
        <v>1.5830977766757577E-2</v>
      </c>
      <c r="D96" s="77">
        <f t="shared" si="1"/>
        <v>6.4642570058231222E-2</v>
      </c>
      <c r="E96" s="77">
        <v>2.134257005823122E-2</v>
      </c>
      <c r="F96" s="77">
        <v>0.2</v>
      </c>
    </row>
    <row r="97" spans="1:6" ht="16">
      <c r="A97" s="75" t="s">
        <v>297</v>
      </c>
      <c r="B97" s="76" t="s">
        <v>381</v>
      </c>
      <c r="C97" s="77">
        <v>7.4265910405818647E-2</v>
      </c>
      <c r="D97" s="77">
        <f t="shared" si="1"/>
        <v>0.1434217624790553</v>
      </c>
      <c r="E97" s="77">
        <v>0.10012176247905531</v>
      </c>
      <c r="F97" s="77">
        <v>0.3</v>
      </c>
    </row>
    <row r="98" spans="1:6" ht="16">
      <c r="A98" s="78" t="s">
        <v>397</v>
      </c>
      <c r="B98" s="76" t="s">
        <v>428</v>
      </c>
      <c r="C98" s="77">
        <v>0.11884873749896685</v>
      </c>
      <c r="D98" s="77">
        <f t="shared" si="1"/>
        <v>0.2035262060989271</v>
      </c>
      <c r="E98" s="77">
        <v>0.1602262060989271</v>
      </c>
      <c r="F98" s="77">
        <v>0.25</v>
      </c>
    </row>
    <row r="99" spans="1:6" ht="16">
      <c r="A99" s="75" t="s">
        <v>298</v>
      </c>
      <c r="B99" s="76" t="s">
        <v>387</v>
      </c>
      <c r="C99" s="77">
        <v>6.9842548970989338E-3</v>
      </c>
      <c r="D99" s="77">
        <f t="shared" si="1"/>
        <v>5.2715839731572595E-2</v>
      </c>
      <c r="E99" s="77">
        <v>9.4158397315725999E-3</v>
      </c>
      <c r="F99" s="77">
        <v>0.15</v>
      </c>
    </row>
    <row r="100" spans="1:6" ht="16">
      <c r="A100" s="75" t="s">
        <v>366</v>
      </c>
      <c r="B100" s="76" t="s">
        <v>383</v>
      </c>
      <c r="C100" s="77">
        <v>6.4371549301595152E-2</v>
      </c>
      <c r="D100" s="77">
        <f t="shared" si="1"/>
        <v>0.13008265619266079</v>
      </c>
      <c r="E100" s="77">
        <v>8.6782656192660804E-2</v>
      </c>
      <c r="F100" s="77">
        <v>0.1</v>
      </c>
    </row>
    <row r="101" spans="1:6" ht="16">
      <c r="A101" s="75" t="s">
        <v>398</v>
      </c>
      <c r="B101" s="76" t="s">
        <v>430</v>
      </c>
      <c r="C101" s="77">
        <v>9.9060015290519873E-2</v>
      </c>
      <c r="D101" s="77">
        <f t="shared" si="1"/>
        <v>0.17684799352613806</v>
      </c>
      <c r="E101" s="77">
        <v>0.13354799352613805</v>
      </c>
      <c r="F101" s="77">
        <v>0.26860000000000001</v>
      </c>
    </row>
    <row r="102" spans="1:6" ht="16">
      <c r="A102" s="75" t="s">
        <v>299</v>
      </c>
      <c r="B102" s="76" t="s">
        <v>389</v>
      </c>
      <c r="C102" s="77">
        <v>1.1873233325068186E-2</v>
      </c>
      <c r="D102" s="77">
        <f t="shared" si="1"/>
        <v>5.9306927543673421E-2</v>
      </c>
      <c r="E102" s="77">
        <v>1.6006927543673423E-2</v>
      </c>
      <c r="F102" s="77">
        <v>0.2</v>
      </c>
    </row>
    <row r="103" spans="1:6" ht="16">
      <c r="A103" s="75" t="s">
        <v>300</v>
      </c>
      <c r="B103" s="76" t="s">
        <v>419</v>
      </c>
      <c r="C103" s="77">
        <v>0.17499999999999999</v>
      </c>
      <c r="D103" s="77">
        <f t="shared" si="1"/>
        <v>0.27922666323069684</v>
      </c>
      <c r="E103" s="77">
        <v>0.23592666323069683</v>
      </c>
      <c r="F103" s="77">
        <v>0.17</v>
      </c>
    </row>
    <row r="104" spans="1:6" ht="16">
      <c r="A104" s="79" t="s">
        <v>399</v>
      </c>
      <c r="B104" s="76" t="s">
        <v>428</v>
      </c>
      <c r="C104" s="77">
        <v>8.916565418629635E-2</v>
      </c>
      <c r="D104" s="77">
        <f t="shared" si="1"/>
        <v>0.16350888723974349</v>
      </c>
      <c r="E104" s="77">
        <v>0.1202088872397435</v>
      </c>
      <c r="F104" s="77">
        <v>0.17</v>
      </c>
    </row>
    <row r="105" spans="1:6" ht="16">
      <c r="A105" s="78" t="s">
        <v>400</v>
      </c>
      <c r="B105" s="76" t="s">
        <v>428</v>
      </c>
      <c r="C105" s="77">
        <v>1.5830977766757577E-2</v>
      </c>
      <c r="D105" s="77">
        <f t="shared" si="1"/>
        <v>6.4642570058231222E-2</v>
      </c>
      <c r="E105" s="77">
        <v>2.134257005823122E-2</v>
      </c>
      <c r="F105" s="77">
        <v>0.17</v>
      </c>
    </row>
    <row r="106" spans="1:6" ht="16">
      <c r="A106" s="75" t="s">
        <v>301</v>
      </c>
      <c r="B106" s="76" t="s">
        <v>376</v>
      </c>
      <c r="C106" s="77">
        <v>0</v>
      </c>
      <c r="D106" s="77">
        <f t="shared" si="1"/>
        <v>4.3299999999999998E-2</v>
      </c>
      <c r="E106" s="77">
        <v>0</v>
      </c>
      <c r="F106" s="77">
        <v>0.125</v>
      </c>
    </row>
    <row r="107" spans="1:6" ht="16">
      <c r="A107" s="75" t="s">
        <v>302</v>
      </c>
      <c r="B107" s="76" t="s">
        <v>385</v>
      </c>
      <c r="C107" s="77">
        <v>8.3811058765187203E-3</v>
      </c>
      <c r="D107" s="77">
        <f t="shared" si="1"/>
        <v>5.4599007677887119E-2</v>
      </c>
      <c r="E107" s="77">
        <v>1.1299007677887121E-2</v>
      </c>
      <c r="F107" s="77">
        <v>0.15</v>
      </c>
    </row>
    <row r="108" spans="1:6" ht="16">
      <c r="A108" s="75" t="s">
        <v>303</v>
      </c>
      <c r="B108" s="76" t="s">
        <v>376</v>
      </c>
      <c r="C108" s="77">
        <v>0</v>
      </c>
      <c r="D108" s="77">
        <f t="shared" si="1"/>
        <v>4.3299999999999998E-2</v>
      </c>
      <c r="E108" s="77">
        <v>0</v>
      </c>
      <c r="F108" s="77">
        <v>0.24940000000000001</v>
      </c>
    </row>
    <row r="109" spans="1:6" ht="16">
      <c r="A109" s="75" t="s">
        <v>449</v>
      </c>
      <c r="B109" s="76" t="s">
        <v>382</v>
      </c>
      <c r="C109" s="77">
        <v>5.9366166625340932E-3</v>
      </c>
      <c r="D109" s="77">
        <f t="shared" si="1"/>
        <v>5.1303463771836713E-2</v>
      </c>
      <c r="E109" s="77">
        <v>8.0034637718367115E-3</v>
      </c>
      <c r="F109" s="77">
        <v>0.26860000000000001</v>
      </c>
    </row>
    <row r="110" spans="1:6" ht="16">
      <c r="A110" s="75" t="s">
        <v>304</v>
      </c>
      <c r="B110" s="76" t="s">
        <v>380</v>
      </c>
      <c r="C110" s="77">
        <v>3.5619699975204554E-2</v>
      </c>
      <c r="D110" s="77">
        <f t="shared" si="1"/>
        <v>9.1320782631020253E-2</v>
      </c>
      <c r="E110" s="77">
        <v>4.8020782631020255E-2</v>
      </c>
      <c r="F110" s="77">
        <v>0.1</v>
      </c>
    </row>
    <row r="111" spans="1:6" ht="16">
      <c r="A111" s="79" t="s">
        <v>401</v>
      </c>
      <c r="B111" s="76" t="s">
        <v>428</v>
      </c>
      <c r="C111" s="77">
        <v>5.4477188197371657E-2</v>
      </c>
      <c r="D111" s="77">
        <f t="shared" si="1"/>
        <v>0.11674354990626626</v>
      </c>
      <c r="E111" s="77">
        <v>7.3443549906266253E-2</v>
      </c>
      <c r="F111" s="77">
        <v>0.1</v>
      </c>
    </row>
    <row r="112" spans="1:6" ht="16">
      <c r="A112" s="78" t="s">
        <v>402</v>
      </c>
      <c r="B112" s="76" t="s">
        <v>428</v>
      </c>
      <c r="C112" s="77">
        <v>8.916565418629635E-2</v>
      </c>
      <c r="D112" s="77">
        <f t="shared" si="1"/>
        <v>0.16350888723974349</v>
      </c>
      <c r="E112" s="77">
        <v>0.1202088872397435</v>
      </c>
      <c r="F112" s="77">
        <v>0.1</v>
      </c>
    </row>
    <row r="113" spans="1:6" ht="16">
      <c r="A113" s="75" t="s">
        <v>305</v>
      </c>
      <c r="B113" s="76" t="s">
        <v>389</v>
      </c>
      <c r="C113" s="77">
        <v>1.1873233325068186E-2</v>
      </c>
      <c r="D113" s="77">
        <f t="shared" si="1"/>
        <v>5.9306927543673421E-2</v>
      </c>
      <c r="E113" s="77">
        <v>1.6006927543673423E-2</v>
      </c>
      <c r="F113" s="77">
        <v>0.24</v>
      </c>
    </row>
    <row r="114" spans="1:6" ht="16">
      <c r="A114" s="75" t="s">
        <v>433</v>
      </c>
      <c r="B114" s="76" t="s">
        <v>388</v>
      </c>
      <c r="C114" s="77">
        <v>8.9165654186296364E-2</v>
      </c>
      <c r="D114" s="77">
        <f t="shared" si="1"/>
        <v>0.16350888723974355</v>
      </c>
      <c r="E114" s="77">
        <v>0.12020888723974354</v>
      </c>
      <c r="F114" s="77">
        <v>0.26860000000000001</v>
      </c>
    </row>
    <row r="115" spans="1:6" ht="16">
      <c r="A115" s="75" t="s">
        <v>403</v>
      </c>
      <c r="B115" s="76" t="s">
        <v>388</v>
      </c>
      <c r="C115" s="77">
        <v>8.9165654186296364E-2</v>
      </c>
      <c r="D115" s="77">
        <f t="shared" si="1"/>
        <v>0.16350888723974355</v>
      </c>
      <c r="E115" s="77">
        <v>0.12020888723974354</v>
      </c>
      <c r="F115" s="77">
        <v>0.26860000000000001</v>
      </c>
    </row>
    <row r="116" spans="1:6" ht="16">
      <c r="A116" s="75" t="s">
        <v>306</v>
      </c>
      <c r="B116" s="76" t="s">
        <v>385</v>
      </c>
      <c r="C116" s="77">
        <v>8.3811058765187203E-3</v>
      </c>
      <c r="D116" s="77">
        <f t="shared" si="1"/>
        <v>5.4599007677887119E-2</v>
      </c>
      <c r="E116" s="77">
        <v>1.1299007677887121E-2</v>
      </c>
      <c r="F116" s="77">
        <v>0.35</v>
      </c>
    </row>
    <row r="117" spans="1:6" ht="16">
      <c r="A117" s="75" t="s">
        <v>450</v>
      </c>
      <c r="B117" s="50" t="s">
        <v>428</v>
      </c>
      <c r="C117" s="67">
        <v>6.0122636258365322E-2</v>
      </c>
      <c r="D117" s="77">
        <f t="shared" si="1"/>
        <v>0.12435447404039451</v>
      </c>
      <c r="E117" s="67">
        <v>8.1054474040394509E-2</v>
      </c>
      <c r="F117" s="67">
        <v>0.25228018689443577</v>
      </c>
    </row>
    <row r="118" spans="1:6" ht="16">
      <c r="A118" s="75" t="s">
        <v>307</v>
      </c>
      <c r="B118" s="76" t="s">
        <v>379</v>
      </c>
      <c r="C118" s="77">
        <v>2.1767594429291676E-2</v>
      </c>
      <c r="D118" s="77">
        <f t="shared" si="1"/>
        <v>7.2646033830067944E-2</v>
      </c>
      <c r="E118" s="77">
        <v>2.9346033830067942E-2</v>
      </c>
      <c r="F118" s="77">
        <v>0.15</v>
      </c>
    </row>
    <row r="119" spans="1:6" ht="16">
      <c r="A119" s="75" t="s">
        <v>308</v>
      </c>
      <c r="B119" s="76" t="s">
        <v>373</v>
      </c>
      <c r="C119" s="77">
        <v>1.885748822216712E-2</v>
      </c>
      <c r="D119" s="77">
        <f t="shared" si="1"/>
        <v>6.8722767275246024E-2</v>
      </c>
      <c r="E119" s="77">
        <v>2.5422767275246023E-2</v>
      </c>
      <c r="F119" s="77">
        <v>0.3</v>
      </c>
    </row>
    <row r="120" spans="1:6" ht="16">
      <c r="A120" s="75" t="s">
        <v>309</v>
      </c>
      <c r="B120" s="50" t="s">
        <v>383</v>
      </c>
      <c r="C120" s="67">
        <v>6.4371549301595152E-2</v>
      </c>
      <c r="D120" s="77">
        <f t="shared" si="1"/>
        <v>0.13008265619266079</v>
      </c>
      <c r="E120" s="67">
        <v>8.6782656192660804E-2</v>
      </c>
      <c r="F120" s="67">
        <v>0.12</v>
      </c>
    </row>
    <row r="121" spans="1:6" ht="16">
      <c r="A121" s="75" t="s">
        <v>451</v>
      </c>
      <c r="B121" s="76" t="s">
        <v>376</v>
      </c>
      <c r="C121" s="77">
        <v>0</v>
      </c>
      <c r="D121" s="77">
        <f t="shared" si="1"/>
        <v>4.3299999999999998E-2</v>
      </c>
      <c r="E121" s="77">
        <v>0</v>
      </c>
      <c r="F121" s="77">
        <v>0.24775219614916172</v>
      </c>
    </row>
    <row r="122" spans="1:6" ht="16">
      <c r="A122" s="75" t="s">
        <v>310</v>
      </c>
      <c r="B122" s="76" t="s">
        <v>374</v>
      </c>
      <c r="C122" s="77">
        <v>5.4477188197371677E-2</v>
      </c>
      <c r="D122" s="77">
        <f t="shared" si="1"/>
        <v>0.11674354990626629</v>
      </c>
      <c r="E122" s="77">
        <v>7.3443549906266281E-2</v>
      </c>
      <c r="F122" s="77">
        <v>0.25</v>
      </c>
    </row>
    <row r="123" spans="1:6" ht="16">
      <c r="A123" s="75" t="s">
        <v>311</v>
      </c>
      <c r="B123" s="76" t="s">
        <v>371</v>
      </c>
      <c r="C123" s="77">
        <v>4.4582827093148182E-2</v>
      </c>
      <c r="D123" s="77">
        <f t="shared" si="1"/>
        <v>0.10340444361987178</v>
      </c>
      <c r="E123" s="77">
        <v>6.0104443619871772E-2</v>
      </c>
      <c r="F123" s="77">
        <v>0.15</v>
      </c>
    </row>
    <row r="124" spans="1:6" ht="16">
      <c r="A124" s="75" t="s">
        <v>312</v>
      </c>
      <c r="B124" s="76" t="s">
        <v>379</v>
      </c>
      <c r="C124" s="77">
        <v>2.1767594429291676E-2</v>
      </c>
      <c r="D124" s="77">
        <f t="shared" si="1"/>
        <v>7.2646033830067944E-2</v>
      </c>
      <c r="E124" s="77">
        <v>2.9346033830067942E-2</v>
      </c>
      <c r="F124" s="77">
        <v>0.2853</v>
      </c>
    </row>
    <row r="125" spans="1:6" ht="16">
      <c r="A125" s="75" t="s">
        <v>313</v>
      </c>
      <c r="B125" s="76" t="s">
        <v>391</v>
      </c>
      <c r="C125" s="77">
        <v>2.4794104884701216E-2</v>
      </c>
      <c r="D125" s="77">
        <f t="shared" si="1"/>
        <v>7.6726231047082732E-2</v>
      </c>
      <c r="E125" s="77">
        <v>3.3426231047082741E-2</v>
      </c>
      <c r="F125" s="77">
        <v>0.32</v>
      </c>
    </row>
    <row r="126" spans="1:6" ht="16">
      <c r="A126" s="75" t="s">
        <v>314</v>
      </c>
      <c r="B126" s="76" t="s">
        <v>388</v>
      </c>
      <c r="C126" s="77">
        <v>8.9165654186296364E-2</v>
      </c>
      <c r="D126" s="77">
        <f t="shared" si="1"/>
        <v>0.16350888723974355</v>
      </c>
      <c r="E126" s="77">
        <v>0.12020888723974354</v>
      </c>
      <c r="F126" s="77">
        <v>0.32</v>
      </c>
    </row>
    <row r="127" spans="1:6" ht="16">
      <c r="A127" s="79" t="s">
        <v>404</v>
      </c>
      <c r="B127" s="76" t="s">
        <v>428</v>
      </c>
      <c r="C127" s="77">
        <v>9.9060015290519859E-2</v>
      </c>
      <c r="D127" s="77">
        <f t="shared" si="1"/>
        <v>0.17684799352613806</v>
      </c>
      <c r="E127" s="77">
        <v>0.13354799352613805</v>
      </c>
      <c r="F127" s="77">
        <v>0.32</v>
      </c>
    </row>
    <row r="128" spans="1:6" ht="16">
      <c r="A128" s="75" t="s">
        <v>315</v>
      </c>
      <c r="B128" s="76" t="s">
        <v>371</v>
      </c>
      <c r="C128" s="77">
        <v>4.4582827093148182E-2</v>
      </c>
      <c r="D128" s="77">
        <f t="shared" si="1"/>
        <v>0.10340444361987178</v>
      </c>
      <c r="E128" s="77">
        <v>6.0104443619871772E-2</v>
      </c>
      <c r="F128" s="77">
        <v>0.32</v>
      </c>
    </row>
    <row r="129" spans="1:6" ht="16">
      <c r="A129" s="75" t="s">
        <v>511</v>
      </c>
      <c r="B129" s="76" t="s">
        <v>380</v>
      </c>
      <c r="C129" s="77">
        <v>3.5619699975204554E-2</v>
      </c>
      <c r="D129" s="77">
        <f t="shared" si="1"/>
        <v>9.1320782631020253E-2</v>
      </c>
      <c r="E129" s="77">
        <v>4.8020782631020255E-2</v>
      </c>
      <c r="F129" s="77">
        <v>0.25</v>
      </c>
    </row>
    <row r="130" spans="1:6" ht="16">
      <c r="A130" s="75" t="s">
        <v>316</v>
      </c>
      <c r="B130" s="50" t="s">
        <v>376</v>
      </c>
      <c r="C130" s="67">
        <v>0</v>
      </c>
      <c r="D130" s="77">
        <f t="shared" si="1"/>
        <v>4.3299999999999998E-2</v>
      </c>
      <c r="E130" s="67">
        <v>0</v>
      </c>
      <c r="F130" s="67">
        <v>0.25800000000000001</v>
      </c>
    </row>
    <row r="131" spans="1:6" ht="16">
      <c r="A131" s="75" t="s">
        <v>452</v>
      </c>
      <c r="B131" s="76" t="s">
        <v>428</v>
      </c>
      <c r="C131" s="77">
        <v>6.0122636258365322E-2</v>
      </c>
      <c r="D131" s="77">
        <f t="shared" si="1"/>
        <v>0.12435447404039451</v>
      </c>
      <c r="E131" s="77">
        <v>8.1054474040394509E-2</v>
      </c>
      <c r="F131" s="77">
        <v>0.25228018689443577</v>
      </c>
    </row>
    <row r="132" spans="1:6" ht="16">
      <c r="A132" s="75" t="s">
        <v>317</v>
      </c>
      <c r="B132" s="76" t="s">
        <v>376</v>
      </c>
      <c r="C132" s="77">
        <v>0</v>
      </c>
      <c r="D132" s="77">
        <f t="shared" si="1"/>
        <v>4.3299999999999998E-2</v>
      </c>
      <c r="E132" s="77">
        <v>0</v>
      </c>
      <c r="F132" s="77">
        <v>0.28000000000000003</v>
      </c>
    </row>
    <row r="133" spans="1:6" ht="16">
      <c r="A133" s="75" t="s">
        <v>318</v>
      </c>
      <c r="B133" s="76" t="s">
        <v>374</v>
      </c>
      <c r="C133" s="77">
        <v>5.4477188197371677E-2</v>
      </c>
      <c r="D133" s="77">
        <f t="shared" si="1"/>
        <v>0.11674354990626629</v>
      </c>
      <c r="E133" s="77">
        <v>7.3443549906266281E-2</v>
      </c>
      <c r="F133" s="77">
        <v>0.3</v>
      </c>
    </row>
    <row r="134" spans="1:6" ht="16">
      <c r="A134" s="75" t="s">
        <v>405</v>
      </c>
      <c r="B134" s="76" t="s">
        <v>430</v>
      </c>
      <c r="C134" s="77">
        <v>9.9060015290519873E-2</v>
      </c>
      <c r="D134" s="77">
        <f t="shared" ref="D134:D195" si="2">$B$1+E134</f>
        <v>0.17684799352613806</v>
      </c>
      <c r="E134" s="77">
        <v>0.13354799352613805</v>
      </c>
      <c r="F134" s="77">
        <v>0.26860000000000001</v>
      </c>
    </row>
    <row r="135" spans="1:6" ht="16">
      <c r="A135" s="75" t="s">
        <v>319</v>
      </c>
      <c r="B135" s="76" t="s">
        <v>381</v>
      </c>
      <c r="C135" s="77">
        <v>7.4265910405818647E-2</v>
      </c>
      <c r="D135" s="77">
        <f t="shared" si="2"/>
        <v>0.1434217624790553</v>
      </c>
      <c r="E135" s="77">
        <v>0.10012176247905531</v>
      </c>
      <c r="F135" s="77">
        <v>0.3</v>
      </c>
    </row>
    <row r="136" spans="1:6" ht="16">
      <c r="A136" s="75" t="s">
        <v>320</v>
      </c>
      <c r="B136" s="76" t="s">
        <v>376</v>
      </c>
      <c r="C136" s="77">
        <v>0</v>
      </c>
      <c r="D136" s="77">
        <f t="shared" si="2"/>
        <v>4.3299999999999998E-2</v>
      </c>
      <c r="E136" s="77">
        <v>0</v>
      </c>
      <c r="F136" s="77">
        <v>0.22</v>
      </c>
    </row>
    <row r="137" spans="1:6" ht="16">
      <c r="A137" s="75" t="s">
        <v>321</v>
      </c>
      <c r="B137" s="76" t="s">
        <v>391</v>
      </c>
      <c r="C137" s="77">
        <v>2.4794104884701216E-2</v>
      </c>
      <c r="D137" s="77">
        <f t="shared" si="2"/>
        <v>7.6726231047082732E-2</v>
      </c>
      <c r="E137" s="77">
        <v>3.3426231047082741E-2</v>
      </c>
      <c r="F137" s="77">
        <v>0.15</v>
      </c>
    </row>
    <row r="138" spans="1:6" ht="16">
      <c r="A138" s="75" t="s">
        <v>322</v>
      </c>
      <c r="B138" s="50" t="s">
        <v>388</v>
      </c>
      <c r="C138" s="67">
        <v>8.9165654186296364E-2</v>
      </c>
      <c r="D138" s="77">
        <f t="shared" si="2"/>
        <v>0.16350888723974355</v>
      </c>
      <c r="E138" s="67">
        <v>0.12020888723974354</v>
      </c>
      <c r="F138" s="67">
        <v>0.28999999999999998</v>
      </c>
    </row>
    <row r="139" spans="1:6" ht="16">
      <c r="A139" s="75" t="s">
        <v>453</v>
      </c>
      <c r="B139" s="76" t="s">
        <v>428</v>
      </c>
      <c r="C139" s="77">
        <v>0.17499999999999999</v>
      </c>
      <c r="D139" s="77">
        <f t="shared" si="2"/>
        <v>0.27922666323069684</v>
      </c>
      <c r="E139" s="77">
        <v>0.23592666323069683</v>
      </c>
      <c r="F139" s="77">
        <v>0.17</v>
      </c>
    </row>
    <row r="140" spans="1:6" ht="16">
      <c r="A140" s="75" t="s">
        <v>323</v>
      </c>
      <c r="B140" s="76" t="s">
        <v>379</v>
      </c>
      <c r="C140" s="77">
        <v>2.1767594429291676E-2</v>
      </c>
      <c r="D140" s="77">
        <f t="shared" si="2"/>
        <v>7.2646033830067944E-2</v>
      </c>
      <c r="E140" s="77">
        <v>2.9346033830067942E-2</v>
      </c>
      <c r="F140" s="77">
        <v>0.25</v>
      </c>
    </row>
    <row r="141" spans="1:6" ht="16">
      <c r="A141" s="75" t="s">
        <v>324</v>
      </c>
      <c r="B141" s="76" t="s">
        <v>374</v>
      </c>
      <c r="C141" s="77">
        <v>5.4477188197371677E-2</v>
      </c>
      <c r="D141" s="77">
        <f t="shared" si="2"/>
        <v>0.11674354990626629</v>
      </c>
      <c r="E141" s="77">
        <v>7.3443549906266281E-2</v>
      </c>
      <c r="F141" s="77">
        <v>0.3</v>
      </c>
    </row>
    <row r="142" spans="1:6" ht="16">
      <c r="A142" s="75" t="s">
        <v>325</v>
      </c>
      <c r="B142" s="76" t="s">
        <v>379</v>
      </c>
      <c r="C142" s="77">
        <v>2.1767594429291676E-2</v>
      </c>
      <c r="D142" s="77">
        <f t="shared" si="2"/>
        <v>7.2646033830067944E-2</v>
      </c>
      <c r="E142" s="77">
        <v>2.9346033830067942E-2</v>
      </c>
      <c r="F142" s="77">
        <v>0.1</v>
      </c>
    </row>
    <row r="143" spans="1:6" ht="16">
      <c r="A143" s="75" t="s">
        <v>326</v>
      </c>
      <c r="B143" s="76" t="s">
        <v>375</v>
      </c>
      <c r="C143" s="77">
        <v>1.5830977766757577E-2</v>
      </c>
      <c r="D143" s="77">
        <f t="shared" si="2"/>
        <v>6.4642570058231222E-2</v>
      </c>
      <c r="E143" s="77">
        <v>2.134257005823122E-2</v>
      </c>
      <c r="F143" s="77">
        <v>0.29499999999999998</v>
      </c>
    </row>
    <row r="144" spans="1:6" ht="16">
      <c r="A144" s="75" t="s">
        <v>327</v>
      </c>
      <c r="B144" s="76" t="s">
        <v>373</v>
      </c>
      <c r="C144" s="77">
        <v>1.885748822216712E-2</v>
      </c>
      <c r="D144" s="77">
        <f t="shared" si="2"/>
        <v>6.8722767275246024E-2</v>
      </c>
      <c r="E144" s="77">
        <v>2.5422767275246023E-2</v>
      </c>
      <c r="F144" s="77">
        <v>0.25</v>
      </c>
    </row>
    <row r="145" spans="1:6" ht="16">
      <c r="A145" s="75" t="s">
        <v>328</v>
      </c>
      <c r="B145" s="76" t="s">
        <v>385</v>
      </c>
      <c r="C145" s="77">
        <v>8.3811058765187203E-3</v>
      </c>
      <c r="D145" s="77">
        <f t="shared" si="2"/>
        <v>5.4599007677887119E-2</v>
      </c>
      <c r="E145" s="77">
        <v>1.1299007677887121E-2</v>
      </c>
      <c r="F145" s="77">
        <v>0.19</v>
      </c>
    </row>
    <row r="146" spans="1:6" ht="16">
      <c r="A146" s="75" t="s">
        <v>329</v>
      </c>
      <c r="B146" s="76" t="s">
        <v>389</v>
      </c>
      <c r="C146" s="77">
        <v>1.1873233325068186E-2</v>
      </c>
      <c r="D146" s="77">
        <f t="shared" si="2"/>
        <v>5.9306927543673421E-2</v>
      </c>
      <c r="E146" s="77">
        <v>1.6006927543673423E-2</v>
      </c>
      <c r="F146" s="77">
        <v>0.21</v>
      </c>
    </row>
    <row r="147" spans="1:6" ht="16">
      <c r="A147" s="75" t="s">
        <v>330</v>
      </c>
      <c r="B147" s="76" t="s">
        <v>370</v>
      </c>
      <c r="C147" s="77">
        <v>4.8889784279692525E-3</v>
      </c>
      <c r="D147" s="77">
        <f t="shared" si="2"/>
        <v>4.9891087812100818E-2</v>
      </c>
      <c r="E147" s="77">
        <v>6.5910878121008187E-3</v>
      </c>
      <c r="F147" s="77">
        <v>0.1</v>
      </c>
    </row>
    <row r="148" spans="1:6" ht="16">
      <c r="A148" s="75" t="s">
        <v>331</v>
      </c>
      <c r="B148" s="50" t="s">
        <v>389</v>
      </c>
      <c r="C148" s="67">
        <v>1.1873233325068186E-2</v>
      </c>
      <c r="D148" s="77">
        <f t="shared" si="2"/>
        <v>5.9306927543673421E-2</v>
      </c>
      <c r="E148" s="67">
        <v>1.6006927543673423E-2</v>
      </c>
      <c r="F148" s="67">
        <v>0</v>
      </c>
    </row>
    <row r="149" spans="1:6" ht="16">
      <c r="A149" s="75" t="s">
        <v>454</v>
      </c>
      <c r="B149" s="76" t="s">
        <v>428</v>
      </c>
      <c r="C149" s="77">
        <v>1.0708616059682126E-2</v>
      </c>
      <c r="D149" s="77">
        <f t="shared" si="2"/>
        <v>5.7736846027311189E-2</v>
      </c>
      <c r="E149" s="77">
        <v>1.4436846027311188E-2</v>
      </c>
      <c r="F149" s="77">
        <v>0.2534417911673511</v>
      </c>
    </row>
    <row r="150" spans="1:6" ht="16">
      <c r="A150" s="75" t="s">
        <v>332</v>
      </c>
      <c r="B150" s="76" t="s">
        <v>379</v>
      </c>
      <c r="C150" s="77">
        <v>2.1767594429291676E-2</v>
      </c>
      <c r="D150" s="77">
        <f t="shared" si="2"/>
        <v>7.2646033830067944E-2</v>
      </c>
      <c r="E150" s="77">
        <v>2.9346033830067942E-2</v>
      </c>
      <c r="F150" s="77">
        <v>0.16</v>
      </c>
    </row>
    <row r="151" spans="1:6" ht="16">
      <c r="A151" s="75" t="s">
        <v>333</v>
      </c>
      <c r="B151" s="76" t="s">
        <v>428</v>
      </c>
      <c r="C151" s="77">
        <v>2.9799487560955448E-2</v>
      </c>
      <c r="D151" s="77">
        <f t="shared" si="2"/>
        <v>8.3474249521376429E-2</v>
      </c>
      <c r="E151" s="77">
        <v>4.017424952137643E-2</v>
      </c>
      <c r="F151" s="77">
        <v>0.2</v>
      </c>
    </row>
    <row r="152" spans="1:6" ht="16">
      <c r="A152" s="75" t="s">
        <v>334</v>
      </c>
      <c r="B152" s="50" t="s">
        <v>374</v>
      </c>
      <c r="C152" s="67">
        <v>5.4477188197371677E-2</v>
      </c>
      <c r="D152" s="77">
        <f t="shared" si="2"/>
        <v>0.11674354990626629</v>
      </c>
      <c r="E152" s="67">
        <v>7.3443549906266281E-2</v>
      </c>
      <c r="F152" s="67">
        <v>0.3</v>
      </c>
    </row>
    <row r="153" spans="1:6" ht="16">
      <c r="A153" s="75" t="s">
        <v>455</v>
      </c>
      <c r="B153" s="76" t="s">
        <v>428</v>
      </c>
      <c r="C153" s="77">
        <v>6.0122636258365322E-2</v>
      </c>
      <c r="D153" s="77">
        <f t="shared" si="2"/>
        <v>0.12435447404039451</v>
      </c>
      <c r="E153" s="77">
        <v>8.1054474040394509E-2</v>
      </c>
      <c r="F153" s="77">
        <v>0.25228018689443577</v>
      </c>
    </row>
    <row r="154" spans="1:6" ht="16">
      <c r="A154" s="75" t="s">
        <v>335</v>
      </c>
      <c r="B154" s="76" t="s">
        <v>382</v>
      </c>
      <c r="C154" s="77">
        <v>5.9366166625340932E-3</v>
      </c>
      <c r="D154" s="77">
        <f t="shared" si="2"/>
        <v>5.1303463771836713E-2</v>
      </c>
      <c r="E154" s="77">
        <v>8.0034637718367115E-3</v>
      </c>
      <c r="F154" s="77">
        <v>0.2</v>
      </c>
    </row>
    <row r="155" spans="1:6" ht="16">
      <c r="A155" s="75" t="s">
        <v>336</v>
      </c>
      <c r="B155" s="76" t="s">
        <v>371</v>
      </c>
      <c r="C155" s="77">
        <v>4.4582827093148182E-2</v>
      </c>
      <c r="D155" s="77">
        <f t="shared" si="2"/>
        <v>0.10340444361987178</v>
      </c>
      <c r="E155" s="77">
        <v>6.0104443619871772E-2</v>
      </c>
      <c r="F155" s="77">
        <v>0.3</v>
      </c>
    </row>
    <row r="156" spans="1:6" ht="16">
      <c r="A156" s="75" t="s">
        <v>337</v>
      </c>
      <c r="B156" s="76" t="s">
        <v>378</v>
      </c>
      <c r="C156" s="77">
        <v>2.9799487560955448E-2</v>
      </c>
      <c r="D156" s="77">
        <f t="shared" si="2"/>
        <v>8.3474249521376429E-2</v>
      </c>
      <c r="E156" s="77">
        <v>4.017424952137643E-2</v>
      </c>
      <c r="F156" s="77">
        <v>0.15</v>
      </c>
    </row>
    <row r="157" spans="1:6" ht="16">
      <c r="A157" s="78" t="s">
        <v>338</v>
      </c>
      <c r="B157" s="76" t="s">
        <v>391</v>
      </c>
      <c r="C157" s="77">
        <v>2.4794104884701216E-2</v>
      </c>
      <c r="D157" s="77">
        <f t="shared" si="2"/>
        <v>7.6726231047082732E-2</v>
      </c>
      <c r="E157" s="77">
        <v>3.3426231047082741E-2</v>
      </c>
      <c r="F157" s="77">
        <v>0</v>
      </c>
    </row>
    <row r="158" spans="1:6" ht="16">
      <c r="A158" s="75" t="s">
        <v>406</v>
      </c>
      <c r="B158" s="76" t="s">
        <v>428</v>
      </c>
      <c r="C158" s="77">
        <v>8.916565418629635E-2</v>
      </c>
      <c r="D158" s="77">
        <f t="shared" si="2"/>
        <v>0.16350888723974349</v>
      </c>
      <c r="E158" s="77">
        <v>0.1202088872397435</v>
      </c>
      <c r="F158" s="77">
        <v>0</v>
      </c>
    </row>
    <row r="159" spans="1:6" ht="16">
      <c r="A159" s="75" t="s">
        <v>339</v>
      </c>
      <c r="B159" s="76" t="s">
        <v>376</v>
      </c>
      <c r="C159" s="77">
        <v>0</v>
      </c>
      <c r="D159" s="77">
        <f t="shared" si="2"/>
        <v>4.3299999999999998E-2</v>
      </c>
      <c r="E159" s="77">
        <v>0</v>
      </c>
      <c r="F159" s="77">
        <v>0.17</v>
      </c>
    </row>
    <row r="160" spans="1:6" ht="16">
      <c r="A160" s="75" t="s">
        <v>340</v>
      </c>
      <c r="B160" s="76" t="s">
        <v>389</v>
      </c>
      <c r="C160" s="77">
        <v>1.1873233325068186E-2</v>
      </c>
      <c r="D160" s="77">
        <f t="shared" si="2"/>
        <v>5.9306927543673421E-2</v>
      </c>
      <c r="E160" s="77">
        <v>1.6006927543673423E-2</v>
      </c>
      <c r="F160" s="77">
        <v>0.21</v>
      </c>
    </row>
    <row r="161" spans="1:6" ht="16">
      <c r="A161" s="75" t="s">
        <v>341</v>
      </c>
      <c r="B161" s="76" t="s">
        <v>389</v>
      </c>
      <c r="C161" s="77">
        <v>1.1873233325068186E-2</v>
      </c>
      <c r="D161" s="77">
        <f t="shared" si="2"/>
        <v>5.9306927543673421E-2</v>
      </c>
      <c r="E161" s="77">
        <v>1.6006927543673423E-2</v>
      </c>
      <c r="F161" s="77">
        <v>0.19</v>
      </c>
    </row>
    <row r="162" spans="1:6" ht="16">
      <c r="A162" s="79" t="s">
        <v>407</v>
      </c>
      <c r="B162" s="76" t="s">
        <v>381</v>
      </c>
      <c r="C162" s="77">
        <v>7.4265910405818647E-2</v>
      </c>
      <c r="D162" s="77">
        <f t="shared" si="2"/>
        <v>0.1434217624790553</v>
      </c>
      <c r="E162" s="77">
        <v>0.10012176247905531</v>
      </c>
      <c r="F162" s="77">
        <v>0.3</v>
      </c>
    </row>
    <row r="163" spans="1:6" ht="16">
      <c r="A163" s="75" t="s">
        <v>408</v>
      </c>
      <c r="B163" s="76" t="s">
        <v>428</v>
      </c>
      <c r="C163" s="77">
        <v>9.9060015290519859E-2</v>
      </c>
      <c r="D163" s="77">
        <f t="shared" si="2"/>
        <v>0.17684799352613806</v>
      </c>
      <c r="E163" s="77">
        <v>0.13354799352613805</v>
      </c>
      <c r="F163" s="77">
        <v>0.3</v>
      </c>
    </row>
    <row r="164" spans="1:6" ht="16">
      <c r="A164" s="75" t="s">
        <v>342</v>
      </c>
      <c r="B164" s="76" t="s">
        <v>378</v>
      </c>
      <c r="C164" s="77">
        <v>2.9799487560955448E-2</v>
      </c>
      <c r="D164" s="77">
        <f t="shared" si="2"/>
        <v>8.3474249521376429E-2</v>
      </c>
      <c r="E164" s="77">
        <v>4.017424952137643E-2</v>
      </c>
      <c r="F164" s="77">
        <v>0.27</v>
      </c>
    </row>
    <row r="165" spans="1:6" ht="16">
      <c r="A165" s="75" t="s">
        <v>456</v>
      </c>
      <c r="B165" s="76" t="s">
        <v>370</v>
      </c>
      <c r="C165" s="77">
        <v>4.8889784279692525E-3</v>
      </c>
      <c r="D165" s="77">
        <f t="shared" si="2"/>
        <v>4.9891087812100818E-2</v>
      </c>
      <c r="E165" s="77">
        <v>6.5910878121008187E-3</v>
      </c>
      <c r="F165" s="77">
        <v>0.25</v>
      </c>
    </row>
    <row r="166" spans="1:6" ht="16">
      <c r="A166" s="75" t="s">
        <v>343</v>
      </c>
      <c r="B166" s="76" t="s">
        <v>375</v>
      </c>
      <c r="C166" s="77">
        <v>1.5830977766757577E-2</v>
      </c>
      <c r="D166" s="77">
        <f t="shared" si="2"/>
        <v>6.4642570058231222E-2</v>
      </c>
      <c r="E166" s="77">
        <v>2.134257005823122E-2</v>
      </c>
      <c r="F166" s="77">
        <v>0.25</v>
      </c>
    </row>
    <row r="167" spans="1:6" ht="16">
      <c r="A167" s="75" t="s">
        <v>344</v>
      </c>
      <c r="B167" s="76" t="s">
        <v>429</v>
      </c>
      <c r="C167" s="77">
        <v>0.11884873749896685</v>
      </c>
      <c r="D167" s="77">
        <f t="shared" si="2"/>
        <v>0.2035262060989271</v>
      </c>
      <c r="E167" s="77">
        <v>0.1602262060989271</v>
      </c>
      <c r="F167" s="77">
        <v>0.24</v>
      </c>
    </row>
    <row r="168" spans="1:6" ht="16">
      <c r="A168" s="75" t="s">
        <v>345</v>
      </c>
      <c r="B168" s="76" t="s">
        <v>378</v>
      </c>
      <c r="C168" s="77">
        <v>2.9799487560955448E-2</v>
      </c>
      <c r="D168" s="77">
        <f t="shared" si="2"/>
        <v>8.3474249521376429E-2</v>
      </c>
      <c r="E168" s="77">
        <v>4.017424952137643E-2</v>
      </c>
      <c r="F168" s="77">
        <v>0.2853</v>
      </c>
    </row>
    <row r="169" spans="1:6" ht="16">
      <c r="A169" s="78" t="s">
        <v>346</v>
      </c>
      <c r="B169" s="76" t="s">
        <v>383</v>
      </c>
      <c r="C169" s="77">
        <v>6.4371549301595152E-2</v>
      </c>
      <c r="D169" s="77">
        <f t="shared" si="2"/>
        <v>0.13008265619266079</v>
      </c>
      <c r="E169" s="77">
        <v>8.6782656192660804E-2</v>
      </c>
      <c r="F169" s="77">
        <v>0.2853</v>
      </c>
    </row>
    <row r="170" spans="1:6" ht="16">
      <c r="A170" s="75" t="s">
        <v>409</v>
      </c>
      <c r="B170" s="76" t="s">
        <v>428</v>
      </c>
      <c r="C170" s="77">
        <v>0.17499999999999999</v>
      </c>
      <c r="D170" s="77">
        <f t="shared" si="2"/>
        <v>0.27922666323069684</v>
      </c>
      <c r="E170" s="77">
        <v>0.23592666323069683</v>
      </c>
      <c r="F170" s="77">
        <v>0.2853</v>
      </c>
    </row>
    <row r="171" spans="1:6" ht="16">
      <c r="A171" s="75" t="s">
        <v>347</v>
      </c>
      <c r="B171" s="76" t="s">
        <v>381</v>
      </c>
      <c r="C171" s="77">
        <v>7.4265910405818647E-2</v>
      </c>
      <c r="D171" s="77">
        <f t="shared" si="2"/>
        <v>0.1434217624790553</v>
      </c>
      <c r="E171" s="77">
        <v>0.10012176247905531</v>
      </c>
      <c r="F171" s="77">
        <v>0.36</v>
      </c>
    </row>
    <row r="172" spans="1:6" ht="16">
      <c r="A172" s="75" t="s">
        <v>410</v>
      </c>
      <c r="B172" s="76" t="s">
        <v>374</v>
      </c>
      <c r="C172" s="77">
        <v>5.4477188197371677E-2</v>
      </c>
      <c r="D172" s="77">
        <f t="shared" si="2"/>
        <v>0.11674354990626629</v>
      </c>
      <c r="E172" s="77">
        <v>7.3443549906266281E-2</v>
      </c>
      <c r="F172" s="77">
        <v>0.27500000000000002</v>
      </c>
    </row>
    <row r="173" spans="1:6" ht="16">
      <c r="A173" s="75" t="s">
        <v>348</v>
      </c>
      <c r="B173" s="76" t="s">
        <v>376</v>
      </c>
      <c r="C173" s="77">
        <v>0</v>
      </c>
      <c r="D173" s="77">
        <f t="shared" si="2"/>
        <v>4.3299999999999998E-2</v>
      </c>
      <c r="E173" s="77">
        <v>0</v>
      </c>
      <c r="F173" s="77">
        <v>0.20600000000000002</v>
      </c>
    </row>
    <row r="174" spans="1:6" ht="16">
      <c r="A174" s="79" t="s">
        <v>349</v>
      </c>
      <c r="B174" s="76" t="s">
        <v>376</v>
      </c>
      <c r="C174" s="77">
        <v>0</v>
      </c>
      <c r="D174" s="77">
        <f t="shared" si="2"/>
        <v>4.3299999999999998E-2</v>
      </c>
      <c r="E174" s="77">
        <v>0</v>
      </c>
      <c r="F174" s="77">
        <v>0.14599999999999999</v>
      </c>
    </row>
    <row r="175" spans="1:6" ht="16">
      <c r="A175" s="75" t="s">
        <v>411</v>
      </c>
      <c r="B175" s="76" t="s">
        <v>428</v>
      </c>
      <c r="C175" s="77">
        <v>0.17499999999999999</v>
      </c>
      <c r="D175" s="77">
        <f t="shared" si="2"/>
        <v>0.27922666323069684</v>
      </c>
      <c r="E175" s="77">
        <v>0.23592666323069683</v>
      </c>
      <c r="F175" s="77">
        <v>0.14599999999999999</v>
      </c>
    </row>
    <row r="176" spans="1:6" ht="16">
      <c r="A176" s="75" t="s">
        <v>350</v>
      </c>
      <c r="B176" s="76" t="s">
        <v>382</v>
      </c>
      <c r="C176" s="77">
        <v>5.9366166625340932E-3</v>
      </c>
      <c r="D176" s="77">
        <f t="shared" si="2"/>
        <v>5.1303463771836713E-2</v>
      </c>
      <c r="E176" s="77">
        <v>8.0034637718367115E-3</v>
      </c>
      <c r="F176" s="77">
        <v>0.2</v>
      </c>
    </row>
    <row r="177" spans="1:6" ht="16">
      <c r="A177" s="75" t="s">
        <v>412</v>
      </c>
      <c r="B177" s="76" t="s">
        <v>383</v>
      </c>
      <c r="C177" s="77">
        <v>6.4371549301595152E-2</v>
      </c>
      <c r="D177" s="77">
        <f t="shared" si="2"/>
        <v>0.13008265619266079</v>
      </c>
      <c r="E177" s="77">
        <v>8.6782656192660804E-2</v>
      </c>
      <c r="F177" s="77">
        <v>0.18</v>
      </c>
    </row>
    <row r="178" spans="1:6" ht="16">
      <c r="A178" s="75" t="s">
        <v>413</v>
      </c>
      <c r="B178" s="76" t="s">
        <v>371</v>
      </c>
      <c r="C178" s="77">
        <v>4.4582827093148182E-2</v>
      </c>
      <c r="D178" s="77">
        <f t="shared" si="2"/>
        <v>0.10340444361987178</v>
      </c>
      <c r="E178" s="77">
        <v>6.0104443619871772E-2</v>
      </c>
      <c r="F178" s="77">
        <v>0.3</v>
      </c>
    </row>
    <row r="179" spans="1:6" ht="16">
      <c r="A179" s="75" t="s">
        <v>351</v>
      </c>
      <c r="B179" s="76" t="s">
        <v>375</v>
      </c>
      <c r="C179" s="77">
        <v>1.5830977766757577E-2</v>
      </c>
      <c r="D179" s="77">
        <f t="shared" si="2"/>
        <v>6.4642570058231222E-2</v>
      </c>
      <c r="E179" s="77">
        <v>2.134257005823122E-2</v>
      </c>
      <c r="F179" s="77">
        <v>0.2</v>
      </c>
    </row>
    <row r="180" spans="1:6" ht="16">
      <c r="A180" s="75" t="s">
        <v>414</v>
      </c>
      <c r="B180" s="76" t="s">
        <v>383</v>
      </c>
      <c r="C180" s="77">
        <v>6.4371549301595152E-2</v>
      </c>
      <c r="D180" s="77">
        <f t="shared" si="2"/>
        <v>0.13008265619266079</v>
      </c>
      <c r="E180" s="77">
        <v>8.6782656192660804E-2</v>
      </c>
      <c r="F180" s="77">
        <v>0.26860000000000001</v>
      </c>
    </row>
    <row r="181" spans="1:6" ht="16">
      <c r="A181" s="75" t="s">
        <v>457</v>
      </c>
      <c r="B181" s="76" t="s">
        <v>378</v>
      </c>
      <c r="C181" s="77">
        <v>2.9799487560955448E-2</v>
      </c>
      <c r="D181" s="77">
        <f t="shared" si="2"/>
        <v>8.3474249521376429E-2</v>
      </c>
      <c r="E181" s="77">
        <v>4.017424952137643E-2</v>
      </c>
      <c r="F181" s="77">
        <v>0.3</v>
      </c>
    </row>
    <row r="182" spans="1:6" ht="16">
      <c r="A182" s="75" t="s">
        <v>352</v>
      </c>
      <c r="B182" s="76" t="s">
        <v>388</v>
      </c>
      <c r="C182" s="77">
        <v>8.9165654186296364E-2</v>
      </c>
      <c r="D182" s="77">
        <f t="shared" si="2"/>
        <v>0.16350888723974355</v>
      </c>
      <c r="E182" s="77">
        <v>0.12020888723974354</v>
      </c>
      <c r="F182" s="77">
        <v>0.15</v>
      </c>
    </row>
    <row r="183" spans="1:6" ht="16">
      <c r="A183" s="81" t="s">
        <v>353</v>
      </c>
      <c r="B183" s="76" t="s">
        <v>371</v>
      </c>
      <c r="C183" s="77">
        <v>4.4582827093148182E-2</v>
      </c>
      <c r="D183" s="77">
        <f t="shared" si="2"/>
        <v>0.10340444361987178</v>
      </c>
      <c r="E183" s="77">
        <v>6.0104443619871772E-2</v>
      </c>
      <c r="F183" s="77">
        <v>0.25</v>
      </c>
    </row>
    <row r="184" spans="1:6" ht="16">
      <c r="A184" s="75" t="s">
        <v>458</v>
      </c>
      <c r="B184" s="76" t="s">
        <v>375</v>
      </c>
      <c r="C184" s="77">
        <v>1.5830977766757577E-2</v>
      </c>
      <c r="D184" s="77">
        <f t="shared" si="2"/>
        <v>6.4642570058231222E-2</v>
      </c>
      <c r="E184" s="77">
        <v>2.134257005823122E-2</v>
      </c>
      <c r="F184" s="77">
        <v>0</v>
      </c>
    </row>
    <row r="185" spans="1:6" ht="16">
      <c r="A185" s="75" t="s">
        <v>354</v>
      </c>
      <c r="B185" s="76" t="s">
        <v>383</v>
      </c>
      <c r="C185" s="77">
        <v>6.4371549301595152E-2</v>
      </c>
      <c r="D185" s="77">
        <f t="shared" si="2"/>
        <v>0.13008265619266079</v>
      </c>
      <c r="E185" s="77">
        <v>8.6782656192660804E-2</v>
      </c>
      <c r="F185" s="77">
        <v>0.3</v>
      </c>
    </row>
    <row r="186" spans="1:6" ht="16">
      <c r="A186" s="75" t="s">
        <v>355</v>
      </c>
      <c r="B186" s="76" t="s">
        <v>429</v>
      </c>
      <c r="C186" s="77">
        <v>0.11884873749896685</v>
      </c>
      <c r="D186" s="77">
        <f t="shared" si="2"/>
        <v>0.2035262060989271</v>
      </c>
      <c r="E186" s="77">
        <v>0.1602262060989271</v>
      </c>
      <c r="F186" s="77">
        <v>0.18</v>
      </c>
    </row>
    <row r="187" spans="1:6" ht="16">
      <c r="A187" s="75" t="s">
        <v>356</v>
      </c>
      <c r="B187" s="76" t="s">
        <v>370</v>
      </c>
      <c r="C187" s="77">
        <v>4.8889784279692525E-3</v>
      </c>
      <c r="D187" s="77">
        <f t="shared" si="2"/>
        <v>4.9891087812100818E-2</v>
      </c>
      <c r="E187" s="77">
        <v>6.5910878121008187E-3</v>
      </c>
      <c r="F187" s="77">
        <v>0.25</v>
      </c>
    </row>
    <row r="188" spans="1:6" ht="16">
      <c r="A188" s="75" t="s">
        <v>357</v>
      </c>
      <c r="B188" s="76" t="s">
        <v>382</v>
      </c>
      <c r="C188" s="77">
        <v>5.9366166625340932E-3</v>
      </c>
      <c r="D188" s="77">
        <f t="shared" si="2"/>
        <v>5.1303463771836713E-2</v>
      </c>
      <c r="E188" s="77">
        <v>8.0034637718367115E-3</v>
      </c>
      <c r="F188" s="77">
        <v>0.25</v>
      </c>
    </row>
    <row r="189" spans="1:6" ht="16">
      <c r="A189" s="75" t="s">
        <v>367</v>
      </c>
      <c r="B189" s="76" t="s">
        <v>376</v>
      </c>
      <c r="C189" s="77">
        <v>0</v>
      </c>
      <c r="D189" s="77">
        <f t="shared" si="2"/>
        <v>4.3299999999999998E-2</v>
      </c>
      <c r="E189" s="77">
        <v>0</v>
      </c>
      <c r="F189" s="77">
        <v>0.25</v>
      </c>
    </row>
    <row r="190" spans="1:6" ht="16">
      <c r="A190" s="75" t="s">
        <v>358</v>
      </c>
      <c r="B190" s="76" t="s">
        <v>375</v>
      </c>
      <c r="C190" s="77">
        <v>1.5830977766757577E-2</v>
      </c>
      <c r="D190" s="77">
        <f t="shared" si="2"/>
        <v>6.4642570058231222E-2</v>
      </c>
      <c r="E190" s="77">
        <v>2.134257005823122E-2</v>
      </c>
      <c r="F190" s="77">
        <v>0.25</v>
      </c>
    </row>
    <row r="191" spans="1:6" ht="16">
      <c r="A191" s="75" t="s">
        <v>434</v>
      </c>
      <c r="B191" s="76" t="s">
        <v>380</v>
      </c>
      <c r="C191" s="77">
        <v>3.5619699975204554E-2</v>
      </c>
      <c r="D191" s="77">
        <f t="shared" si="2"/>
        <v>9.1320782631020253E-2</v>
      </c>
      <c r="E191" s="77">
        <v>4.8020782631020255E-2</v>
      </c>
      <c r="F191" s="77">
        <v>0.15</v>
      </c>
    </row>
    <row r="192" spans="1:6" ht="16">
      <c r="A192" s="75" t="s">
        <v>359</v>
      </c>
      <c r="B192" s="76" t="s">
        <v>419</v>
      </c>
      <c r="C192" s="77">
        <v>0.17499999999999999</v>
      </c>
      <c r="D192" s="77">
        <f t="shared" si="2"/>
        <v>0.27922666323069684</v>
      </c>
      <c r="E192" s="77">
        <v>0.23592666323069683</v>
      </c>
      <c r="F192" s="77">
        <v>0.34</v>
      </c>
    </row>
    <row r="193" spans="1:6" ht="16">
      <c r="A193" s="78" t="s">
        <v>360</v>
      </c>
      <c r="B193" s="76" t="s">
        <v>378</v>
      </c>
      <c r="C193" s="77">
        <v>2.9799487560955448E-2</v>
      </c>
      <c r="D193" s="77">
        <f t="shared" si="2"/>
        <v>8.3474249521376429E-2</v>
      </c>
      <c r="E193" s="77">
        <v>4.017424952137643E-2</v>
      </c>
      <c r="F193" s="77">
        <v>0.2</v>
      </c>
    </row>
    <row r="194" spans="1:6" ht="16">
      <c r="A194" s="75" t="s">
        <v>459</v>
      </c>
      <c r="B194" s="76" t="s">
        <v>428</v>
      </c>
      <c r="C194" s="77">
        <v>0.11884873749896685</v>
      </c>
      <c r="D194" s="77">
        <f t="shared" si="2"/>
        <v>0.2035262060989271</v>
      </c>
      <c r="E194" s="77">
        <v>0.1602262060989271</v>
      </c>
      <c r="F194" s="77">
        <v>0.2</v>
      </c>
    </row>
    <row r="195" spans="1:6" ht="16">
      <c r="A195" s="79" t="s">
        <v>361</v>
      </c>
      <c r="B195" s="76" t="s">
        <v>388</v>
      </c>
      <c r="C195" s="77">
        <v>8.9165654186296364E-2</v>
      </c>
      <c r="D195" s="77">
        <f t="shared" si="2"/>
        <v>0.16350888723974355</v>
      </c>
      <c r="E195" s="77">
        <v>0.12020888723974354</v>
      </c>
      <c r="F195" s="77">
        <v>0.35</v>
      </c>
    </row>
    <row r="196" spans="1:6">
      <c r="A196" t="s">
        <v>415</v>
      </c>
      <c r="B196" t="s">
        <v>428</v>
      </c>
      <c r="C196" s="183">
        <v>8.916565418629635E-2</v>
      </c>
      <c r="E196" s="183">
        <v>0.1202088872397435</v>
      </c>
      <c r="F196" s="183">
        <v>0.35</v>
      </c>
    </row>
    <row r="200" spans="1:6">
      <c r="A200" s="82" t="s">
        <v>217</v>
      </c>
      <c r="B200" s="83" t="s">
        <v>211</v>
      </c>
      <c r="C200" s="83" t="s">
        <v>512</v>
      </c>
      <c r="D200" s="83" t="s">
        <v>435</v>
      </c>
      <c r="E200" s="83" t="s">
        <v>513</v>
      </c>
      <c r="F200" t="s">
        <v>514</v>
      </c>
    </row>
    <row r="201" spans="1:6">
      <c r="A201" s="84" t="s">
        <v>226</v>
      </c>
      <c r="B201" s="85">
        <v>0.12636516288511693</v>
      </c>
      <c r="C201" s="85">
        <v>6.163973704915901E-2</v>
      </c>
      <c r="D201" s="85">
        <v>0.27421914500863898</v>
      </c>
      <c r="E201" s="85">
        <v>8.3065162885116936E-2</v>
      </c>
      <c r="F201" s="184">
        <v>2508220.6789325164</v>
      </c>
    </row>
    <row r="202" spans="1:6">
      <c r="A202" s="84" t="s">
        <v>239</v>
      </c>
      <c r="B202" s="85">
        <v>5.8700000000000002E-2</v>
      </c>
      <c r="C202" s="85">
        <v>1.0708616059682126E-2</v>
      </c>
      <c r="D202" s="85">
        <v>0.2534417911673511</v>
      </c>
      <c r="E202" s="85">
        <v>1.54E-2</v>
      </c>
      <c r="F202" s="184">
        <v>32948678.067337982</v>
      </c>
    </row>
    <row r="203" spans="1:6">
      <c r="A203" s="84" t="s">
        <v>233</v>
      </c>
      <c r="B203" s="85">
        <v>4.3342933242096059E-2</v>
      </c>
      <c r="C203" s="85">
        <v>3.1859249552415043E-5</v>
      </c>
      <c r="D203" s="85">
        <v>0.29743620926523207</v>
      </c>
      <c r="E203" s="85">
        <v>4.2933242096058726E-5</v>
      </c>
      <c r="F203" s="184">
        <v>1942472.3523971008</v>
      </c>
    </row>
    <row r="204" spans="1:6">
      <c r="A204" s="84" t="s">
        <v>231</v>
      </c>
      <c r="B204" s="85">
        <v>0.12432073131656701</v>
      </c>
      <c r="C204" s="85">
        <v>6.0122636258365322E-2</v>
      </c>
      <c r="D204" s="85">
        <v>0.25228018689443577</v>
      </c>
      <c r="E204" s="85">
        <v>8.1020731316567021E-2</v>
      </c>
      <c r="F204" s="184">
        <v>869389.47891538299</v>
      </c>
    </row>
    <row r="205" spans="1:6">
      <c r="A205" s="84" t="s">
        <v>228</v>
      </c>
      <c r="B205" s="85">
        <v>9.1502494977120707E-2</v>
      </c>
      <c r="C205" s="85">
        <v>3.5769376863949848E-2</v>
      </c>
      <c r="D205" s="85">
        <v>0.31553952561697912</v>
      </c>
      <c r="E205" s="85">
        <v>4.8202494977120702E-2</v>
      </c>
      <c r="F205" s="184">
        <v>5601817.8332648547</v>
      </c>
    </row>
    <row r="206" spans="1:6">
      <c r="A206" s="84" t="s">
        <v>515</v>
      </c>
      <c r="B206" s="85">
        <v>7.7277034566536854E-2</v>
      </c>
      <c r="C206" s="85">
        <v>2.5213162818787022E-2</v>
      </c>
      <c r="D206" s="85">
        <v>0.17230578031123689</v>
      </c>
      <c r="E206" s="85">
        <v>3.3977034566536855E-2</v>
      </c>
      <c r="F206" s="184">
        <v>5010073.2660032045</v>
      </c>
    </row>
    <row r="207" spans="1:6">
      <c r="A207" s="84" t="s">
        <v>221</v>
      </c>
      <c r="B207" s="85">
        <v>6.42857466003489E-2</v>
      </c>
      <c r="C207" s="85">
        <v>1.5572784754721281E-2</v>
      </c>
      <c r="D207" s="85">
        <v>0.18937682936327277</v>
      </c>
      <c r="E207" s="85">
        <v>2.0985746600348899E-2</v>
      </c>
      <c r="F207" s="184">
        <v>3382577.6565681733</v>
      </c>
    </row>
    <row r="208" spans="1:6">
      <c r="A208" s="84" t="s">
        <v>253</v>
      </c>
      <c r="B208" s="85">
        <v>4.3299999999999998E-2</v>
      </c>
      <c r="C208" s="85">
        <v>0</v>
      </c>
      <c r="D208" s="85">
        <v>0.25108814145744907</v>
      </c>
      <c r="E208" s="85">
        <v>0</v>
      </c>
      <c r="F208" s="184">
        <v>27577639.220074911</v>
      </c>
    </row>
    <row r="209" spans="1:6">
      <c r="A209" s="84" t="s">
        <v>224</v>
      </c>
      <c r="B209" s="85">
        <v>5.4450110634666364E-2</v>
      </c>
      <c r="C209" s="85">
        <v>8.2741050967470049E-3</v>
      </c>
      <c r="D209" s="85">
        <v>0.24775219614916172</v>
      </c>
      <c r="E209" s="85">
        <v>1.1150110634666366E-2</v>
      </c>
      <c r="F209" s="184">
        <v>20250228.834865417</v>
      </c>
    </row>
    <row r="210" spans="1:6">
      <c r="A210" s="84" t="s">
        <v>362</v>
      </c>
      <c r="B210" s="85">
        <v>5.7599999999999998E-2</v>
      </c>
      <c r="C210" s="85">
        <v>1.0377275529176463E-2</v>
      </c>
      <c r="D210" s="85">
        <v>0.25221031401922173</v>
      </c>
      <c r="E210" s="85">
        <v>1.43E-2</v>
      </c>
      <c r="F210" s="184">
        <v>100091097.38835955</v>
      </c>
    </row>
    <row r="213" spans="1:6">
      <c r="B213" t="s">
        <v>211</v>
      </c>
      <c r="C213" t="s">
        <v>460</v>
      </c>
      <c r="D213" t="s">
        <v>516</v>
      </c>
      <c r="E213" t="s">
        <v>461</v>
      </c>
    </row>
    <row r="214" spans="1:6">
      <c r="A214" s="11" t="s">
        <v>517</v>
      </c>
      <c r="B214" s="185">
        <v>9.8900000000000002E-2</v>
      </c>
      <c r="C214" s="185">
        <v>3.5269458671611922E-2</v>
      </c>
      <c r="D214" s="185">
        <v>0.22565253987565378</v>
      </c>
      <c r="E214" s="185">
        <v>5.5600000000000004E-2</v>
      </c>
      <c r="F214" s="183"/>
    </row>
    <row r="215" spans="1:6">
      <c r="A215" s="11" t="s">
        <v>518</v>
      </c>
      <c r="B215" s="185">
        <v>4.3320625536113641E-2</v>
      </c>
      <c r="C215" s="185">
        <v>1.5305485216481364E-5</v>
      </c>
      <c r="D215" s="185">
        <v>0.28058266212676913</v>
      </c>
      <c r="E215" s="185">
        <v>2.0625536113642873E-5</v>
      </c>
    </row>
    <row r="216" spans="1:6">
      <c r="A216" s="11" t="s">
        <v>519</v>
      </c>
      <c r="B216" s="185">
        <v>9.323718559787203E-2</v>
      </c>
      <c r="C216" s="185">
        <v>3.7059194817035325E-2</v>
      </c>
      <c r="D216" s="185">
        <v>0.31219579378380224</v>
      </c>
      <c r="E216" s="185">
        <v>4.9937185597872032E-2</v>
      </c>
    </row>
    <row r="217" spans="1:6">
      <c r="A217" s="11" t="s">
        <v>294</v>
      </c>
      <c r="B217" s="185">
        <v>4.9888343962875968E-2</v>
      </c>
      <c r="C217" s="185">
        <v>4.8889784279692525E-3</v>
      </c>
      <c r="D217" s="185">
        <v>0.25</v>
      </c>
      <c r="E217" s="185">
        <v>6.5883439628759699E-3</v>
      </c>
    </row>
    <row r="218" spans="1:6">
      <c r="A218" s="11" t="s">
        <v>520</v>
      </c>
      <c r="B218" s="185">
        <v>4.3299999999999998E-2</v>
      </c>
      <c r="C218" s="185">
        <v>0</v>
      </c>
      <c r="D218" s="185">
        <v>0.25</v>
      </c>
      <c r="E218" s="185">
        <v>0</v>
      </c>
    </row>
    <row r="219" spans="1:6">
      <c r="A219" s="11" t="s">
        <v>521</v>
      </c>
      <c r="B219" s="185">
        <v>5.4450110634666357E-2</v>
      </c>
      <c r="C219" s="185">
        <v>8.2741050967470049E-3</v>
      </c>
      <c r="D219" s="185">
        <v>0.24775219614916172</v>
      </c>
      <c r="E219" s="185">
        <v>1.1150110634666359E-2</v>
      </c>
    </row>
    <row r="220" spans="1:6">
      <c r="A220" s="11" t="s">
        <v>522</v>
      </c>
      <c r="B220" s="185">
        <v>6.7888776273373461E-2</v>
      </c>
      <c r="C220" s="185">
        <v>1.854688453505424E-2</v>
      </c>
      <c r="D220" s="185">
        <v>0.25317912344463717</v>
      </c>
      <c r="E220" s="185">
        <v>2.4588776273373462E-2</v>
      </c>
    </row>
    <row r="221" spans="1:6">
      <c r="A221" s="11" t="s">
        <v>523</v>
      </c>
      <c r="B221" s="185">
        <v>6.078982612878147E-2</v>
      </c>
      <c r="C221" s="185">
        <v>1.2979483446303937E-2</v>
      </c>
      <c r="D221" s="185">
        <v>0.25517258432985945</v>
      </c>
      <c r="E221" s="185">
        <v>1.7489826128781472E-2</v>
      </c>
    </row>
    <row r="222" spans="1:6">
      <c r="A222" s="11" t="s">
        <v>287</v>
      </c>
      <c r="B222" s="185">
        <v>7.2633817168042999E-2</v>
      </c>
      <c r="C222" s="185">
        <v>2.1767594429291676E-2</v>
      </c>
      <c r="D222" s="185">
        <v>0.3</v>
      </c>
      <c r="E222" s="185">
        <v>2.9333817168043001E-2</v>
      </c>
    </row>
    <row r="223" spans="1:6">
      <c r="A223" s="11" t="s">
        <v>257</v>
      </c>
      <c r="B223" s="185">
        <v>5.2711919946965669E-2</v>
      </c>
      <c r="C223" s="185">
        <v>6.9842548970989338E-3</v>
      </c>
      <c r="D223" s="185">
        <v>0.25</v>
      </c>
      <c r="E223" s="185">
        <v>9.4119199469656703E-3</v>
      </c>
    </row>
    <row r="224" spans="1:6">
      <c r="A224" s="11" t="s">
        <v>362</v>
      </c>
      <c r="B224" s="185">
        <v>5.7599999999999998E-2</v>
      </c>
      <c r="C224" s="185">
        <v>1.0377275529176463E-2</v>
      </c>
      <c r="D224" s="185">
        <v>0.25221031401922173</v>
      </c>
      <c r="E224" s="185">
        <v>1.43E-2</v>
      </c>
    </row>
    <row r="226" spans="1:5">
      <c r="A226" t="s">
        <v>524</v>
      </c>
    </row>
    <row r="227" spans="1:5">
      <c r="A227" s="11"/>
      <c r="B227" s="186" t="s">
        <v>211</v>
      </c>
      <c r="C227" s="186" t="s">
        <v>460</v>
      </c>
      <c r="D227" s="186" t="s">
        <v>516</v>
      </c>
      <c r="E227" s="186" t="s">
        <v>461</v>
      </c>
    </row>
    <row r="228" spans="1:5">
      <c r="A228" s="11" t="s">
        <v>525</v>
      </c>
      <c r="B228" s="187">
        <v>6.1729262278108245E-2</v>
      </c>
      <c r="C228" s="187">
        <v>1.3675707617689077E-2</v>
      </c>
      <c r="D228" s="187">
        <v>0.24333019223993782</v>
      </c>
      <c r="E228" s="187">
        <v>1.8429262278108247E-2</v>
      </c>
    </row>
  </sheetData>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
  <sheetViews>
    <sheetView workbookViewId="0">
      <selection activeCell="B4" sqref="B4"/>
    </sheetView>
  </sheetViews>
  <sheetFormatPr baseColWidth="10" defaultRowHeight="14"/>
  <sheetData>
    <row r="2" spans="2:2">
      <c r="B2" s="49" t="s">
        <v>18</v>
      </c>
    </row>
    <row r="3" spans="2:2">
      <c r="B3" s="49"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Read me first</vt:lpstr>
      <vt:lpstr>Inputs</vt:lpstr>
      <vt:lpstr>Valuation Output</vt:lpstr>
      <vt:lpstr>Stories to Numbers</vt:lpstr>
      <vt:lpstr>US Industry averages</vt:lpstr>
      <vt:lpstr>Global Industry averages</vt:lpstr>
      <vt:lpstr>ERP calculator</vt:lpstr>
      <vt:lpstr>Country ERP</vt:lpstr>
      <vt:lpstr>Answer key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2000-04-06T19:14:27Z</dcterms:created>
  <dcterms:modified xsi:type="dcterms:W3CDTF">2025-01-22T02:03:50Z</dcterms:modified>
</cp:coreProperties>
</file>