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1011"/>
  <workbookPr date1904="1"/>
  <mc:AlternateContent xmlns:mc="http://schemas.openxmlformats.org/markup-compatibility/2006">
    <mc:Choice Requires="x15">
      <x15ac:absPath xmlns:x15ac="http://schemas.microsoft.com/office/spreadsheetml/2010/11/ac" url="/Users/Shared/Previously Relocated Items/Security/All My Stuff/Home Page 2002/pc/"/>
    </mc:Choice>
  </mc:AlternateContent>
  <xr:revisionPtr revIDLastSave="0" documentId="8_{6AE3471D-3F38-1B45-8CBF-6EDCB1F38275}" xr6:coauthVersionLast="47" xr6:coauthVersionMax="47" xr10:uidLastSave="{00000000-0000-0000-0000-000000000000}"/>
  <bookViews>
    <workbookView xWindow="1340" yWindow="1380" windowWidth="32760" windowHeight="21720"/>
  </bookViews>
  <sheets>
    <sheet name="Read me first" sheetId="4" r:id="rId1"/>
    <sheet name="Inputs" sheetId="3" r:id="rId2"/>
    <sheet name="Analysis of past dividends" sheetId="2" r:id="rId3"/>
    <sheet name="Forecasted Dividends &amp; FCFE" sheetId="1" r:id="rId4"/>
    <sheet name="Historical Stock and T.Bills" sheetId="5" r:id="rId5"/>
    <sheet name="Sheet1" sheetId="8" r:id="rId6"/>
  </sheet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0" i="3" l="1"/>
  <c r="E49" i="3"/>
  <c r="E48" i="3"/>
  <c r="E47" i="3"/>
  <c r="E46" i="3"/>
  <c r="E45" i="3"/>
  <c r="E44" i="3"/>
  <c r="E22" i="2"/>
  <c r="E43" i="3"/>
  <c r="D22" i="2"/>
  <c r="E42" i="3"/>
  <c r="C22" i="2"/>
  <c r="D50" i="3"/>
  <c r="D49" i="3"/>
  <c r="D48" i="3"/>
  <c r="D47" i="3"/>
  <c r="D46" i="3"/>
  <c r="D45" i="3"/>
  <c r="D44" i="3"/>
  <c r="D43" i="3"/>
  <c r="D42" i="3"/>
  <c r="E41" i="3"/>
  <c r="B22" i="2"/>
  <c r="D41" i="3"/>
  <c r="A31" i="3"/>
  <c r="K2" i="2"/>
  <c r="A30" i="3"/>
  <c r="J2" i="2"/>
  <c r="J4" i="2"/>
  <c r="A29" i="3"/>
  <c r="I2" i="2"/>
  <c r="A28" i="3"/>
  <c r="H2" i="2"/>
  <c r="C46" i="3"/>
  <c r="E64" i="3"/>
  <c r="B10" i="1"/>
  <c r="E63" i="3"/>
  <c r="E62" i="3"/>
  <c r="E61" i="3"/>
  <c r="A26" i="3"/>
  <c r="F2" i="2"/>
  <c r="F3" i="2"/>
  <c r="F16" i="2"/>
  <c r="A25" i="3"/>
  <c r="E2" i="2"/>
  <c r="A24" i="3"/>
  <c r="D2" i="2"/>
  <c r="A23" i="3"/>
  <c r="C2" i="2"/>
  <c r="A22" i="3"/>
  <c r="B2" i="2"/>
  <c r="A27" i="3"/>
  <c r="G2" i="2"/>
  <c r="F18" i="3"/>
  <c r="F17" i="3"/>
  <c r="F16" i="3"/>
  <c r="F15" i="3"/>
  <c r="F14" i="3"/>
  <c r="F13" i="3"/>
  <c r="F11" i="3"/>
  <c r="F10" i="3"/>
  <c r="F9" i="3"/>
  <c r="A41" i="3"/>
  <c r="A42" i="3"/>
  <c r="A43" i="3"/>
  <c r="A44" i="3"/>
  <c r="A45" i="3"/>
  <c r="A46" i="3"/>
  <c r="A47" i="3"/>
  <c r="A48" i="3"/>
  <c r="A49" i="3"/>
  <c r="A50" i="3"/>
  <c r="B2" i="1"/>
  <c r="E7" i="1"/>
  <c r="E9" i="1"/>
  <c r="E11" i="1"/>
  <c r="A9" i="3"/>
  <c r="A10" i="3"/>
  <c r="A11" i="3"/>
  <c r="A12" i="3"/>
  <c r="A13" i="3"/>
  <c r="A14" i="3"/>
  <c r="A15" i="3"/>
  <c r="A16" i="3"/>
  <c r="A17" i="3"/>
  <c r="A18" i="3"/>
  <c r="B6" i="1"/>
  <c r="C6" i="1"/>
  <c r="D6" i="1"/>
  <c r="E6" i="1"/>
  <c r="F6" i="1"/>
  <c r="B13" i="1"/>
  <c r="B14" i="1"/>
  <c r="B8" i="1"/>
  <c r="C13" i="1"/>
  <c r="C14" i="1"/>
  <c r="C8" i="1"/>
  <c r="D13" i="1"/>
  <c r="D14" i="1"/>
  <c r="D8" i="1"/>
  <c r="D9" i="1"/>
  <c r="D11" i="1"/>
  <c r="E13" i="1"/>
  <c r="E14" i="1"/>
  <c r="E8" i="1"/>
  <c r="F13" i="1"/>
  <c r="F14" i="1"/>
  <c r="F8" i="1"/>
  <c r="J3" i="2"/>
  <c r="J11" i="2"/>
  <c r="J8" i="2"/>
  <c r="J22" i="2"/>
  <c r="J26" i="2"/>
  <c r="J27" i="2"/>
  <c r="J25" i="2"/>
  <c r="J9" i="2"/>
  <c r="J12" i="2"/>
  <c r="J23" i="2"/>
  <c r="J28" i="2"/>
  <c r="J21" i="2"/>
  <c r="D3" i="2"/>
  <c r="D11" i="2"/>
  <c r="D12" i="2"/>
  <c r="D25" i="2"/>
  <c r="E12" i="2"/>
  <c r="E28" i="2"/>
  <c r="E25" i="2"/>
  <c r="E5" i="2"/>
  <c r="E11" i="2"/>
  <c r="E21" i="2"/>
  <c r="E3" i="2"/>
  <c r="E9" i="2"/>
  <c r="E4" i="2"/>
  <c r="E7" i="2"/>
  <c r="F10" i="1"/>
  <c r="E10" i="1"/>
  <c r="F7" i="1"/>
  <c r="F9" i="1"/>
  <c r="F11" i="1"/>
  <c r="F11" i="2"/>
  <c r="C10" i="1"/>
  <c r="D7" i="1"/>
  <c r="D10" i="1"/>
  <c r="C7" i="1"/>
  <c r="C9" i="1"/>
  <c r="C11" i="1"/>
  <c r="F7" i="2"/>
  <c r="F22" i="2"/>
  <c r="F26" i="2"/>
  <c r="F27" i="2"/>
  <c r="C3" i="2"/>
  <c r="C4" i="2"/>
  <c r="C21" i="2"/>
  <c r="C5" i="2"/>
  <c r="C9" i="2"/>
  <c r="C28" i="2"/>
  <c r="C25" i="2"/>
  <c r="J13" i="2"/>
  <c r="D13" i="2"/>
  <c r="D5" i="2"/>
  <c r="J7" i="2"/>
  <c r="J5" i="2"/>
  <c r="E13" i="2"/>
  <c r="D28" i="2"/>
  <c r="J17" i="2"/>
  <c r="J16" i="2"/>
  <c r="D16" i="2"/>
  <c r="D7" i="2"/>
  <c r="J6" i="2"/>
  <c r="H3" i="2"/>
  <c r="H22" i="2"/>
  <c r="H26" i="2"/>
  <c r="H21" i="2"/>
  <c r="H4" i="2"/>
  <c r="H27" i="2"/>
  <c r="H12" i="2"/>
  <c r="H25" i="2"/>
  <c r="H23" i="2"/>
  <c r="H7" i="2"/>
  <c r="H8" i="2"/>
  <c r="H5" i="2"/>
  <c r="H17" i="2"/>
  <c r="H11" i="2"/>
  <c r="H28" i="2"/>
  <c r="H6" i="2"/>
  <c r="H16" i="2"/>
  <c r="H9" i="2"/>
  <c r="H13" i="2"/>
  <c r="I8" i="2"/>
  <c r="I27" i="2"/>
  <c r="I6" i="2"/>
  <c r="I25" i="2"/>
  <c r="I22" i="2"/>
  <c r="I26" i="2"/>
  <c r="I3" i="2"/>
  <c r="I11" i="2"/>
  <c r="I17" i="2"/>
  <c r="I23" i="2"/>
  <c r="I5" i="2"/>
  <c r="I4" i="2"/>
  <c r="I28" i="2"/>
  <c r="I16" i="2"/>
  <c r="I9" i="2"/>
  <c r="I12" i="2"/>
  <c r="I7" i="2"/>
  <c r="I21" i="2"/>
  <c r="I13" i="2"/>
  <c r="G7" i="2"/>
  <c r="G4" i="2"/>
  <c r="G22" i="2"/>
  <c r="G26" i="2"/>
  <c r="G12" i="2"/>
  <c r="G3" i="2"/>
  <c r="G8" i="2"/>
  <c r="G17" i="2"/>
  <c r="G23" i="2"/>
  <c r="G6" i="2"/>
  <c r="G5" i="2"/>
  <c r="G28" i="2"/>
  <c r="G11" i="2"/>
  <c r="G21" i="2"/>
  <c r="G16" i="2"/>
  <c r="G27" i="2"/>
  <c r="G25" i="2"/>
  <c r="G9" i="2"/>
  <c r="G13" i="2"/>
  <c r="B28" i="2"/>
  <c r="B12" i="2"/>
  <c r="B4" i="2"/>
  <c r="B11" i="2"/>
  <c r="B21" i="2"/>
  <c r="B7" i="2"/>
  <c r="B3" i="2"/>
  <c r="B5" i="2"/>
  <c r="B25" i="2"/>
  <c r="K25" i="2"/>
  <c r="K22" i="2"/>
  <c r="K26" i="2"/>
  <c r="K13" i="2"/>
  <c r="K21" i="2"/>
  <c r="K7" i="2"/>
  <c r="K16" i="2"/>
  <c r="K8" i="2"/>
  <c r="K3" i="2"/>
  <c r="K4" i="2"/>
  <c r="K11" i="2"/>
  <c r="K5" i="2"/>
  <c r="K6" i="2"/>
  <c r="K12" i="2"/>
  <c r="K9" i="2"/>
  <c r="K23" i="2"/>
  <c r="K17" i="2"/>
  <c r="K27" i="2"/>
  <c r="K28" i="2"/>
  <c r="B7" i="1"/>
  <c r="B9" i="1"/>
  <c r="B11" i="1"/>
  <c r="F4" i="2"/>
  <c r="F8" i="2"/>
  <c r="E16" i="2"/>
  <c r="E6" i="2"/>
  <c r="D4" i="2"/>
  <c r="D6" i="2"/>
  <c r="C12" i="2"/>
  <c r="C11" i="2"/>
  <c r="F21" i="2"/>
  <c r="F12" i="2"/>
  <c r="F13" i="2"/>
  <c r="E8" i="2"/>
  <c r="D21" i="2"/>
  <c r="C7" i="2"/>
  <c r="C8" i="2"/>
  <c r="F28" i="2"/>
  <c r="C16" i="2"/>
  <c r="C6" i="2"/>
  <c r="F5" i="2"/>
  <c r="F6" i="2"/>
  <c r="F25" i="2"/>
  <c r="D8" i="2"/>
  <c r="D17" i="2"/>
  <c r="L3" i="2"/>
  <c r="D9" i="2"/>
  <c r="E17" i="2"/>
  <c r="L4" i="2"/>
  <c r="L12" i="2"/>
  <c r="B35" i="2"/>
  <c r="C35" i="2"/>
  <c r="B8" i="2"/>
  <c r="L8" i="2"/>
  <c r="B39" i="2"/>
  <c r="L7" i="2"/>
  <c r="B9" i="2"/>
  <c r="C32" i="2"/>
  <c r="B32" i="2"/>
  <c r="B6" i="2"/>
  <c r="L6" i="2"/>
  <c r="B38" i="2"/>
  <c r="F17" i="2"/>
  <c r="B46" i="2"/>
  <c r="B13" i="2"/>
  <c r="F9" i="2"/>
  <c r="B45" i="2"/>
  <c r="L5" i="2"/>
  <c r="C13" i="2"/>
  <c r="C17" i="2"/>
  <c r="B16" i="2"/>
  <c r="C34" i="2"/>
  <c r="L11" i="2"/>
  <c r="B33" i="2"/>
  <c r="L9" i="2"/>
  <c r="B40" i="2"/>
  <c r="C40" i="2"/>
  <c r="C38" i="2"/>
  <c r="L13" i="2"/>
  <c r="B17" i="2"/>
  <c r="B36" i="2"/>
  <c r="C33" i="2"/>
  <c r="C36" i="2"/>
  <c r="B34" i="2"/>
  <c r="C39" i="2"/>
  <c r="B43" i="2"/>
  <c r="B37" i="2"/>
  <c r="B42" i="2"/>
  <c r="B41" i="2"/>
  <c r="E26" i="2"/>
  <c r="E27" i="2"/>
  <c r="E23" i="2"/>
  <c r="C23" i="2"/>
  <c r="C26" i="2"/>
  <c r="C27" i="2"/>
  <c r="D26" i="2"/>
  <c r="D27" i="2"/>
  <c r="D23" i="2"/>
  <c r="B26" i="2"/>
  <c r="B23" i="2"/>
  <c r="F23" i="2"/>
  <c r="B27" i="2"/>
  <c r="B47" i="2"/>
  <c r="B48" i="2"/>
  <c r="B49" i="2"/>
</calcChain>
</file>

<file path=xl/comments1.xml><?xml version="1.0" encoding="utf-8"?>
<comments xmlns="http://schemas.openxmlformats.org/spreadsheetml/2006/main">
  <authors>
    <author>A satisfied Microsoft Office user</author>
    <author>Aswath Damodaran</author>
  </authors>
  <commentList>
    <comment ref="E2" authorId="0" shapeId="0">
      <text>
        <r>
          <rPr>
            <sz val="9"/>
            <color indexed="8"/>
            <rFont val="Geneva"/>
            <family val="2"/>
            <charset val="1"/>
          </rPr>
          <t>Enter the number of years of data you have (upto 10 years)</t>
        </r>
      </text>
    </comment>
    <comment ref="A7" authorId="0" shapeId="0">
      <text>
        <r>
          <rPr>
            <sz val="9"/>
            <color indexed="8"/>
            <rFont val="Geneva"/>
            <family val="2"/>
            <charset val="1"/>
          </rPr>
          <t>(Do not delete any rows; if you have fewer years of data, leave the last few rows untouched. I will ignore them)</t>
        </r>
      </text>
    </comment>
    <comment ref="A8" authorId="0" shapeId="0">
      <text>
        <r>
          <rPr>
            <sz val="9"/>
            <color indexed="81"/>
            <rFont val="Geneva"/>
            <family val="2"/>
            <charset val="1"/>
          </rPr>
          <t>Start with the earliest year first.</t>
        </r>
      </text>
    </comment>
    <comment ref="B8" authorId="0" shapeId="0">
      <text>
        <r>
          <rPr>
            <sz val="9"/>
            <color indexed="8"/>
            <rFont val="Geneva"/>
            <family val="2"/>
            <charset val="1"/>
          </rPr>
          <t>Net income before extraordinary charges in each year.</t>
        </r>
      </text>
    </comment>
    <comment ref="C8" authorId="0" shapeId="0">
      <text>
        <r>
          <rPr>
            <sz val="9"/>
            <color indexed="8"/>
            <rFont val="Geneva"/>
            <family val="2"/>
            <charset val="1"/>
          </rPr>
          <t>Enter depreciation, amortization and other non-cash charges. (Check your statement of cash flows)</t>
        </r>
      </text>
    </comment>
    <comment ref="D8" authorId="0" shapeId="0">
      <text>
        <r>
          <rPr>
            <sz val="9"/>
            <color indexed="8"/>
            <rFont val="Geneva"/>
            <family val="2"/>
            <charset val="1"/>
          </rPr>
          <t>Capital expenditures from each year, including acquisitions of other firms. You can sometimes use the total under investing activities in the statement of cash flows, but check the activities to make sure that they relate to operations. (Enter as a positive number)</t>
        </r>
      </text>
    </comment>
    <comment ref="E8" authorId="0" shapeId="0">
      <text>
        <r>
          <rPr>
            <sz val="9"/>
            <color indexed="8"/>
            <rFont val="Geneva"/>
            <family val="2"/>
            <charset val="1"/>
          </rPr>
          <t xml:space="preserve">Enter changes in non-cash working capital. 
</t>
        </r>
        <r>
          <rPr>
            <i/>
            <sz val="9"/>
            <color indexed="8"/>
            <rFont val="Geneva"/>
            <family val="2"/>
            <charset val="1"/>
          </rPr>
          <t>Using Balance Sheet:</t>
        </r>
        <r>
          <rPr>
            <sz val="9"/>
            <color indexed="8"/>
            <rFont val="Geneva"/>
            <family val="2"/>
            <charset val="1"/>
          </rPr>
          <t xml:space="preserve">
</t>
        </r>
        <r>
          <rPr>
            <sz val="9"/>
            <color indexed="8"/>
            <rFont val="Geneva"/>
            <family val="2"/>
            <charset val="1"/>
          </rPr>
          <t xml:space="preserve">= Non-cash Working capital this year - Non-cash Working capital last year
</t>
        </r>
        <r>
          <rPr>
            <i/>
            <sz val="9"/>
            <color indexed="8"/>
            <rFont val="Geneva"/>
            <family val="2"/>
            <charset val="1"/>
          </rPr>
          <t>Using statement of cash flows</t>
        </r>
        <r>
          <rPr>
            <sz val="9"/>
            <color indexed="8"/>
            <rFont val="Geneva"/>
            <family val="2"/>
            <charset val="1"/>
          </rPr>
          <t xml:space="preserve">
</t>
        </r>
        <r>
          <rPr>
            <sz val="9"/>
            <color indexed="8"/>
            <rFont val="Geneva"/>
            <family val="2"/>
            <charset val="1"/>
          </rPr>
          <t xml:space="preserve">= - (Change in non-cash working capital)
</t>
        </r>
        <r>
          <rPr>
            <sz val="9"/>
            <color indexed="8"/>
            <rFont val="Geneva"/>
            <family val="2"/>
            <charset val="1"/>
          </rPr>
          <t>Please remember to reverse the sign. An increase (decrease) in non-cash working capital should be entered a positive (negative) number.</t>
        </r>
      </text>
    </comment>
    <comment ref="F8" authorId="1" shapeId="0">
      <text>
        <r>
          <rPr>
            <b/>
            <sz val="9"/>
            <color indexed="8"/>
            <rFont val="Geneva"/>
            <family val="2"/>
            <charset val="1"/>
          </rPr>
          <t>Aswath Damodaran:</t>
        </r>
        <r>
          <rPr>
            <sz val="9"/>
            <color indexed="8"/>
            <rFont val="Geneva"/>
            <family val="2"/>
            <charset val="1"/>
          </rPr>
          <t xml:space="preserve">
</t>
        </r>
        <r>
          <rPr>
            <sz val="9"/>
            <color indexed="8"/>
            <rFont val="Geneva"/>
            <family val="2"/>
            <charset val="1"/>
          </rPr>
          <t xml:space="preserve">Enter the change in interest-bearing debt from the previous year. 
</t>
        </r>
        <r>
          <rPr>
            <sz val="9"/>
            <color indexed="8"/>
            <rFont val="Geneva"/>
            <family val="2"/>
            <charset val="1"/>
          </rPr>
          <t xml:space="preserve">Using balance sheets:
</t>
        </r>
        <r>
          <rPr>
            <sz val="9"/>
            <color indexed="8"/>
            <rFont val="Geneva"/>
            <family val="2"/>
            <charset val="1"/>
          </rPr>
          <t xml:space="preserve">Interest-bearing debt this year - interest-bearing debt last year
</t>
        </r>
        <r>
          <rPr>
            <sz val="9"/>
            <color indexed="8"/>
            <rFont val="Geneva"/>
            <family val="2"/>
            <charset val="1"/>
          </rPr>
          <t xml:space="preserve">Using statement of cash flow
</t>
        </r>
        <r>
          <rPr>
            <sz val="9"/>
            <color indexed="8"/>
            <rFont val="Geneva"/>
            <family val="2"/>
            <charset val="1"/>
          </rPr>
          <t xml:space="preserve">= (Increase in LT Borrowing - Decrease in LT Borrowing + Increase in ST Borrowing - Decrease in ST Borrowing) </t>
        </r>
      </text>
    </comment>
    <comment ref="B21" authorId="0" shapeId="0">
      <text>
        <r>
          <rPr>
            <sz val="9"/>
            <color indexed="8"/>
            <rFont val="Geneva"/>
            <family val="2"/>
            <charset val="1"/>
          </rPr>
          <t>Total dollar dividends paid to common stockholders (not preferred) during the period. Should be in statement of cash flows. (Please remove the negative sign, if you are pulling this number from the statement of cash flows)</t>
        </r>
      </text>
    </comment>
    <comment ref="C21" authorId="0" shapeId="0">
      <text>
        <r>
          <rPr>
            <sz val="9"/>
            <color indexed="8"/>
            <rFont val="Geneva"/>
            <family val="2"/>
            <charset val="1"/>
          </rPr>
          <t>Enter the stock buybacks  in statement of cashflows. Do not net out stock issuances, if there are any. (Make sure that you don't enter a negative sign, if you are pulling this number from the statement of cash flows).</t>
        </r>
      </text>
    </comment>
    <comment ref="D37" authorId="0" shapeId="0">
      <text>
        <r>
          <rPr>
            <sz val="9"/>
            <color indexed="81"/>
            <rFont val="Geneva"/>
            <family val="2"/>
            <charset val="1"/>
          </rPr>
          <t>Enter the beta of the company during the period. If you have a bottom up beta, use it. If not, use a regression beta.</t>
        </r>
      </text>
    </comment>
    <comment ref="B40" authorId="0" shapeId="0">
      <text>
        <r>
          <rPr>
            <sz val="9"/>
            <color indexed="81"/>
            <rFont val="Geneva"/>
            <family val="2"/>
            <charset val="1"/>
          </rPr>
          <t>Enter the book value of common equity for each year (preferably at start) in the sample. If you want beginning of year equity, use the previous year's equity; for instance, enter the book value of equity for 1997 and the book value of equity for 1998…. You can also compute the average book equity each year...</t>
        </r>
      </text>
    </comment>
    <comment ref="C40" authorId="0" shapeId="0">
      <text>
        <r>
          <rPr>
            <sz val="9"/>
            <color indexed="81"/>
            <rFont val="Geneva"/>
            <family val="2"/>
            <charset val="1"/>
          </rPr>
          <t>This is the return you would have made on investing in the stock, inclusive of dividends and price appreciation.</t>
        </r>
      </text>
    </comment>
    <comment ref="D40" authorId="0" shapeId="0">
      <text>
        <r>
          <rPr>
            <sz val="9"/>
            <color indexed="8"/>
            <rFont val="Geneva"/>
            <family val="2"/>
            <charset val="1"/>
          </rPr>
          <t>Enter the treasury bill rate at the start of each period. This is available in the attached worksheet.</t>
        </r>
      </text>
    </comment>
    <comment ref="E40" authorId="0" shapeId="0">
      <text>
        <r>
          <rPr>
            <sz val="9"/>
            <color indexed="81"/>
            <rFont val="Geneva"/>
            <family val="2"/>
            <charset val="1"/>
          </rPr>
          <t>This is the return on the stock index, each year of the analysis. This is also available in the attached worksheet.</t>
        </r>
      </text>
    </comment>
    <comment ref="E55" authorId="0" shapeId="0">
      <text>
        <r>
          <rPr>
            <sz val="9"/>
            <color indexed="8"/>
            <rFont val="Geneva"/>
            <family val="2"/>
            <charset val="1"/>
          </rPr>
          <t xml:space="preserve">Projected growth rate in sales; if unavailable, look at historical growth.
</t>
        </r>
      </text>
    </comment>
    <comment ref="E56" authorId="0" shapeId="0">
      <text>
        <r>
          <rPr>
            <sz val="9"/>
            <color indexed="81"/>
            <rFont val="Geneva"/>
            <family val="2"/>
            <charset val="1"/>
          </rPr>
          <t>Enter projected growth in EPS, estimated by analysts for next 5 years (zacks.com)</t>
        </r>
      </text>
    </comment>
    <comment ref="E57" authorId="0" shapeId="0">
      <text>
        <r>
          <rPr>
            <sz val="9"/>
            <color indexed="8"/>
            <rFont val="Geneva"/>
            <family val="2"/>
            <charset val="1"/>
          </rPr>
          <t>Set equal to growth in revenues, if you do not have any information on growth.</t>
        </r>
      </text>
    </comment>
    <comment ref="E58" authorId="0" shapeId="0">
      <text>
        <r>
          <rPr>
            <sz val="9"/>
            <color indexed="81"/>
            <rFont val="Geneva"/>
            <family val="2"/>
            <charset val="1"/>
          </rPr>
          <t>Generally, set equal to the growth rate in cap ex. If cap ex is significantly higher than depreciation, this growth rate can be set higher than cap ex growth.</t>
        </r>
      </text>
    </comment>
    <comment ref="E59" authorId="1" shapeId="0">
      <text>
        <r>
          <rPr>
            <b/>
            <sz val="9"/>
            <color indexed="81"/>
            <rFont val="Geneva"/>
            <family val="2"/>
            <charset val="1"/>
          </rPr>
          <t>Aswath Damodaran:</t>
        </r>
        <r>
          <rPr>
            <sz val="9"/>
            <color indexed="81"/>
            <rFont val="Geneva"/>
            <family val="2"/>
            <charset val="1"/>
          </rPr>
          <t xml:space="preserve">
You can use the estimate from the most recent year, or use the industry average.</t>
        </r>
      </text>
    </comment>
    <comment ref="E60" authorId="0" shapeId="0">
      <text>
        <r>
          <rPr>
            <sz val="9"/>
            <color indexed="81"/>
            <rFont val="Geneva"/>
            <family val="2"/>
            <charset val="1"/>
          </rPr>
          <t>Current year's revenues</t>
        </r>
      </text>
    </comment>
    <comment ref="E61" authorId="1" shapeId="0">
      <text>
        <r>
          <rPr>
            <b/>
            <sz val="9"/>
            <color indexed="81"/>
            <rFont val="Geneva"/>
            <family val="2"/>
            <charset val="1"/>
          </rPr>
          <t>Aswath Damodaran:</t>
        </r>
        <r>
          <rPr>
            <sz val="9"/>
            <color indexed="81"/>
            <rFont val="Geneva"/>
            <family val="2"/>
            <charset val="1"/>
          </rPr>
          <t xml:space="preserve">
If your net income in the current year is not normal or negative, this is your change to replace it with a normalized value.</t>
        </r>
      </text>
    </comment>
    <comment ref="E62" authorId="1" shapeId="0">
      <text>
        <r>
          <rPr>
            <b/>
            <sz val="9"/>
            <color indexed="81"/>
            <rFont val="Geneva"/>
            <family val="2"/>
            <charset val="1"/>
          </rPr>
          <t>Aswath Damodaran:</t>
        </r>
        <r>
          <rPr>
            <sz val="9"/>
            <color indexed="81"/>
            <rFont val="Geneva"/>
            <family val="2"/>
            <charset val="1"/>
          </rPr>
          <t xml:space="preserve">
If capital expenditures are volatile, you can average it out over time and use a normalized value in here.</t>
        </r>
      </text>
    </comment>
    <comment ref="D66" authorId="0" shapeId="0">
      <text>
        <r>
          <rPr>
            <sz val="9"/>
            <color indexed="81"/>
            <rFont val="Geneva"/>
            <family val="2"/>
            <charset val="1"/>
          </rPr>
          <t>This growth rate can reflect expected growth in earnings and management targets for dividends.</t>
        </r>
      </text>
    </comment>
  </commentList>
</comments>
</file>

<file path=xl/comments2.xml><?xml version="1.0" encoding="utf-8"?>
<comments xmlns="http://schemas.openxmlformats.org/spreadsheetml/2006/main">
  <authors>
    <author>Aswath Damodaran</author>
  </authors>
  <commentList>
    <comment ref="A22" authorId="0" shapeId="0">
      <text>
        <r>
          <rPr>
            <b/>
            <sz val="9"/>
            <color indexed="81"/>
            <rFont val="Geneva"/>
            <family val="2"/>
            <charset val="1"/>
          </rPr>
          <t>Aswath Damodaran:</t>
        </r>
        <r>
          <rPr>
            <sz val="9"/>
            <color indexed="81"/>
            <rFont val="Geneva"/>
            <family val="2"/>
            <charset val="1"/>
          </rPr>
          <t xml:space="preserve">
This is the expected return from the CAPM, using the beta, riskfre rates and return on the market each period. Note that it can be a negative number if the market went down during the year.</t>
        </r>
      </text>
    </comment>
  </commentList>
</comments>
</file>

<file path=xl/sharedStrings.xml><?xml version="1.0" encoding="utf-8"?>
<sst xmlns="http://schemas.openxmlformats.org/spreadsheetml/2006/main" count="141" uniqueCount="128">
  <si>
    <t>2. To provide an assessment of project quality (ROE compared to cost of equity) and stock price performance over the period.</t>
  </si>
  <si>
    <t>T.Bill rate</t>
    <phoneticPr fontId="11" type="noConversion"/>
  </si>
  <si>
    <t>1. Forecasted FCFE for next 5 years</t>
  </si>
  <si>
    <t>2. Forecasted dividends for next 5 years</t>
  </si>
  <si>
    <t>3. Cash available each year for stock buybacks for next 5 years.</t>
  </si>
  <si>
    <t>Required Return</t>
  </si>
  <si>
    <t xml:space="preserve">The following section of the dividend policy analysis looks at the quality of your firm's investments and the risk-adjusted, market-adjusted performance of your stock over the period. If </t>
    <phoneticPr fontId="11" type="noConversion"/>
  </si>
  <si>
    <t>you have a measure of excess returns (ROIC- Cost of capital) or  a Jensen's alpha computed for your stock, you can use those measures instead of the ones computed here.</t>
    <phoneticPr fontId="11" type="noConversion"/>
  </si>
  <si>
    <t>Section 1: Inputs for estimating Dividends and FCFE</t>
    <phoneticPr fontId="11" type="noConversion"/>
  </si>
  <si>
    <t>Section 2: Assessing Investment Quality and Stock Performance</t>
    <phoneticPr fontId="11" type="noConversion"/>
  </si>
  <si>
    <t>Return on Stock</t>
  </si>
  <si>
    <t>FORECASTED FCFE AND DIVIDENDS</t>
  </si>
  <si>
    <t>Expected growth in Revenues over next 5 years =</t>
  </si>
  <si>
    <t>Expected growth in Net Income over next 5 years =</t>
  </si>
  <si>
    <t>Expected growth in capital expenditures in next 5 years =</t>
  </si>
  <si>
    <t>Expected growth in depreciation in next 5 years =</t>
  </si>
  <si>
    <t>Enter revenues from most recent year =</t>
  </si>
  <si>
    <t>Expected growth in dividends</t>
  </si>
  <si>
    <t>Forecasted FCFE</t>
  </si>
  <si>
    <t>Net Income</t>
  </si>
  <si>
    <t xml:space="preserve"> - (Cap Ex - Deprec'n) (1 - DR)</t>
  </si>
  <si>
    <t xml:space="preserve"> -  Change in Working Capital (1 - DR)</t>
  </si>
  <si>
    <t>FCFE</t>
  </si>
  <si>
    <t>Expected Dividends</t>
  </si>
  <si>
    <t>Debt Ratio used in forecasting FCFE =</t>
  </si>
  <si>
    <t>Enter non-cash working capital as a percent of revenues</t>
  </si>
  <si>
    <t>Analysis of Past Dividends</t>
  </si>
  <si>
    <t>Use less years, if you do not have the data.</t>
  </si>
  <si>
    <t>Enter depreciation in most recent year =</t>
  </si>
  <si>
    <t>Enter net income from most recent year or normalized value =</t>
  </si>
  <si>
    <t>Enter capital expenditures from most recent year or normalized value =</t>
  </si>
  <si>
    <t>Enter dividends paid in the most recent year =</t>
  </si>
  <si>
    <t>Analysis of Dividend Policy</t>
  </si>
  <si>
    <t>Objective</t>
  </si>
  <si>
    <t>1. To compare how much a firm has returned to its stockholder historically (up to 10 years) with how much it could have returned.</t>
  </si>
  <si>
    <t>3. To provide forecasts of how much cash the firm will have available for stock buybacks in the future</t>
  </si>
  <si>
    <t>Inputs needed</t>
  </si>
  <si>
    <t>e. Dividends: Only cash dividends should be shown here (ignore stock dividends)</t>
  </si>
  <si>
    <t>f. Stock Buybacks: Include the cash flow associated with stock buybacks.</t>
  </si>
  <si>
    <t>For project assessment and stock price performance analysis</t>
  </si>
  <si>
    <t>a. Expected growth rates in net income, dividends, depreciation, capital expenditures and revenues</t>
  </si>
  <si>
    <t>c. Debt as a percent of reinvestment, looking forward. As a default, you can use your historical average.</t>
  </si>
  <si>
    <t>Output</t>
  </si>
  <si>
    <t>Historical Analysis</t>
  </si>
  <si>
    <t>1. FCFE and Cash Returned each year for the historical period</t>
  </si>
  <si>
    <t>2. Returns on equity, the stock and your required return each year for the historical period</t>
  </si>
  <si>
    <t>3. Averages of both over the entire period</t>
  </si>
  <si>
    <t>Year</t>
  </si>
  <si>
    <t xml:space="preserve">For historical analysis: </t>
  </si>
  <si>
    <t>For forecasts</t>
  </si>
  <si>
    <t>b. Working capital as a percent of revenues</t>
  </si>
  <si>
    <t>Enter the beta for the equity of this firm:</t>
  </si>
  <si>
    <t>BV: Equity</t>
  </si>
  <si>
    <t>Returns on stock</t>
  </si>
  <si>
    <t>Return on market</t>
  </si>
  <si>
    <t>Dividends</t>
  </si>
  <si>
    <t xml:space="preserve"> + Equity Repurchases</t>
  </si>
  <si>
    <t>Forecasts</t>
  </si>
  <si>
    <t>Equity Repurchases (in $)</t>
  </si>
  <si>
    <t>The last set of inputs to this analysis relate to project choice and performance:</t>
  </si>
  <si>
    <t>Cash available for stock buybacks</t>
  </si>
  <si>
    <t>Revenues</t>
  </si>
  <si>
    <t>Non-cash WC</t>
  </si>
  <si>
    <t>How many years of historical data do you have available?</t>
  </si>
  <si>
    <t>(number of years)</t>
  </si>
  <si>
    <t xml:space="preserve"> = Cash to Stockholders</t>
  </si>
  <si>
    <t>Dividend Ratios</t>
  </si>
  <si>
    <t>Payout Ratio</t>
  </si>
  <si>
    <t>Cash Paid as % of FCFE</t>
  </si>
  <si>
    <t>Performance Ratios</t>
  </si>
  <si>
    <t>1. Accounting Measure</t>
  </si>
  <si>
    <t>ROE</t>
  </si>
  <si>
    <t>Required rate of return</t>
  </si>
  <si>
    <t>ROE - Cost of Equity</t>
  </si>
  <si>
    <t>2. Stock Performance Measure</t>
  </si>
  <si>
    <t>Jensen's alpha</t>
  </si>
  <si>
    <t>Index</t>
  </si>
  <si>
    <t>Average</t>
  </si>
  <si>
    <t>Dividend Payout Ratio</t>
  </si>
  <si>
    <t>ROE - Required return</t>
  </si>
  <si>
    <t>Actual - Required Return</t>
  </si>
  <si>
    <t>Chg in Non-Cash WC</t>
  </si>
  <si>
    <t>Net Debt Issued</t>
  </si>
  <si>
    <t xml:space="preserve"> + Net Debt Issued</t>
  </si>
  <si>
    <t xml:space="preserve"> - (Cap. Exp - Depr)</t>
  </si>
  <si>
    <t xml:space="preserve"> - ∂ Working Capital</t>
  </si>
  <si>
    <t>Use these inputs if you want to make projection of FCFE for the future</t>
  </si>
  <si>
    <t>b. Depreciation, amortization and other non-cash charges</t>
  </si>
  <si>
    <t xml:space="preserve">a. Net Income </t>
  </si>
  <si>
    <t>c. Capital expenditures: Please include acquisitions as part of capital expenditures</t>
  </si>
  <si>
    <t>d. Non-cash working capital changes</t>
  </si>
  <si>
    <t>In entering these numbers, please make sure that you get the signs right (check the comment box on each of these inputs)</t>
  </si>
  <si>
    <t>Section 3: Inputs for forecasting future dividends and FCFE</t>
  </si>
  <si>
    <t>Dividends (aggregate)</t>
  </si>
  <si>
    <t>Depreciation &amp; Amortization</t>
  </si>
  <si>
    <t>Annual return on stock</t>
  </si>
  <si>
    <t>3-month T.Bill</t>
  </si>
  <si>
    <t>have these numbers, leave them at the US levels.</t>
  </si>
  <si>
    <t>Note: I have the numbers for the US in the Historical stock &amp; t.bill worksheet.</t>
  </si>
  <si>
    <t>Please match up the annual data for the years for your company.</t>
  </si>
  <si>
    <t>If you are in foreign market and don't</t>
  </si>
  <si>
    <t>No</t>
  </si>
  <si>
    <t>Aggregate</t>
  </si>
  <si>
    <t>Free CF to Equity (pre-debt)</t>
  </si>
  <si>
    <t>Do you want to want to change this ratio to a target debt ratio?</t>
  </si>
  <si>
    <t>If yes, enter the target debt ratio to use =</t>
  </si>
  <si>
    <t>Current debt to capital ratio =</t>
  </si>
  <si>
    <t>Yes</t>
  </si>
  <si>
    <t>Free CF to Equity (target debt ratio)</t>
  </si>
  <si>
    <t>Stock Buybacks</t>
  </si>
  <si>
    <t>Dividends + Buybacks</t>
  </si>
  <si>
    <t>Cash Payout Ratio</t>
  </si>
  <si>
    <t>Free CF to Equity (actual debt)</t>
  </si>
  <si>
    <t>Cash payout as % of target FCFE</t>
  </si>
  <si>
    <t>Cash payout as % of pre-debt FCFE</t>
  </si>
  <si>
    <t>Cash payout as % of actual FCFE</t>
  </si>
  <si>
    <t xml:space="preserve"> = Free CF to Equity (actual debt)</t>
  </si>
  <si>
    <t>Enter the following data for the years for which you have data (starting with the most recent year of data and working backwards).</t>
  </si>
  <si>
    <t>Enter the dollar dividends paid and equity repurchases for each year of historical data (staring with most recent year): (Equity repurchases are in the statement of cash flows)</t>
  </si>
  <si>
    <t>Enter the following data relating to performance (starting with most recent year): (Make sure that you update the riskfree rate and return on the market from the attached worksheet to reflect the time period for your data)</t>
  </si>
  <si>
    <t>S&amp;P 500 (includes dividends)</t>
  </si>
  <si>
    <r>
      <rPr>
        <b/>
        <sz val="14"/>
        <rFont val="Times"/>
        <family val="1"/>
      </rPr>
      <t>a. Beta</t>
    </r>
    <r>
      <rPr>
        <sz val="14"/>
        <rFont val="Times"/>
        <family val="1"/>
      </rPr>
      <t>: You should really use an average beta over the historical period, but go ahead and use your current beta if you do not have this.</t>
    </r>
  </si>
  <si>
    <r>
      <rPr>
        <b/>
        <sz val="14"/>
        <rFont val="Times"/>
        <family val="1"/>
      </rPr>
      <t>b. Book Value of Equity</t>
    </r>
    <r>
      <rPr>
        <sz val="14"/>
        <rFont val="Times"/>
        <family val="1"/>
      </rPr>
      <t xml:space="preserve">: To compute return on equity. </t>
    </r>
  </si>
  <si>
    <r>
      <rPr>
        <b/>
        <sz val="14"/>
        <rFont val="Times"/>
        <family val="1"/>
      </rPr>
      <t>c. Return on the stock</t>
    </r>
    <r>
      <rPr>
        <sz val="14"/>
        <rFont val="Times"/>
        <family val="1"/>
      </rPr>
      <t>: This is the total return you would have made as an investor: It includes price appreciation + dividend yield each year</t>
    </r>
  </si>
  <si>
    <r>
      <rPr>
        <b/>
        <sz val="14"/>
        <rFont val="Times"/>
        <family val="1"/>
      </rPr>
      <t>d. Short term Riskfree rate</t>
    </r>
    <r>
      <rPr>
        <sz val="14"/>
        <rFont val="Times"/>
        <family val="1"/>
      </rPr>
      <t>: The short term government security rate at the start of each year (use the T.Bill rate from the worksheet)</t>
    </r>
  </si>
  <si>
    <r>
      <rPr>
        <b/>
        <sz val="14"/>
        <rFont val="Times"/>
        <family val="1"/>
      </rPr>
      <t>e. Return on Stock Market</t>
    </r>
    <r>
      <rPr>
        <sz val="14"/>
        <rFont val="Times"/>
        <family val="1"/>
      </rPr>
      <t>: This is the total return on the stock market each year. You can get the numbers from the historical stocks and T.Bills worksheet.</t>
    </r>
  </si>
  <si>
    <t>US T. Bond</t>
  </si>
  <si>
    <t>Capital Spending &amp; Cash Acquisitions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</si>
</sst>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quot;$&quot;#,##0_);[Red]\(&quot;$&quot;#,##0\)"/>
    <numFmt numFmtId="8" formatCode="&quot;$&quot;#,##0.00_);[Red]\(&quot;$&quot;#,##0.00\)"/>
  </numFmts>
  <fonts count="27">
    <font>
      <sz val="10"/>
      <name val="Geneva"/>
      <charset val="1"/>
    </font>
    <font>
      <sz val="10"/>
      <name val="Geneva"/>
      <family val="2"/>
      <charset val="1"/>
    </font>
    <font>
      <sz val="10"/>
      <name val="Times"/>
      <family val="1"/>
    </font>
    <font>
      <i/>
      <sz val="10"/>
      <name val="Times"/>
      <family val="1"/>
    </font>
    <font>
      <sz val="10"/>
      <name val="Geneva"/>
      <family val="2"/>
      <charset val="1"/>
    </font>
    <font>
      <sz val="9"/>
      <color indexed="81"/>
      <name val="Geneva"/>
      <family val="2"/>
      <charset val="1"/>
    </font>
    <font>
      <b/>
      <sz val="9"/>
      <color indexed="81"/>
      <name val="Geneva"/>
      <family val="2"/>
      <charset val="1"/>
    </font>
    <font>
      <b/>
      <sz val="14"/>
      <name val="Times"/>
      <family val="1"/>
    </font>
    <font>
      <sz val="14"/>
      <name val="Times"/>
      <family val="1"/>
    </font>
    <font>
      <b/>
      <sz val="14"/>
      <name val="Geneva"/>
      <family val="2"/>
      <charset val="1"/>
    </font>
    <font>
      <sz val="8"/>
      <name val="Geneva"/>
      <family val="2"/>
      <charset val="1"/>
    </font>
    <font>
      <sz val="8"/>
      <name val="Verdana"/>
      <family val="2"/>
    </font>
    <font>
      <sz val="14"/>
      <color indexed="10"/>
      <name val="Times"/>
      <family val="1"/>
    </font>
    <font>
      <i/>
      <sz val="14"/>
      <name val="Times"/>
      <family val="1"/>
    </font>
    <font>
      <sz val="9"/>
      <color indexed="8"/>
      <name val="Geneva"/>
      <family val="2"/>
      <charset val="1"/>
    </font>
    <font>
      <sz val="9"/>
      <color indexed="8"/>
      <name val="Geneva"/>
      <family val="2"/>
      <charset val="1"/>
    </font>
    <font>
      <i/>
      <sz val="9"/>
      <color indexed="8"/>
      <name val="Geneva"/>
      <family val="2"/>
      <charset val="1"/>
    </font>
    <font>
      <b/>
      <sz val="9"/>
      <color indexed="8"/>
      <name val="Geneva"/>
      <family val="2"/>
      <charset val="1"/>
    </font>
    <font>
      <b/>
      <sz val="12"/>
      <name val="Helvetica"/>
      <family val="2"/>
    </font>
    <font>
      <sz val="12"/>
      <name val="Helvetica"/>
      <family val="2"/>
    </font>
    <font>
      <i/>
      <sz val="12"/>
      <name val="Helvetica"/>
      <family val="2"/>
    </font>
    <font>
      <sz val="12"/>
      <color theme="1"/>
      <name val="Calibri"/>
      <family val="2"/>
      <scheme val="minor"/>
    </font>
    <font>
      <i/>
      <sz val="12"/>
      <name val="Calibri"/>
      <family val="2"/>
      <scheme val="minor"/>
    </font>
    <font>
      <sz val="12"/>
      <name val="Calibri"/>
      <family val="2"/>
      <scheme val="minor"/>
    </font>
    <font>
      <b/>
      <sz val="12"/>
      <name val="Calibri"/>
      <family val="2"/>
      <scheme val="minor"/>
    </font>
    <font>
      <b/>
      <i/>
      <sz val="12"/>
      <color theme="0"/>
      <name val="Calibri"/>
      <family val="2"/>
      <scheme val="minor"/>
    </font>
    <font>
      <sz val="10"/>
      <color theme="0"/>
      <name val="Geneva"/>
      <family val="2"/>
      <charset val="1"/>
    </font>
  </fonts>
  <fills count="7">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rgb="FFCCFFCC"/>
        <bgColor indexed="64"/>
      </patternFill>
    </fill>
    <fill>
      <patternFill patternType="solid">
        <fgColor theme="0" tint="-0.14999847407452621"/>
        <bgColor theme="0" tint="-0.14999847407452621"/>
      </patternFill>
    </fill>
    <fill>
      <patternFill patternType="solid">
        <fgColor theme="2"/>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bottom style="thin">
        <color indexed="64"/>
      </bottom>
      <diagonal/>
    </border>
    <border>
      <left style="thin">
        <color indexed="64"/>
      </left>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theme="1"/>
      </bottom>
      <diagonal/>
    </border>
  </borders>
  <cellStyleXfs count="3">
    <xf numFmtId="0" fontId="0" fillId="0" borderId="0"/>
    <xf numFmtId="8" fontId="1" fillId="0" borderId="0" applyFont="0" applyFill="0" applyBorder="0" applyAlignment="0" applyProtection="0"/>
    <xf numFmtId="9" fontId="1" fillId="0" borderId="0" applyFont="0" applyFill="0" applyBorder="0" applyAlignment="0" applyProtection="0"/>
  </cellStyleXfs>
  <cellXfs count="134">
    <xf numFmtId="0" fontId="0" fillId="0" borderId="0" xfId="0"/>
    <xf numFmtId="0" fontId="2" fillId="0" borderId="0" xfId="0" applyFont="1"/>
    <xf numFmtId="0" fontId="3" fillId="0" borderId="0" xfId="0" applyFont="1"/>
    <xf numFmtId="0" fontId="2" fillId="0" borderId="0" xfId="0" applyFont="1" applyAlignment="1">
      <alignment horizontal="center"/>
    </xf>
    <xf numFmtId="0" fontId="2" fillId="0" borderId="1" xfId="0" applyFont="1" applyBorder="1"/>
    <xf numFmtId="0" fontId="2" fillId="0" borderId="0" xfId="0" applyFont="1" applyAlignment="1">
      <alignment horizontal="left"/>
    </xf>
    <xf numFmtId="0" fontId="4" fillId="0" borderId="0" xfId="0" applyFont="1"/>
    <xf numFmtId="0" fontId="2" fillId="0" borderId="2" xfId="0" applyFont="1" applyBorder="1" applyAlignment="1">
      <alignment horizontal="center"/>
    </xf>
    <xf numFmtId="9" fontId="2" fillId="0" borderId="0" xfId="1" applyNumberFormat="1" applyFont="1" applyBorder="1"/>
    <xf numFmtId="0" fontId="2" fillId="0" borderId="3" xfId="0" applyFont="1" applyBorder="1"/>
    <xf numFmtId="0" fontId="2" fillId="0" borderId="4" xfId="0" applyFont="1" applyBorder="1"/>
    <xf numFmtId="0" fontId="2" fillId="0" borderId="2" xfId="0" applyFont="1" applyBorder="1"/>
    <xf numFmtId="0" fontId="3" fillId="0" borderId="5" xfId="0" applyFont="1" applyBorder="1" applyAlignment="1">
      <alignment horizontal="centerContinuous"/>
    </xf>
    <xf numFmtId="0" fontId="3" fillId="0" borderId="6" xfId="0" applyFont="1" applyBorder="1" applyAlignment="1">
      <alignment horizontal="centerContinuous"/>
    </xf>
    <xf numFmtId="0" fontId="3" fillId="0" borderId="7" xfId="0" applyFont="1" applyBorder="1" applyAlignment="1">
      <alignment horizontal="centerContinuous"/>
    </xf>
    <xf numFmtId="0" fontId="7" fillId="0" borderId="0" xfId="0" applyFont="1" applyAlignment="1">
      <alignment horizontal="centerContinuous"/>
    </xf>
    <xf numFmtId="0" fontId="8" fillId="0" borderId="0" xfId="0" applyFont="1"/>
    <xf numFmtId="0" fontId="9" fillId="0" borderId="0" xfId="0" applyFont="1"/>
    <xf numFmtId="0" fontId="12" fillId="0" borderId="3" xfId="0" applyFont="1" applyBorder="1"/>
    <xf numFmtId="0" fontId="8" fillId="0" borderId="3" xfId="0" applyFont="1" applyBorder="1"/>
    <xf numFmtId="0" fontId="8" fillId="0" borderId="8" xfId="0" applyFont="1" applyBorder="1"/>
    <xf numFmtId="0" fontId="8" fillId="0" borderId="2" xfId="0" applyFont="1" applyBorder="1"/>
    <xf numFmtId="0" fontId="13" fillId="0" borderId="3" xfId="0" applyFont="1" applyBorder="1"/>
    <xf numFmtId="0" fontId="13" fillId="0" borderId="8" xfId="0" applyFont="1" applyBorder="1"/>
    <xf numFmtId="0" fontId="22" fillId="0" borderId="0" xfId="0" applyFont="1"/>
    <xf numFmtId="0" fontId="23" fillId="0" borderId="0" xfId="0" applyFont="1"/>
    <xf numFmtId="0" fontId="24" fillId="0" borderId="0" xfId="0" applyFont="1"/>
    <xf numFmtId="0" fontId="23" fillId="2" borderId="1" xfId="0" applyFont="1" applyFill="1" applyBorder="1" applyAlignment="1">
      <alignment horizontal="center"/>
    </xf>
    <xf numFmtId="0" fontId="22" fillId="0" borderId="1" xfId="0" applyFont="1" applyBorder="1" applyAlignment="1">
      <alignment horizontal="left"/>
    </xf>
    <xf numFmtId="0" fontId="22" fillId="0" borderId="1" xfId="0" applyFont="1" applyBorder="1" applyAlignment="1">
      <alignment horizontal="center"/>
    </xf>
    <xf numFmtId="0" fontId="22" fillId="0" borderId="1" xfId="0" applyFont="1" applyBorder="1"/>
    <xf numFmtId="0" fontId="23" fillId="0" borderId="1" xfId="0" applyFont="1" applyBorder="1" applyAlignment="1">
      <alignment horizontal="center"/>
    </xf>
    <xf numFmtId="8" fontId="23" fillId="2" borderId="9" xfId="1" applyFont="1" applyFill="1" applyBorder="1" applyAlignment="1">
      <alignment horizontal="center"/>
    </xf>
    <xf numFmtId="8" fontId="23" fillId="2" borderId="1" xfId="1" applyFont="1" applyFill="1" applyBorder="1" applyAlignment="1">
      <alignment horizontal="center"/>
    </xf>
    <xf numFmtId="0" fontId="22" fillId="0" borderId="0" xfId="0" applyFont="1" applyAlignment="1">
      <alignment horizontal="center"/>
    </xf>
    <xf numFmtId="2" fontId="23" fillId="2" borderId="1" xfId="0" applyNumberFormat="1" applyFont="1" applyFill="1" applyBorder="1" applyAlignment="1">
      <alignment horizontal="center"/>
    </xf>
    <xf numFmtId="0" fontId="23" fillId="0" borderId="0" xfId="0" applyFont="1" applyAlignment="1">
      <alignment horizontal="center"/>
    </xf>
    <xf numFmtId="10" fontId="23" fillId="2" borderId="1" xfId="0" applyNumberFormat="1" applyFont="1" applyFill="1" applyBorder="1" applyAlignment="1">
      <alignment horizontal="center"/>
    </xf>
    <xf numFmtId="0" fontId="23" fillId="0" borderId="1" xfId="0" applyFont="1" applyBorder="1"/>
    <xf numFmtId="10" fontId="23" fillId="2" borderId="1" xfId="0" applyNumberFormat="1" applyFont="1" applyFill="1" applyBorder="1"/>
    <xf numFmtId="0" fontId="23" fillId="0" borderId="10" xfId="0" applyFont="1" applyBorder="1"/>
    <xf numFmtId="0" fontId="23" fillId="0" borderId="11" xfId="0" applyFont="1" applyBorder="1"/>
    <xf numFmtId="0" fontId="23" fillId="0" borderId="10" xfId="0" applyFont="1" applyBorder="1" applyAlignment="1">
      <alignment horizontal="left"/>
    </xf>
    <xf numFmtId="0" fontId="23" fillId="0" borderId="11" xfId="0" applyFont="1" applyBorder="1" applyAlignment="1">
      <alignment horizontal="left"/>
    </xf>
    <xf numFmtId="6" fontId="23" fillId="2" borderId="1" xfId="1" applyNumberFormat="1" applyFont="1" applyFill="1" applyBorder="1"/>
    <xf numFmtId="0" fontId="23" fillId="0" borderId="0" xfId="0" applyFont="1" applyAlignment="1">
      <alignment horizontal="left"/>
    </xf>
    <xf numFmtId="9" fontId="23" fillId="0" borderId="0" xfId="1" applyNumberFormat="1" applyFont="1" applyBorder="1"/>
    <xf numFmtId="0" fontId="23" fillId="0" borderId="1" xfId="0" applyFont="1" applyBorder="1" applyAlignment="1">
      <alignment horizontal="left"/>
    </xf>
    <xf numFmtId="9" fontId="23" fillId="2" borderId="1" xfId="0" applyNumberFormat="1" applyFont="1" applyFill="1" applyBorder="1" applyAlignment="1">
      <alignment horizontal="center"/>
    </xf>
    <xf numFmtId="10" fontId="23" fillId="3" borderId="1" xfId="0" applyNumberFormat="1" applyFont="1" applyFill="1" applyBorder="1" applyAlignment="1">
      <alignment horizontal="center"/>
    </xf>
    <xf numFmtId="10" fontId="2" fillId="4" borderId="1" xfId="2" applyNumberFormat="1" applyFont="1" applyFill="1" applyBorder="1" applyAlignment="1">
      <alignment horizontal="center"/>
    </xf>
    <xf numFmtId="6" fontId="2" fillId="4" borderId="1" xfId="0" applyNumberFormat="1" applyFont="1" applyFill="1" applyBorder="1" applyAlignment="1">
      <alignment horizontal="center"/>
    </xf>
    <xf numFmtId="6" fontId="2" fillId="4" borderId="1" xfId="1" applyNumberFormat="1" applyFont="1" applyFill="1" applyBorder="1" applyAlignment="1">
      <alignment horizontal="center"/>
    </xf>
    <xf numFmtId="6" fontId="2" fillId="4" borderId="3" xfId="1" applyNumberFormat="1" applyFont="1" applyFill="1" applyBorder="1" applyAlignment="1">
      <alignment horizontal="center"/>
    </xf>
    <xf numFmtId="6" fontId="2" fillId="4" borderId="12" xfId="0" applyNumberFormat="1" applyFont="1" applyFill="1" applyBorder="1" applyAlignment="1">
      <alignment horizontal="center"/>
    </xf>
    <xf numFmtId="6" fontId="2" fillId="4" borderId="13" xfId="0" applyNumberFormat="1" applyFont="1" applyFill="1" applyBorder="1" applyAlignment="1">
      <alignment horizontal="center"/>
    </xf>
    <xf numFmtId="6" fontId="23" fillId="4" borderId="1" xfId="1" applyNumberFormat="1" applyFont="1" applyFill="1" applyBorder="1"/>
    <xf numFmtId="0" fontId="0" fillId="0" borderId="0" xfId="0" applyAlignment="1">
      <alignment horizontal="center"/>
    </xf>
    <xf numFmtId="0" fontId="8" fillId="0" borderId="8" xfId="0" applyFont="1" applyBorder="1" applyAlignment="1">
      <alignment wrapText="1"/>
    </xf>
    <xf numFmtId="0" fontId="13" fillId="0" borderId="8" xfId="0" applyFont="1" applyBorder="1" applyAlignment="1">
      <alignment wrapText="1"/>
    </xf>
    <xf numFmtId="0" fontId="8" fillId="0" borderId="2" xfId="0" applyFont="1" applyBorder="1" applyAlignment="1">
      <alignment wrapText="1"/>
    </xf>
    <xf numFmtId="0" fontId="21" fillId="5" borderId="1" xfId="0" applyFont="1" applyFill="1" applyBorder="1" applyAlignment="1">
      <alignment horizontal="center"/>
    </xf>
    <xf numFmtId="10" fontId="21" fillId="5" borderId="1" xfId="0" applyNumberFormat="1" applyFont="1" applyFill="1" applyBorder="1" applyAlignment="1">
      <alignment horizontal="center"/>
    </xf>
    <xf numFmtId="0" fontId="21" fillId="0" borderId="1" xfId="0" applyFont="1" applyBorder="1" applyAlignment="1">
      <alignment horizontal="center"/>
    </xf>
    <xf numFmtId="10" fontId="21" fillId="0" borderId="1" xfId="0" applyNumberFormat="1" applyFont="1" applyBorder="1" applyAlignment="1">
      <alignment horizontal="center"/>
    </xf>
    <xf numFmtId="0" fontId="21" fillId="0" borderId="0" xfId="0" applyFont="1" applyAlignment="1">
      <alignment horizontal="center"/>
    </xf>
    <xf numFmtId="0" fontId="21" fillId="5" borderId="3" xfId="0" applyFont="1" applyFill="1" applyBorder="1" applyAlignment="1">
      <alignment horizontal="center"/>
    </xf>
    <xf numFmtId="0" fontId="21" fillId="0" borderId="3" xfId="0" applyFont="1" applyBorder="1" applyAlignment="1">
      <alignment horizontal="center"/>
    </xf>
    <xf numFmtId="10" fontId="21" fillId="5" borderId="3" xfId="0" applyNumberFormat="1" applyFont="1" applyFill="1" applyBorder="1" applyAlignment="1">
      <alignment horizontal="center"/>
    </xf>
    <xf numFmtId="10" fontId="21" fillId="0" borderId="3" xfId="0" applyNumberFormat="1" applyFont="1" applyBorder="1" applyAlignment="1">
      <alignment horizontal="center"/>
    </xf>
    <xf numFmtId="0" fontId="21" fillId="5" borderId="26" xfId="0" applyFont="1" applyFill="1" applyBorder="1" applyAlignment="1">
      <alignment horizontal="center"/>
    </xf>
    <xf numFmtId="10" fontId="21" fillId="5" borderId="26" xfId="0" applyNumberFormat="1" applyFont="1" applyFill="1" applyBorder="1" applyAlignment="1">
      <alignment horizontal="center"/>
    </xf>
    <xf numFmtId="10" fontId="0" fillId="0" borderId="0" xfId="0" applyNumberFormat="1" applyAlignment="1">
      <alignment horizontal="center"/>
    </xf>
    <xf numFmtId="0" fontId="25" fillId="0" borderId="2" xfId="0" applyFont="1" applyBorder="1" applyAlignment="1">
      <alignment horizontal="center" wrapText="1"/>
    </xf>
    <xf numFmtId="0" fontId="26" fillId="0" borderId="0" xfId="0" applyFont="1"/>
    <xf numFmtId="0" fontId="18" fillId="0" borderId="0" xfId="0" applyFont="1"/>
    <xf numFmtId="0" fontId="19" fillId="0" borderId="1" xfId="0" applyFont="1" applyBorder="1" applyAlignment="1">
      <alignment horizontal="left"/>
    </xf>
    <xf numFmtId="0" fontId="19" fillId="0" borderId="1" xfId="0" applyFont="1" applyBorder="1" applyAlignment="1">
      <alignment horizontal="center"/>
    </xf>
    <xf numFmtId="0" fontId="19" fillId="0" borderId="10" xfId="0" applyFont="1" applyBorder="1" applyAlignment="1">
      <alignment horizontal="center"/>
    </xf>
    <xf numFmtId="0" fontId="18" fillId="0" borderId="1" xfId="0" applyFont="1" applyBorder="1"/>
    <xf numFmtId="0" fontId="19" fillId="0" borderId="0" xfId="0" applyFont="1"/>
    <xf numFmtId="8" fontId="19" fillId="4" borderId="1" xfId="1" applyFont="1" applyFill="1" applyBorder="1" applyAlignment="1">
      <alignment horizontal="center"/>
    </xf>
    <xf numFmtId="8" fontId="19" fillId="4" borderId="10" xfId="1" applyFont="1" applyFill="1" applyBorder="1" applyAlignment="1">
      <alignment horizontal="center"/>
    </xf>
    <xf numFmtId="8" fontId="18" fillId="4" borderId="1" xfId="0" applyNumberFormat="1" applyFont="1" applyFill="1" applyBorder="1"/>
    <xf numFmtId="0" fontId="19" fillId="0" borderId="3" xfId="0" applyFont="1" applyBorder="1" applyAlignment="1">
      <alignment horizontal="left"/>
    </xf>
    <xf numFmtId="8" fontId="19" fillId="4" borderId="3" xfId="1" applyFont="1" applyFill="1" applyBorder="1" applyAlignment="1">
      <alignment horizontal="center"/>
    </xf>
    <xf numFmtId="8" fontId="19" fillId="4" borderId="15" xfId="1" applyFont="1" applyFill="1" applyBorder="1" applyAlignment="1">
      <alignment horizontal="center"/>
    </xf>
    <xf numFmtId="8" fontId="18" fillId="4" borderId="3" xfId="0" applyNumberFormat="1" applyFont="1" applyFill="1" applyBorder="1"/>
    <xf numFmtId="8" fontId="18" fillId="4" borderId="16" xfId="0" applyNumberFormat="1" applyFont="1" applyFill="1" applyBorder="1"/>
    <xf numFmtId="8" fontId="18" fillId="4" borderId="17" xfId="0" applyNumberFormat="1" applyFont="1" applyFill="1" applyBorder="1"/>
    <xf numFmtId="8" fontId="18" fillId="4" borderId="18" xfId="0" applyNumberFormat="1" applyFont="1" applyFill="1" applyBorder="1"/>
    <xf numFmtId="0" fontId="19" fillId="0" borderId="0" xfId="0" applyFont="1" applyAlignment="1">
      <alignment horizontal="left"/>
    </xf>
    <xf numFmtId="8" fontId="19" fillId="0" borderId="0" xfId="1" applyFont="1" applyBorder="1" applyAlignment="1">
      <alignment horizontal="center"/>
    </xf>
    <xf numFmtId="0" fontId="19" fillId="0" borderId="8" xfId="0" applyFont="1" applyBorder="1" applyAlignment="1">
      <alignment horizontal="left"/>
    </xf>
    <xf numFmtId="8" fontId="19" fillId="4" borderId="8" xfId="1" applyFont="1" applyFill="1" applyBorder="1" applyAlignment="1">
      <alignment horizontal="center"/>
    </xf>
    <xf numFmtId="0" fontId="19" fillId="0" borderId="19" xfId="0" applyFont="1" applyBorder="1" applyAlignment="1">
      <alignment horizontal="left"/>
    </xf>
    <xf numFmtId="8" fontId="19" fillId="4" borderId="20" xfId="1" applyFont="1" applyFill="1" applyBorder="1" applyAlignment="1">
      <alignment horizontal="center"/>
    </xf>
    <xf numFmtId="8" fontId="19" fillId="4" borderId="21" xfId="1" applyFont="1" applyFill="1" applyBorder="1" applyAlignment="1">
      <alignment horizontal="center"/>
    </xf>
    <xf numFmtId="0" fontId="19" fillId="0" borderId="2" xfId="0" applyFont="1" applyBorder="1" applyAlignment="1">
      <alignment horizontal="left"/>
    </xf>
    <xf numFmtId="0" fontId="19" fillId="0" borderId="2" xfId="0" applyFont="1" applyBorder="1" applyAlignment="1">
      <alignment horizontal="center"/>
    </xf>
    <xf numFmtId="0" fontId="20" fillId="0" borderId="1" xfId="0" applyFont="1" applyBorder="1" applyAlignment="1">
      <alignment horizontal="left"/>
    </xf>
    <xf numFmtId="10" fontId="19" fillId="4" borderId="3" xfId="2" applyNumberFormat="1" applyFont="1" applyFill="1" applyBorder="1" applyAlignment="1">
      <alignment horizontal="center"/>
    </xf>
    <xf numFmtId="10" fontId="19" fillId="4" borderId="20" xfId="2" applyNumberFormat="1" applyFont="1" applyFill="1" applyBorder="1" applyAlignment="1">
      <alignment horizontal="center"/>
    </xf>
    <xf numFmtId="10" fontId="19" fillId="4" borderId="21" xfId="2" applyNumberFormat="1" applyFont="1" applyFill="1" applyBorder="1" applyAlignment="1">
      <alignment horizontal="center"/>
    </xf>
    <xf numFmtId="10" fontId="19" fillId="4" borderId="1" xfId="0" applyNumberFormat="1" applyFont="1" applyFill="1" applyBorder="1" applyAlignment="1">
      <alignment horizontal="center"/>
    </xf>
    <xf numFmtId="10" fontId="19" fillId="4" borderId="3" xfId="0" applyNumberFormat="1" applyFont="1" applyFill="1" applyBorder="1" applyAlignment="1">
      <alignment horizontal="center"/>
    </xf>
    <xf numFmtId="10" fontId="19" fillId="4" borderId="20" xfId="0" applyNumberFormat="1" applyFont="1" applyFill="1" applyBorder="1" applyAlignment="1">
      <alignment horizontal="center"/>
    </xf>
    <xf numFmtId="10" fontId="19" fillId="4" borderId="21" xfId="0" applyNumberFormat="1" applyFont="1" applyFill="1" applyBorder="1" applyAlignment="1">
      <alignment horizontal="center"/>
    </xf>
    <xf numFmtId="0" fontId="20" fillId="0" borderId="2" xfId="0" applyFont="1" applyBorder="1" applyAlignment="1">
      <alignment horizontal="left"/>
    </xf>
    <xf numFmtId="0" fontId="19" fillId="0" borderId="4" xfId="0" applyFont="1" applyBorder="1" applyAlignment="1">
      <alignment horizontal="left"/>
    </xf>
    <xf numFmtId="10" fontId="19" fillId="4" borderId="12" xfId="0" applyNumberFormat="1" applyFont="1" applyFill="1" applyBorder="1" applyAlignment="1">
      <alignment horizontal="center"/>
    </xf>
    <xf numFmtId="10" fontId="19" fillId="4" borderId="13" xfId="0" applyNumberFormat="1" applyFont="1" applyFill="1" applyBorder="1" applyAlignment="1">
      <alignment horizontal="center"/>
    </xf>
    <xf numFmtId="0" fontId="19" fillId="0" borderId="0" xfId="0" applyFont="1" applyAlignment="1">
      <alignment horizontal="center"/>
    </xf>
    <xf numFmtId="0" fontId="19" fillId="0" borderId="3" xfId="0" applyFont="1" applyBorder="1" applyAlignment="1">
      <alignment horizontal="center"/>
    </xf>
    <xf numFmtId="8" fontId="19" fillId="4" borderId="10" xfId="0" applyNumberFormat="1" applyFont="1" applyFill="1" applyBorder="1" applyAlignment="1">
      <alignment horizontal="center"/>
    </xf>
    <xf numFmtId="8" fontId="19" fillId="4" borderId="22" xfId="0" applyNumberFormat="1" applyFont="1" applyFill="1" applyBorder="1" applyAlignment="1">
      <alignment horizontal="center"/>
    </xf>
    <xf numFmtId="8" fontId="19" fillId="4" borderId="23" xfId="0" applyNumberFormat="1" applyFont="1" applyFill="1" applyBorder="1" applyAlignment="1">
      <alignment horizontal="center"/>
    </xf>
    <xf numFmtId="10" fontId="19" fillId="4" borderId="10" xfId="2" applyNumberFormat="1" applyFont="1" applyFill="1" applyBorder="1" applyAlignment="1">
      <alignment horizontal="center"/>
    </xf>
    <xf numFmtId="10" fontId="19" fillId="4" borderId="23" xfId="0" applyNumberFormat="1" applyFont="1" applyFill="1" applyBorder="1" applyAlignment="1">
      <alignment horizontal="center"/>
    </xf>
    <xf numFmtId="10" fontId="19" fillId="0" borderId="0" xfId="0" applyNumberFormat="1" applyFont="1" applyAlignment="1">
      <alignment horizontal="center"/>
    </xf>
    <xf numFmtId="8" fontId="19" fillId="4" borderId="15" xfId="0" applyNumberFormat="1" applyFont="1" applyFill="1" applyBorder="1" applyAlignment="1">
      <alignment horizontal="center"/>
    </xf>
    <xf numFmtId="0" fontId="19" fillId="0" borderId="10" xfId="0" applyFont="1" applyBorder="1" applyAlignment="1">
      <alignment horizontal="left"/>
    </xf>
    <xf numFmtId="10" fontId="19" fillId="4" borderId="5" xfId="2" applyNumberFormat="1" applyFont="1" applyFill="1" applyBorder="1" applyAlignment="1">
      <alignment horizontal="center"/>
    </xf>
    <xf numFmtId="10" fontId="19" fillId="4" borderId="23" xfId="2" applyNumberFormat="1" applyFont="1" applyFill="1" applyBorder="1" applyAlignment="1">
      <alignment horizontal="center"/>
    </xf>
    <xf numFmtId="8" fontId="19" fillId="4" borderId="24" xfId="0" applyNumberFormat="1" applyFont="1" applyFill="1" applyBorder="1" applyAlignment="1">
      <alignment horizontal="center"/>
    </xf>
    <xf numFmtId="8" fontId="19" fillId="4" borderId="25" xfId="0" applyNumberFormat="1" applyFont="1" applyFill="1" applyBorder="1" applyAlignment="1">
      <alignment horizontal="center"/>
    </xf>
    <xf numFmtId="10" fontId="19" fillId="4" borderId="1" xfId="2" applyNumberFormat="1" applyFont="1" applyFill="1" applyBorder="1" applyAlignment="1">
      <alignment horizontal="center"/>
    </xf>
    <xf numFmtId="8" fontId="19" fillId="0" borderId="0" xfId="0" applyNumberFormat="1" applyFont="1" applyAlignment="1">
      <alignment horizontal="center"/>
    </xf>
    <xf numFmtId="10" fontId="19" fillId="4" borderId="16" xfId="2" applyNumberFormat="1" applyFont="1" applyFill="1" applyBorder="1" applyAlignment="1">
      <alignment horizontal="center"/>
    </xf>
    <xf numFmtId="0" fontId="20" fillId="0" borderId="1" xfId="0" applyFont="1" applyBorder="1"/>
    <xf numFmtId="0" fontId="9" fillId="0" borderId="0" xfId="0" applyFont="1" applyAlignment="1">
      <alignment horizontal="center"/>
    </xf>
    <xf numFmtId="0" fontId="24" fillId="0" borderId="0" xfId="0" applyFont="1"/>
    <xf numFmtId="0" fontId="22" fillId="6" borderId="1" xfId="0" applyFont="1" applyFill="1" applyBorder="1" applyAlignment="1">
      <alignment horizontal="left"/>
    </xf>
    <xf numFmtId="0" fontId="18" fillId="0" borderId="14" xfId="0" applyFont="1" applyBorder="1" applyAlignment="1">
      <alignment horizontal="center"/>
    </xf>
  </cellXfs>
  <cellStyles count="3">
    <cellStyle name="Currency" xfId="1" builtinId="4"/>
    <cellStyle name="Normal" xfId="0" builtinId="0"/>
    <cellStyle name="Percent" xfId="2" builtinId="5"/>
  </cellStyles>
  <dxfs count="8">
    <dxf>
      <border outline="0">
        <bottom style="thin">
          <color indexed="64"/>
        </bottom>
      </border>
    </dxf>
    <dxf>
      <border outline="0">
        <top style="thin">
          <color indexed="64"/>
        </top>
      </border>
    </dxf>
    <dxf>
      <font>
        <family val="2"/>
      </font>
      <alignment horizontal="center" vertical="bottom" textRotation="0" indent="0" justifyLastLine="0" shrinkToFit="0" readingOrder="0"/>
    </dxf>
    <dxf>
      <font>
        <b/>
        <i/>
        <strike val="0"/>
        <condense val="0"/>
        <extend val="0"/>
        <outline val="0"/>
        <shadow val="0"/>
        <u val="none"/>
        <vertAlign val="baseline"/>
        <sz val="12"/>
        <color theme="0"/>
        <name val="Calibri"/>
        <family val="2"/>
        <scheme val="minor"/>
      </font>
      <alignment horizontal="center" vertical="bottom" textRotation="0" wrapText="1" indent="0" justifyLastLine="0" shrinkToFit="0" readingOrder="0"/>
      <border diagonalUp="0" diagonalDown="0" outline="0">
        <left style="thin">
          <color indexed="64"/>
        </left>
        <right style="thin">
          <color indexed="64"/>
        </right>
        <top/>
        <bottom/>
      </border>
    </dxf>
    <dxf>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
      <alignment horizontal="center" vertical="bottom" textRotation="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D98" totalsRowShown="0" headerRowDxfId="3" dataDxfId="2" headerRowBorderDxfId="0" tableBorderDxfId="1">
  <autoFilter ref="A1:D98"/>
  <tableColumns count="4">
    <tableColumn id="1" name="Year" dataDxfId="7"/>
    <tableColumn id="2" name="S&amp;P 500 (includes dividends)" dataDxfId="6"/>
    <tableColumn id="3" name="3-month T.Bill" dataDxfId="5"/>
    <tableColumn id="4" name="US T. Bond" dataDxfId="4"/>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1"/>
  <sheetViews>
    <sheetView tabSelected="1" workbookViewId="0">
      <selection activeCell="B19" sqref="B19"/>
    </sheetView>
  </sheetViews>
  <sheetFormatPr baseColWidth="10" defaultRowHeight="14"/>
  <cols>
    <col min="2" max="2" width="80.5703125" bestFit="1" customWidth="1"/>
  </cols>
  <sheetData>
    <row r="1" spans="1:2" s="17" customFormat="1" ht="19">
      <c r="A1" s="130" t="s">
        <v>32</v>
      </c>
      <c r="B1" s="130"/>
    </row>
    <row r="2" spans="1:2" s="16" customFormat="1" ht="18">
      <c r="A2" s="18" t="s">
        <v>33</v>
      </c>
      <c r="B2" s="19" t="s">
        <v>34</v>
      </c>
    </row>
    <row r="3" spans="1:2" s="16" customFormat="1" ht="18">
      <c r="A3" s="20"/>
      <c r="B3" s="20" t="s">
        <v>0</v>
      </c>
    </row>
    <row r="4" spans="1:2" s="16" customFormat="1" ht="18">
      <c r="A4" s="21"/>
      <c r="B4" s="21" t="s">
        <v>35</v>
      </c>
    </row>
    <row r="5" spans="1:2" s="16" customFormat="1" ht="18">
      <c r="A5" s="18" t="s">
        <v>36</v>
      </c>
      <c r="B5" s="22" t="s">
        <v>48</v>
      </c>
    </row>
    <row r="6" spans="1:2" s="16" customFormat="1" ht="18">
      <c r="A6" s="20"/>
      <c r="B6" s="20" t="s">
        <v>88</v>
      </c>
    </row>
    <row r="7" spans="1:2" s="16" customFormat="1" ht="18">
      <c r="A7" s="20"/>
      <c r="B7" s="20" t="s">
        <v>87</v>
      </c>
    </row>
    <row r="8" spans="1:2" s="16" customFormat="1" ht="18">
      <c r="A8" s="20"/>
      <c r="B8" s="20" t="s">
        <v>89</v>
      </c>
    </row>
    <row r="9" spans="1:2" s="16" customFormat="1" ht="18">
      <c r="A9" s="20"/>
      <c r="B9" s="20" t="s">
        <v>90</v>
      </c>
    </row>
    <row r="10" spans="1:2" s="16" customFormat="1" ht="38">
      <c r="A10" s="20"/>
      <c r="B10" s="59" t="s">
        <v>91</v>
      </c>
    </row>
    <row r="11" spans="1:2" s="16" customFormat="1" ht="18">
      <c r="A11" s="20"/>
      <c r="B11" s="20" t="s">
        <v>37</v>
      </c>
    </row>
    <row r="12" spans="1:2" s="16" customFormat="1" ht="18">
      <c r="A12" s="20"/>
      <c r="B12" s="20" t="s">
        <v>38</v>
      </c>
    </row>
    <row r="13" spans="1:2" s="16" customFormat="1" ht="18">
      <c r="A13" s="20"/>
      <c r="B13" s="23" t="s">
        <v>39</v>
      </c>
    </row>
    <row r="14" spans="1:2" s="16" customFormat="1" ht="38">
      <c r="A14" s="20"/>
      <c r="B14" s="58" t="s">
        <v>121</v>
      </c>
    </row>
    <row r="15" spans="1:2" s="16" customFormat="1" ht="19">
      <c r="A15" s="20"/>
      <c r="B15" s="58" t="s">
        <v>122</v>
      </c>
    </row>
    <row r="16" spans="1:2" s="16" customFormat="1" ht="38">
      <c r="A16" s="20"/>
      <c r="B16" s="58" t="s">
        <v>123</v>
      </c>
    </row>
    <row r="17" spans="1:2" s="16" customFormat="1" ht="38">
      <c r="A17" s="20"/>
      <c r="B17" s="58" t="s">
        <v>124</v>
      </c>
    </row>
    <row r="18" spans="1:2" s="16" customFormat="1" ht="38">
      <c r="A18" s="20"/>
      <c r="B18" s="58" t="s">
        <v>125</v>
      </c>
    </row>
    <row r="19" spans="1:2" s="16" customFormat="1" ht="19">
      <c r="A19" s="20"/>
      <c r="B19" s="59" t="s">
        <v>49</v>
      </c>
    </row>
    <row r="20" spans="1:2" s="16" customFormat="1" ht="38">
      <c r="A20" s="20"/>
      <c r="B20" s="58" t="s">
        <v>40</v>
      </c>
    </row>
    <row r="21" spans="1:2" s="16" customFormat="1" ht="19">
      <c r="A21" s="20"/>
      <c r="B21" s="58" t="s">
        <v>50</v>
      </c>
    </row>
    <row r="22" spans="1:2" s="16" customFormat="1" ht="38">
      <c r="A22" s="21"/>
      <c r="B22" s="60" t="s">
        <v>41</v>
      </c>
    </row>
    <row r="23" spans="1:2" s="16" customFormat="1" ht="18">
      <c r="A23" s="18" t="s">
        <v>42</v>
      </c>
      <c r="B23" s="22" t="s">
        <v>43</v>
      </c>
    </row>
    <row r="24" spans="1:2" s="16" customFormat="1" ht="18">
      <c r="A24" s="20"/>
      <c r="B24" s="20" t="s">
        <v>44</v>
      </c>
    </row>
    <row r="25" spans="1:2" s="16" customFormat="1" ht="18">
      <c r="A25" s="20"/>
      <c r="B25" s="20" t="s">
        <v>45</v>
      </c>
    </row>
    <row r="26" spans="1:2" s="16" customFormat="1" ht="18">
      <c r="A26" s="20"/>
      <c r="B26" s="20" t="s">
        <v>46</v>
      </c>
    </row>
    <row r="27" spans="1:2" s="16" customFormat="1" ht="18">
      <c r="A27" s="20"/>
      <c r="B27" s="23" t="s">
        <v>57</v>
      </c>
    </row>
    <row r="28" spans="1:2" s="16" customFormat="1" ht="18">
      <c r="A28" s="20"/>
      <c r="B28" s="20" t="s">
        <v>2</v>
      </c>
    </row>
    <row r="29" spans="1:2" s="16" customFormat="1" ht="18">
      <c r="A29" s="20"/>
      <c r="B29" s="20" t="s">
        <v>3</v>
      </c>
    </row>
    <row r="30" spans="1:2" s="16" customFormat="1" ht="18">
      <c r="A30" s="21"/>
      <c r="B30" s="21" t="s">
        <v>4</v>
      </c>
    </row>
    <row r="31" spans="1:2" s="1" customFormat="1" ht="13"/>
  </sheetData>
  <mergeCells count="1">
    <mergeCell ref="A1:B1"/>
  </mergeCells>
  <phoneticPr fontId="11"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66"/>
  <sheetViews>
    <sheetView zoomScale="132" zoomScaleNormal="132" workbookViewId="0">
      <selection activeCell="D31" sqref="D31"/>
    </sheetView>
  </sheetViews>
  <sheetFormatPr baseColWidth="10" defaultRowHeight="14"/>
  <cols>
    <col min="2" max="2" width="16.42578125" customWidth="1"/>
    <col min="3" max="3" width="21" bestFit="1" customWidth="1"/>
    <col min="4" max="4" width="30.28515625" bestFit="1" customWidth="1"/>
    <col min="5" max="5" width="15.28515625" bestFit="1" customWidth="1"/>
    <col min="6" max="6" width="12" customWidth="1"/>
  </cols>
  <sheetData>
    <row r="1" spans="1:12" s="26" customFormat="1" ht="16">
      <c r="A1" s="26" t="s">
        <v>8</v>
      </c>
    </row>
    <row r="2" spans="1:12" s="25" customFormat="1" ht="20" customHeight="1">
      <c r="A2" s="25" t="s">
        <v>63</v>
      </c>
      <c r="E2" s="27">
        <v>5</v>
      </c>
      <c r="F2" s="25" t="s">
        <v>64</v>
      </c>
    </row>
    <row r="3" spans="1:12" s="25" customFormat="1" ht="20" customHeight="1">
      <c r="A3" s="25" t="s">
        <v>106</v>
      </c>
      <c r="E3" s="37">
        <v>0.11579296585803885</v>
      </c>
    </row>
    <row r="4" spans="1:12" s="25" customFormat="1" ht="20" customHeight="1">
      <c r="A4" s="25" t="s">
        <v>104</v>
      </c>
      <c r="E4" s="27" t="s">
        <v>101</v>
      </c>
    </row>
    <row r="5" spans="1:12" s="25" customFormat="1" ht="20" customHeight="1">
      <c r="A5" s="25" t="s">
        <v>105</v>
      </c>
      <c r="E5" s="37">
        <v>0.4</v>
      </c>
    </row>
    <row r="6" spans="1:12" s="25" customFormat="1" ht="20" customHeight="1">
      <c r="D6" s="24"/>
      <c r="E6" s="24" t="s">
        <v>27</v>
      </c>
    </row>
    <row r="7" spans="1:12" s="25" customFormat="1" ht="20" customHeight="1">
      <c r="A7" s="132" t="s">
        <v>117</v>
      </c>
      <c r="B7" s="132"/>
      <c r="C7" s="132"/>
      <c r="D7" s="132"/>
      <c r="E7" s="132"/>
      <c r="F7" s="132"/>
    </row>
    <row r="8" spans="1:12" s="24" customFormat="1" ht="20" customHeight="1">
      <c r="A8" s="29" t="s">
        <v>47</v>
      </c>
      <c r="B8" s="30" t="s">
        <v>19</v>
      </c>
      <c r="C8" s="30" t="s">
        <v>94</v>
      </c>
      <c r="D8" s="30" t="s">
        <v>127</v>
      </c>
      <c r="E8" s="30" t="s">
        <v>81</v>
      </c>
      <c r="F8" s="30" t="s">
        <v>82</v>
      </c>
      <c r="H8"/>
      <c r="I8"/>
      <c r="J8"/>
      <c r="K8"/>
      <c r="L8"/>
    </row>
    <row r="9" spans="1:12" s="25" customFormat="1" ht="20" customHeight="1">
      <c r="A9" s="31">
        <f>IF($E$2&lt;1,0,1)</f>
        <v>1</v>
      </c>
      <c r="B9" s="32">
        <v>6136</v>
      </c>
      <c r="C9" s="33">
        <v>2192</v>
      </c>
      <c r="D9" s="33">
        <v>2796</v>
      </c>
      <c r="E9" s="33">
        <v>-133</v>
      </c>
      <c r="F9" s="33">
        <f>3931-2050</f>
        <v>1881</v>
      </c>
    </row>
    <row r="10" spans="1:12" s="25" customFormat="1" ht="20" customHeight="1">
      <c r="A10" s="31">
        <f>IF($E$2&lt;2,0,2)</f>
        <v>2</v>
      </c>
      <c r="B10" s="32">
        <v>5682</v>
      </c>
      <c r="C10" s="33">
        <v>1987</v>
      </c>
      <c r="D10" s="33">
        <v>3784</v>
      </c>
      <c r="E10" s="33">
        <v>940</v>
      </c>
      <c r="F10" s="33">
        <f>3779+467</f>
        <v>4246</v>
      </c>
    </row>
    <row r="11" spans="1:12" s="25" customFormat="1" ht="20" customHeight="1">
      <c r="A11" s="31">
        <f>IF($E$2&lt;3,0,3)</f>
        <v>3</v>
      </c>
      <c r="B11" s="32">
        <v>4807</v>
      </c>
      <c r="C11" s="33">
        <v>1841</v>
      </c>
      <c r="D11" s="33">
        <v>3559</v>
      </c>
      <c r="E11" s="33">
        <v>950</v>
      </c>
      <c r="F11" s="33">
        <f>2350+393</f>
        <v>2743</v>
      </c>
    </row>
    <row r="12" spans="1:12" s="25" customFormat="1" ht="20" customHeight="1">
      <c r="A12" s="31">
        <f>IF($E$2&lt;4,0,4)</f>
        <v>4</v>
      </c>
      <c r="B12" s="32">
        <v>3963</v>
      </c>
      <c r="C12" s="33">
        <v>1713</v>
      </c>
      <c r="D12" s="33">
        <v>2110</v>
      </c>
      <c r="E12" s="33">
        <v>308</v>
      </c>
      <c r="F12" s="33">
        <v>1190</v>
      </c>
    </row>
    <row r="13" spans="1:12" s="25" customFormat="1" ht="20" customHeight="1">
      <c r="A13" s="31">
        <f>IF($E$2&lt;5,0,5)</f>
        <v>5</v>
      </c>
      <c r="B13" s="32">
        <v>3307</v>
      </c>
      <c r="C13" s="33">
        <v>1631</v>
      </c>
      <c r="D13" s="33">
        <v>1753</v>
      </c>
      <c r="E13" s="33">
        <v>-109</v>
      </c>
      <c r="F13" s="33">
        <f>1750-1985</f>
        <v>-235</v>
      </c>
    </row>
    <row r="14" spans="1:12" s="25" customFormat="1" ht="20" customHeight="1">
      <c r="A14" s="31">
        <f>IF($E$2&lt;6,0,6)</f>
        <v>0</v>
      </c>
      <c r="B14" s="32">
        <v>4427</v>
      </c>
      <c r="C14" s="33">
        <v>1582</v>
      </c>
      <c r="D14" s="33">
        <v>1586</v>
      </c>
      <c r="E14" s="33">
        <v>485</v>
      </c>
      <c r="F14" s="33">
        <f>1706-701</f>
        <v>1005</v>
      </c>
    </row>
    <row r="15" spans="1:12" s="25" customFormat="1" ht="20" customHeight="1">
      <c r="A15" s="31">
        <f>IF($E$2&lt;7,0,7)</f>
        <v>0</v>
      </c>
      <c r="B15" s="32">
        <v>4687</v>
      </c>
      <c r="C15" s="33">
        <v>1491</v>
      </c>
      <c r="D15" s="33">
        <v>1566</v>
      </c>
      <c r="E15" s="33">
        <v>45</v>
      </c>
      <c r="F15" s="33">
        <f>3143+1847</f>
        <v>4990</v>
      </c>
    </row>
    <row r="16" spans="1:12" s="25" customFormat="1" ht="20" customHeight="1">
      <c r="A16" s="31">
        <f>IF($E$2&lt;8,0,8)</f>
        <v>0</v>
      </c>
      <c r="B16" s="32">
        <v>3374</v>
      </c>
      <c r="C16" s="33">
        <v>1437</v>
      </c>
      <c r="D16" s="33">
        <v>1319</v>
      </c>
      <c r="E16" s="33">
        <v>-136</v>
      </c>
      <c r="F16" s="33">
        <f>2806+85</f>
        <v>2891</v>
      </c>
    </row>
    <row r="17" spans="1:6" s="25" customFormat="1" ht="20" customHeight="1">
      <c r="A17" s="31">
        <f>IF($E$2&lt;9,0,9)</f>
        <v>0</v>
      </c>
      <c r="B17" s="32">
        <v>2533</v>
      </c>
      <c r="C17" s="33">
        <v>1339</v>
      </c>
      <c r="D17" s="33">
        <v>1823</v>
      </c>
      <c r="E17" s="33">
        <v>270</v>
      </c>
      <c r="F17" s="33">
        <f>422+654</f>
        <v>1076</v>
      </c>
    </row>
    <row r="18" spans="1:6" s="25" customFormat="1" ht="20" customHeight="1">
      <c r="A18" s="31">
        <f>IF($E$2&lt;10,0,10)</f>
        <v>0</v>
      </c>
      <c r="B18" s="32">
        <v>2345</v>
      </c>
      <c r="C18" s="33">
        <v>1210</v>
      </c>
      <c r="D18" s="33">
        <v>1427</v>
      </c>
      <c r="E18" s="33">
        <v>51</v>
      </c>
      <c r="F18" s="33">
        <f>176+100</f>
        <v>276</v>
      </c>
    </row>
    <row r="19" spans="1:6" s="25" customFormat="1" ht="20" customHeight="1"/>
    <row r="20" spans="1:6" s="25" customFormat="1" ht="20" customHeight="1">
      <c r="A20" s="24" t="s">
        <v>118</v>
      </c>
    </row>
    <row r="21" spans="1:6" s="24" customFormat="1" ht="20" customHeight="1">
      <c r="A21" s="29" t="s">
        <v>47</v>
      </c>
      <c r="B21" s="29" t="s">
        <v>93</v>
      </c>
      <c r="C21" s="28" t="s">
        <v>58</v>
      </c>
      <c r="D21" s="34"/>
    </row>
    <row r="22" spans="1:6" s="25" customFormat="1" ht="20" customHeight="1">
      <c r="A22" s="31">
        <f>IF($E$2&lt;1,0,1)</f>
        <v>1</v>
      </c>
      <c r="B22" s="33">
        <v>1324</v>
      </c>
      <c r="C22" s="33">
        <v>4087</v>
      </c>
    </row>
    <row r="23" spans="1:6" s="25" customFormat="1" ht="20" customHeight="1">
      <c r="A23" s="31">
        <f>IF($E$2&lt;2,0,2)</f>
        <v>2</v>
      </c>
      <c r="B23" s="33">
        <v>1076</v>
      </c>
      <c r="C23" s="33">
        <v>3015</v>
      </c>
    </row>
    <row r="24" spans="1:6" s="25" customFormat="1" ht="20" customHeight="1">
      <c r="A24" s="31">
        <f>IF($E$2&lt;3,0,3)</f>
        <v>3</v>
      </c>
      <c r="B24" s="33">
        <v>756</v>
      </c>
      <c r="C24" s="33">
        <v>4993</v>
      </c>
    </row>
    <row r="25" spans="1:6" s="25" customFormat="1" ht="20" customHeight="1">
      <c r="A25" s="31">
        <f>IF($E$2&lt;4,0,4)</f>
        <v>4</v>
      </c>
      <c r="B25" s="33">
        <v>653</v>
      </c>
      <c r="C25" s="33">
        <v>2669</v>
      </c>
    </row>
    <row r="26" spans="1:6" s="25" customFormat="1" ht="20" customHeight="1">
      <c r="A26" s="31">
        <f>IF($E$2&lt;5,0,5)</f>
        <v>5</v>
      </c>
      <c r="B26" s="33">
        <v>648</v>
      </c>
      <c r="C26" s="33">
        <v>648</v>
      </c>
    </row>
    <row r="27" spans="1:6" s="25" customFormat="1" ht="20" customHeight="1">
      <c r="A27" s="31">
        <f>IF($E$2&lt;6,0,6)</f>
        <v>0</v>
      </c>
      <c r="B27" s="33">
        <v>664</v>
      </c>
      <c r="C27" s="33">
        <v>4453</v>
      </c>
    </row>
    <row r="28" spans="1:6" s="25" customFormat="1" ht="20" customHeight="1">
      <c r="A28" s="31">
        <f>IF($E$2&lt;7,0,7)</f>
        <v>0</v>
      </c>
      <c r="B28" s="33">
        <v>637</v>
      </c>
      <c r="C28" s="33">
        <v>6923</v>
      </c>
    </row>
    <row r="29" spans="1:6" s="25" customFormat="1" ht="20" customHeight="1">
      <c r="A29" s="31">
        <f>IF($E$2&lt;8,0,8)</f>
        <v>0</v>
      </c>
      <c r="B29" s="33">
        <v>519</v>
      </c>
      <c r="C29" s="33">
        <v>6898</v>
      </c>
    </row>
    <row r="30" spans="1:6" s="25" customFormat="1" ht="20" customHeight="1">
      <c r="A30" s="31">
        <f>IF($E$2&lt;9,0,9)</f>
        <v>0</v>
      </c>
      <c r="B30" s="33">
        <v>490</v>
      </c>
      <c r="C30" s="33">
        <v>2420</v>
      </c>
    </row>
    <row r="31" spans="1:6" s="25" customFormat="1" ht="20" customHeight="1">
      <c r="A31" s="31">
        <f>IF($E$2&lt;10,0,10)</f>
        <v>0</v>
      </c>
      <c r="B31" s="33">
        <v>430</v>
      </c>
      <c r="C31" s="33">
        <v>335</v>
      </c>
    </row>
    <row r="32" spans="1:6" s="25" customFormat="1" ht="20" customHeight="1"/>
    <row r="33" spans="1:6" s="26" customFormat="1" ht="16">
      <c r="A33" s="26" t="s">
        <v>9</v>
      </c>
    </row>
    <row r="34" spans="1:6" s="24" customFormat="1" ht="20" customHeight="1">
      <c r="A34" s="24" t="s">
        <v>6</v>
      </c>
    </row>
    <row r="35" spans="1:6" s="24" customFormat="1" ht="20" customHeight="1">
      <c r="A35" s="24" t="s">
        <v>7</v>
      </c>
    </row>
    <row r="36" spans="1:6" s="24" customFormat="1" ht="20" customHeight="1">
      <c r="A36" s="24" t="s">
        <v>59</v>
      </c>
    </row>
    <row r="37" spans="1:6" s="25" customFormat="1" ht="20" customHeight="1">
      <c r="A37" s="25" t="s">
        <v>51</v>
      </c>
      <c r="D37" s="35">
        <v>0.90110000000000001</v>
      </c>
    </row>
    <row r="38" spans="1:6" s="25" customFormat="1" ht="20" customHeight="1">
      <c r="D38" s="36"/>
    </row>
    <row r="39" spans="1:6" s="25" customFormat="1" ht="20" customHeight="1">
      <c r="A39" s="24" t="s">
        <v>119</v>
      </c>
    </row>
    <row r="40" spans="1:6" s="24" customFormat="1" ht="20" customHeight="1">
      <c r="A40" s="29" t="s">
        <v>47</v>
      </c>
      <c r="B40" s="29" t="s">
        <v>52</v>
      </c>
      <c r="C40" s="29" t="s">
        <v>95</v>
      </c>
      <c r="D40" s="29" t="s">
        <v>1</v>
      </c>
      <c r="E40" s="30" t="s">
        <v>54</v>
      </c>
    </row>
    <row r="41" spans="1:6" s="25" customFormat="1" ht="20" customHeight="1">
      <c r="A41" s="31">
        <f>IF($E$2&lt;1,0,1)</f>
        <v>1</v>
      </c>
      <c r="B41" s="33">
        <v>380078</v>
      </c>
      <c r="C41" s="37">
        <v>0.3533</v>
      </c>
      <c r="D41" s="49">
        <f>'Historical Stock and T.Bills'!C96</f>
        <v>4.4200000000000003E-2</v>
      </c>
      <c r="E41" s="49">
        <f>'Historical Stock and T.Bills'!B96</f>
        <v>-0.18037505927178585</v>
      </c>
      <c r="F41" s="24" t="s">
        <v>98</v>
      </c>
    </row>
    <row r="42" spans="1:6" s="25" customFormat="1" ht="20" customHeight="1">
      <c r="A42" s="31">
        <f>IF($E$2&lt;2,0,2)</f>
        <v>2</v>
      </c>
      <c r="B42" s="33">
        <v>330056</v>
      </c>
      <c r="C42" s="37">
        <v>0.1065</v>
      </c>
      <c r="D42" s="49">
        <f>'Historical Stock and T.Bills'!C95</f>
        <v>5.9999999999999995E-4</v>
      </c>
      <c r="E42" s="49">
        <f>'Historical Stock and T.Bills'!B95</f>
        <v>0.28468851751964158</v>
      </c>
      <c r="F42" s="24" t="s">
        <v>99</v>
      </c>
    </row>
    <row r="43" spans="1:6" s="25" customFormat="1" ht="20" customHeight="1">
      <c r="A43" s="31">
        <f>IF($E$2&lt;3,0,3)</f>
        <v>3</v>
      </c>
      <c r="B43" s="33">
        <v>194181</v>
      </c>
      <c r="C43" s="37">
        <v>-5.1499999999999997E-2</v>
      </c>
      <c r="D43" s="49">
        <f>'Historical Stock and T.Bills'!C94</f>
        <v>8.9999999999999998E-4</v>
      </c>
      <c r="E43" s="49">
        <f>'Historical Stock and T.Bills'!B94</f>
        <v>0.18023201827422478</v>
      </c>
      <c r="F43" s="24" t="s">
        <v>100</v>
      </c>
    </row>
    <row r="44" spans="1:6" s="25" customFormat="1" ht="20" customHeight="1">
      <c r="A44" s="31">
        <f>IF($E$2&lt;4,0,4)</f>
        <v>4</v>
      </c>
      <c r="B44" s="33">
        <v>84200</v>
      </c>
      <c r="C44" s="37">
        <v>0.16220000000000001</v>
      </c>
      <c r="D44" s="49">
        <f>'Historical Stock and T.Bills'!C93</f>
        <v>1.55E-2</v>
      </c>
      <c r="E44" s="49">
        <f>'Historical Stock and T.Bills'!B93</f>
        <v>0.31211679996808755</v>
      </c>
      <c r="F44" s="24" t="s">
        <v>97</v>
      </c>
    </row>
    <row r="45" spans="1:6" s="25" customFormat="1" ht="20" customHeight="1">
      <c r="A45" s="31">
        <f>IF($E$2&lt;5,0,5)</f>
        <v>5</v>
      </c>
      <c r="B45" s="33">
        <v>63437</v>
      </c>
      <c r="C45" s="37">
        <v>0.31169999999999998</v>
      </c>
      <c r="D45" s="49">
        <f>'Historical Stock and T.Bills'!C92</f>
        <v>1.9391666666666668E-2</v>
      </c>
      <c r="E45" s="49">
        <f>'Historical Stock and T.Bills'!B92</f>
        <v>-4.2268692890885438E-2</v>
      </c>
      <c r="F45" s="24"/>
    </row>
    <row r="46" spans="1:6" s="25" customFormat="1" ht="20" customHeight="1">
      <c r="A46" s="31">
        <f>IF($E$2&lt;6,0,6)</f>
        <v>0</v>
      </c>
      <c r="B46" s="33">
        <v>91658</v>
      </c>
      <c r="C46" s="37">
        <f>38.3%</f>
        <v>0.38299999999999995</v>
      </c>
      <c r="D46" s="49">
        <f>'Historical Stock and T.Bills'!C91</f>
        <v>9.3083333333333334E-3</v>
      </c>
      <c r="E46" s="49">
        <f>'Historical Stock and T.Bills'!B91</f>
        <v>0.2160548143449928</v>
      </c>
    </row>
    <row r="47" spans="1:6" s="25" customFormat="1" ht="20" customHeight="1">
      <c r="A47" s="31">
        <f>IF($E$2&lt;7,0,7)</f>
        <v>0</v>
      </c>
      <c r="B47" s="33">
        <v>79717</v>
      </c>
      <c r="C47" s="37">
        <v>-3.4500000000000003E-2</v>
      </c>
      <c r="D47" s="49">
        <f>'Historical Stock and T.Bills'!C90</f>
        <v>3.1749999999999999E-3</v>
      </c>
      <c r="E47" s="49">
        <f>'Historical Stock and T.Bills'!B90</f>
        <v>0.11773080874798171</v>
      </c>
    </row>
    <row r="48" spans="1:6" s="25" customFormat="1" ht="20" customHeight="1">
      <c r="A48" s="31">
        <f>IF($E$2&lt;8,0,8)</f>
        <v>0</v>
      </c>
      <c r="B48" s="33">
        <v>63054</v>
      </c>
      <c r="C48" s="37">
        <v>0.1027</v>
      </c>
      <c r="D48" s="49">
        <f>'Historical Stock and T.Bills'!C89</f>
        <v>5.2499999999999997E-4</v>
      </c>
      <c r="E48" s="49">
        <f>'Historical Stock and T.Bills'!B89</f>
        <v>1.3788916411676138E-2</v>
      </c>
    </row>
    <row r="49" spans="1:7" s="25" customFormat="1" ht="20" customHeight="1">
      <c r="A49" s="31">
        <f>IF($E$2&lt;9,0,9)</f>
        <v>0</v>
      </c>
      <c r="B49" s="33">
        <v>44602</v>
      </c>
      <c r="C49" s="37">
        <v>-0.11550000000000001</v>
      </c>
      <c r="D49" s="49">
        <f>'Historical Stock and T.Bills'!C89</f>
        <v>5.2499999999999997E-4</v>
      </c>
      <c r="E49" s="49">
        <f>'Historical Stock and T.Bills'!B88</f>
        <v>0.13524421649462237</v>
      </c>
    </row>
    <row r="50" spans="1:7" s="25" customFormat="1" ht="20" customHeight="1">
      <c r="A50" s="31">
        <f>IF($E$2&lt;10,0,10)</f>
        <v>0</v>
      </c>
      <c r="B50" s="33">
        <v>37019</v>
      </c>
      <c r="C50" s="37">
        <v>7.5999999999999998E-2</v>
      </c>
      <c r="D50" s="49">
        <f>'Historical Stock and T.Bills'!C87</f>
        <v>5.8333333333333338E-4</v>
      </c>
      <c r="E50" s="49">
        <f>'Historical Stock and T.Bills'!B87</f>
        <v>0.32145085858125483</v>
      </c>
    </row>
    <row r="51" spans="1:7" s="25" customFormat="1" ht="16"/>
    <row r="52" spans="1:7" s="25" customFormat="1" ht="16"/>
    <row r="53" spans="1:7" s="25" customFormat="1" ht="16">
      <c r="A53" s="131" t="s">
        <v>92</v>
      </c>
      <c r="B53" s="131"/>
      <c r="C53" s="131"/>
      <c r="D53" s="131"/>
      <c r="E53" s="131"/>
      <c r="F53" s="131"/>
      <c r="G53" s="26"/>
    </row>
    <row r="54" spans="1:7" s="25" customFormat="1" ht="16">
      <c r="A54" s="24" t="s">
        <v>86</v>
      </c>
    </row>
    <row r="55" spans="1:7" s="25" customFormat="1" ht="20" customHeight="1">
      <c r="A55" s="38" t="s">
        <v>12</v>
      </c>
      <c r="B55" s="38"/>
      <c r="C55" s="38"/>
      <c r="D55" s="38"/>
      <c r="E55" s="39">
        <v>0.05</v>
      </c>
    </row>
    <row r="56" spans="1:7" s="25" customFormat="1" ht="20" customHeight="1">
      <c r="A56" s="38" t="s">
        <v>13</v>
      </c>
      <c r="B56" s="38"/>
      <c r="C56" s="38"/>
      <c r="D56" s="38"/>
      <c r="E56" s="39">
        <v>0.05</v>
      </c>
    </row>
    <row r="57" spans="1:7" s="25" customFormat="1" ht="20" customHeight="1">
      <c r="A57" s="38" t="s">
        <v>14</v>
      </c>
      <c r="B57" s="38"/>
      <c r="C57" s="38"/>
      <c r="D57" s="38"/>
      <c r="E57" s="39">
        <v>0.05</v>
      </c>
    </row>
    <row r="58" spans="1:7" s="25" customFormat="1" ht="20" customHeight="1">
      <c r="A58" s="38" t="s">
        <v>15</v>
      </c>
      <c r="B58" s="38"/>
      <c r="C58" s="38"/>
      <c r="D58" s="38"/>
      <c r="E58" s="39">
        <v>0.05</v>
      </c>
    </row>
    <row r="59" spans="1:7" s="25" customFormat="1" ht="20" customHeight="1">
      <c r="A59" s="40" t="s">
        <v>25</v>
      </c>
      <c r="B59" s="41"/>
      <c r="C59" s="41"/>
      <c r="D59" s="41"/>
      <c r="E59" s="39">
        <v>0.06</v>
      </c>
    </row>
    <row r="60" spans="1:7" s="25" customFormat="1" ht="20" customHeight="1">
      <c r="A60" s="42" t="s">
        <v>16</v>
      </c>
      <c r="B60" s="43"/>
      <c r="C60" s="43"/>
      <c r="D60" s="43"/>
      <c r="E60" s="44">
        <v>42278</v>
      </c>
    </row>
    <row r="61" spans="1:7" s="25" customFormat="1" ht="20" customHeight="1">
      <c r="A61" s="42" t="s">
        <v>29</v>
      </c>
      <c r="B61" s="43"/>
      <c r="C61" s="43"/>
      <c r="D61" s="43"/>
      <c r="E61" s="56">
        <f>B9</f>
        <v>6136</v>
      </c>
    </row>
    <row r="62" spans="1:7" s="25" customFormat="1" ht="20" customHeight="1">
      <c r="A62" s="42" t="s">
        <v>30</v>
      </c>
      <c r="B62" s="43"/>
      <c r="C62" s="43"/>
      <c r="D62" s="43"/>
      <c r="E62" s="56">
        <f>D9</f>
        <v>2796</v>
      </c>
    </row>
    <row r="63" spans="1:7" s="25" customFormat="1" ht="20" customHeight="1">
      <c r="A63" s="42" t="s">
        <v>28</v>
      </c>
      <c r="B63" s="43"/>
      <c r="C63" s="43"/>
      <c r="D63" s="43"/>
      <c r="E63" s="56">
        <f>C9</f>
        <v>2192</v>
      </c>
    </row>
    <row r="64" spans="1:7" s="25" customFormat="1" ht="20" customHeight="1">
      <c r="A64" s="42" t="s">
        <v>31</v>
      </c>
      <c r="B64" s="43"/>
      <c r="C64" s="43"/>
      <c r="D64" s="43"/>
      <c r="E64" s="56">
        <f>B22</f>
        <v>1324</v>
      </c>
    </row>
    <row r="65" spans="1:6" s="25" customFormat="1" ht="20" customHeight="1">
      <c r="A65" s="45"/>
      <c r="B65" s="45"/>
      <c r="C65" s="45"/>
      <c r="D65" s="46"/>
    </row>
    <row r="66" spans="1:6" s="25" customFormat="1" ht="20" customHeight="1">
      <c r="A66" s="47" t="s">
        <v>17</v>
      </c>
      <c r="B66" s="47"/>
      <c r="C66" s="47"/>
      <c r="D66" s="48">
        <v>0.05</v>
      </c>
      <c r="E66" s="45"/>
      <c r="F66" s="46"/>
    </row>
  </sheetData>
  <mergeCells count="2">
    <mergeCell ref="A53:F53"/>
    <mergeCell ref="A7:F7"/>
  </mergeCells>
  <phoneticPr fontId="11" type="noConversion"/>
  <pageMargins left="0.75" right="0.75" top="1" bottom="1" header="0.5" footer="0.5"/>
  <pageSetup orientation="portrait" horizontalDpi="4294967292" verticalDpi="4294967292"/>
  <headerFooter alignWithMargins="0"/>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51"/>
  <sheetViews>
    <sheetView showGridLines="0" showZeros="0" workbookViewId="0">
      <selection activeCell="A2" sqref="A1:M65536"/>
    </sheetView>
  </sheetViews>
  <sheetFormatPr baseColWidth="10" defaultRowHeight="16"/>
  <cols>
    <col min="1" max="13" width="30.5703125" style="80" customWidth="1"/>
  </cols>
  <sheetData>
    <row r="1" spans="1:13" s="17" customFormat="1" ht="15" customHeight="1">
      <c r="A1" s="133" t="s">
        <v>26</v>
      </c>
      <c r="B1" s="133"/>
      <c r="C1" s="133"/>
      <c r="D1" s="133"/>
      <c r="E1" s="133"/>
      <c r="F1" s="133"/>
      <c r="G1" s="133"/>
      <c r="H1" s="133"/>
      <c r="I1" s="133"/>
      <c r="J1" s="133"/>
      <c r="K1" s="75"/>
      <c r="L1" s="75"/>
      <c r="M1" s="75"/>
    </row>
    <row r="2" spans="1:13" s="1" customFormat="1" ht="20" customHeight="1">
      <c r="A2" s="76"/>
      <c r="B2" s="77">
        <f>Inputs!A22</f>
        <v>1</v>
      </c>
      <c r="C2" s="77">
        <f>Inputs!A23</f>
        <v>2</v>
      </c>
      <c r="D2" s="77">
        <f>Inputs!A24</f>
        <v>3</v>
      </c>
      <c r="E2" s="77">
        <f>Inputs!A25</f>
        <v>4</v>
      </c>
      <c r="F2" s="77">
        <f>Inputs!A26</f>
        <v>5</v>
      </c>
      <c r="G2" s="77">
        <f>Inputs!A27</f>
        <v>0</v>
      </c>
      <c r="H2" s="77">
        <f>Inputs!A28</f>
        <v>0</v>
      </c>
      <c r="I2" s="77">
        <f>Inputs!A29</f>
        <v>0</v>
      </c>
      <c r="J2" s="77">
        <f>Inputs!A30</f>
        <v>0</v>
      </c>
      <c r="K2" s="78">
        <f>Inputs!A31</f>
        <v>0</v>
      </c>
      <c r="L2" s="79" t="s">
        <v>102</v>
      </c>
      <c r="M2" s="80"/>
    </row>
    <row r="3" spans="1:13" s="1" customFormat="1" ht="20" customHeight="1">
      <c r="A3" s="76" t="s">
        <v>19</v>
      </c>
      <c r="B3" s="81">
        <f>IF(B2&gt;0,Inputs!B9,0)</f>
        <v>6136</v>
      </c>
      <c r="C3" s="81">
        <f>IF(C2&gt;0,Inputs!B10," ")</f>
        <v>5682</v>
      </c>
      <c r="D3" s="81">
        <f>IF(D2&gt;0,Inputs!B11," ")</f>
        <v>4807</v>
      </c>
      <c r="E3" s="81">
        <f>IF(E2&gt;0,Inputs!B12," ")</f>
        <v>3963</v>
      </c>
      <c r="F3" s="81">
        <f>IF(F2&gt;0,Inputs!B13," ")</f>
        <v>3307</v>
      </c>
      <c r="G3" s="81" t="str">
        <f>IF(G2&gt;0,Inputs!B14," ")</f>
        <v xml:space="preserve"> </v>
      </c>
      <c r="H3" s="81" t="str">
        <f>IF(H2&gt;0,Inputs!B15," ")</f>
        <v xml:space="preserve"> </v>
      </c>
      <c r="I3" s="81" t="str">
        <f>IF(I2&gt;0,Inputs!B16," ")</f>
        <v xml:space="preserve"> </v>
      </c>
      <c r="J3" s="81" t="str">
        <f>IF(J2&gt;0,Inputs!B17," ")</f>
        <v xml:space="preserve"> </v>
      </c>
      <c r="K3" s="82" t="str">
        <f>IF(K2&gt;0,Inputs!B18," ")</f>
        <v xml:space="preserve"> </v>
      </c>
      <c r="L3" s="83">
        <f>SUM(B3:K3)</f>
        <v>23895</v>
      </c>
      <c r="M3" s="80"/>
    </row>
    <row r="4" spans="1:13" s="1" customFormat="1" ht="20" customHeight="1">
      <c r="A4" s="76" t="s">
        <v>84</v>
      </c>
      <c r="B4" s="81">
        <f>IF(B2&gt;0,Inputs!D9-Inputs!C9," ")</f>
        <v>604</v>
      </c>
      <c r="C4" s="81">
        <f>IF(C2&gt;0,Inputs!D10-Inputs!C10," ")</f>
        <v>1797</v>
      </c>
      <c r="D4" s="81">
        <f>IF(D2&gt;0,Inputs!D11-Inputs!C11," ")</f>
        <v>1718</v>
      </c>
      <c r="E4" s="81">
        <f>IF(E2&gt;0,Inputs!D12-Inputs!C12," ")</f>
        <v>397</v>
      </c>
      <c r="F4" s="81">
        <f>IF(F2&gt;0,Inputs!D13-Inputs!C13," ")</f>
        <v>122</v>
      </c>
      <c r="G4" s="81" t="str">
        <f>IF(G2&gt;0,Inputs!D14-Inputs!C14," ")</f>
        <v xml:space="preserve"> </v>
      </c>
      <c r="H4" s="81" t="str">
        <f>IF(H2&gt;0,Inputs!D15-Inputs!C15," ")</f>
        <v xml:space="preserve"> </v>
      </c>
      <c r="I4" s="81" t="str">
        <f>IF(I2&gt;0,Inputs!D16-Inputs!C16," ")</f>
        <v xml:space="preserve"> </v>
      </c>
      <c r="J4" s="81" t="str">
        <f>IF(J2&gt;0,Inputs!D17-Inputs!C17," ")</f>
        <v xml:space="preserve"> </v>
      </c>
      <c r="K4" s="82" t="str">
        <f>IF(K2&gt;0,Inputs!D18-Inputs!C18," ")</f>
        <v xml:space="preserve"> </v>
      </c>
      <c r="L4" s="83">
        <f t="shared" ref="L4:L9" si="0">SUM(B4:K4)</f>
        <v>4638</v>
      </c>
      <c r="M4" s="80"/>
    </row>
    <row r="5" spans="1:13" s="1" customFormat="1" ht="20" customHeight="1" thickBot="1">
      <c r="A5" s="84" t="s">
        <v>85</v>
      </c>
      <c r="B5" s="85">
        <f>IF(B2&gt;0,Inputs!E9," ")</f>
        <v>-133</v>
      </c>
      <c r="C5" s="85">
        <f>IF(C2&gt;0,Inputs!E10," ")</f>
        <v>940</v>
      </c>
      <c r="D5" s="85">
        <f>IF(D2&gt;0,Inputs!E11," ")</f>
        <v>950</v>
      </c>
      <c r="E5" s="85">
        <f>IF(E2&gt;0,Inputs!E12," ")</f>
        <v>308</v>
      </c>
      <c r="F5" s="85">
        <f>IF(F2&gt;0,Inputs!E13," ")</f>
        <v>-109</v>
      </c>
      <c r="G5" s="85" t="str">
        <f>IF(G2&gt;0,Inputs!E14," ")</f>
        <v xml:space="preserve"> </v>
      </c>
      <c r="H5" s="85" t="str">
        <f>IF(H2&gt;0,Inputs!E15," ")</f>
        <v xml:space="preserve"> </v>
      </c>
      <c r="I5" s="85" t="str">
        <f>IF(I2&gt;0,Inputs!E16," ")</f>
        <v xml:space="preserve"> </v>
      </c>
      <c r="J5" s="85" t="str">
        <f>IF(J2&gt;0,Inputs!E17," ")</f>
        <v xml:space="preserve"> </v>
      </c>
      <c r="K5" s="86" t="str">
        <f>IF(K2&gt;0,Inputs!E18," ")</f>
        <v xml:space="preserve"> </v>
      </c>
      <c r="L5" s="87">
        <f t="shared" si="0"/>
        <v>1956</v>
      </c>
      <c r="M5" s="80"/>
    </row>
    <row r="6" spans="1:13" s="1" customFormat="1" ht="20" customHeight="1" thickBot="1">
      <c r="A6" s="84" t="s">
        <v>103</v>
      </c>
      <c r="B6" s="85">
        <f t="shared" ref="B6:K6" si="1">IF(B2&gt;0,B3-B4-B5,)</f>
        <v>5665</v>
      </c>
      <c r="C6" s="85">
        <f t="shared" si="1"/>
        <v>2945</v>
      </c>
      <c r="D6" s="85">
        <f t="shared" si="1"/>
        <v>2139</v>
      </c>
      <c r="E6" s="85">
        <f t="shared" si="1"/>
        <v>3258</v>
      </c>
      <c r="F6" s="85">
        <f t="shared" si="1"/>
        <v>3294</v>
      </c>
      <c r="G6" s="85">
        <f t="shared" si="1"/>
        <v>0</v>
      </c>
      <c r="H6" s="85">
        <f t="shared" si="1"/>
        <v>0</v>
      </c>
      <c r="I6" s="85">
        <f t="shared" si="1"/>
        <v>0</v>
      </c>
      <c r="J6" s="85">
        <f t="shared" si="1"/>
        <v>0</v>
      </c>
      <c r="K6" s="85">
        <f t="shared" si="1"/>
        <v>0</v>
      </c>
      <c r="L6" s="88">
        <f t="shared" si="0"/>
        <v>17301</v>
      </c>
      <c r="M6" s="80"/>
    </row>
    <row r="7" spans="1:13" s="1" customFormat="1" ht="20" customHeight="1" thickBot="1">
      <c r="A7" s="76" t="s">
        <v>83</v>
      </c>
      <c r="B7" s="81">
        <f>IF(B2&gt;0,Inputs!F9," ")</f>
        <v>1881</v>
      </c>
      <c r="C7" s="81">
        <f>IF(C2&gt;0,Inputs!F10," ")</f>
        <v>4246</v>
      </c>
      <c r="D7" s="81">
        <f>IF(D2&gt;0,Inputs!F11," ")</f>
        <v>2743</v>
      </c>
      <c r="E7" s="81">
        <f>IF(E2&gt;0,Inputs!F12," ")</f>
        <v>1190</v>
      </c>
      <c r="F7" s="81">
        <f>IF(F2&gt;0,Inputs!F13," ")</f>
        <v>-235</v>
      </c>
      <c r="G7" s="81" t="str">
        <f>IF(G2&gt;0,Inputs!F14," ")</f>
        <v xml:space="preserve"> </v>
      </c>
      <c r="H7" s="81" t="str">
        <f>IF(H2&gt;0,Inputs!F15," ")</f>
        <v xml:space="preserve"> </v>
      </c>
      <c r="I7" s="81" t="str">
        <f>IF(I2&gt;0,Inputs!F16," ")</f>
        <v xml:space="preserve"> </v>
      </c>
      <c r="J7" s="81" t="str">
        <f>IF(J2&gt;0,Inputs!F17," ")</f>
        <v xml:space="preserve"> </v>
      </c>
      <c r="K7" s="81" t="str">
        <f>IF(K2&gt;0,Inputs!F18," ")</f>
        <v xml:space="preserve"> </v>
      </c>
      <c r="L7" s="89">
        <f t="shared" si="0"/>
        <v>9825</v>
      </c>
      <c r="M7" s="80"/>
    </row>
    <row r="8" spans="1:13" s="1" customFormat="1" ht="20" customHeight="1" thickBot="1">
      <c r="A8" s="76" t="s">
        <v>116</v>
      </c>
      <c r="B8" s="81">
        <f t="shared" ref="B8:G8" si="2">IF(B2&gt;0,B3-B4-B5+B7," ")</f>
        <v>7546</v>
      </c>
      <c r="C8" s="81">
        <f t="shared" si="2"/>
        <v>7191</v>
      </c>
      <c r="D8" s="81">
        <f t="shared" si="2"/>
        <v>4882</v>
      </c>
      <c r="E8" s="81">
        <f t="shared" si="2"/>
        <v>4448</v>
      </c>
      <c r="F8" s="81">
        <f t="shared" si="2"/>
        <v>3059</v>
      </c>
      <c r="G8" s="81" t="str">
        <f t="shared" si="2"/>
        <v xml:space="preserve"> </v>
      </c>
      <c r="H8" s="81" t="str">
        <f>IF(H2&gt;0,H3-H4-H5+H7," ")</f>
        <v xml:space="preserve"> </v>
      </c>
      <c r="I8" s="81" t="str">
        <f>IF(I2&gt;0,I3-I4-I5+I7," ")</f>
        <v xml:space="preserve"> </v>
      </c>
      <c r="J8" s="81" t="str">
        <f>IF(J2&gt;0,J3-J4-J5+J7," ")</f>
        <v xml:space="preserve"> </v>
      </c>
      <c r="K8" s="81" t="str">
        <f>IF(K2&gt;0,K3-K4-K5+K7," ")</f>
        <v xml:space="preserve"> </v>
      </c>
      <c r="L8" s="90">
        <f t="shared" si="0"/>
        <v>27126</v>
      </c>
      <c r="M8" s="80"/>
    </row>
    <row r="9" spans="1:13" s="1" customFormat="1" ht="20" customHeight="1" thickBot="1">
      <c r="A9" s="76" t="s">
        <v>108</v>
      </c>
      <c r="B9" s="81">
        <f>IF(B2&gt;0,IF(Inputs!$E$4="Yes",B3-(B4+B5)*(1-Inputs!$E$5),B3-(B4+B5)*(1-Inputs!$E$3)),)</f>
        <v>5719.5384869191366</v>
      </c>
      <c r="C9" s="81">
        <f>IF(C2&gt;0,IF(Inputs!$E$4="Yes",C3-(C4+C5)*(1-Inputs!$E$5),C3-(C4+C5)*(1-Inputs!$E$3)),)</f>
        <v>3261.9253475534524</v>
      </c>
      <c r="D9" s="81">
        <f>IF(D2&gt;0,IF(Inputs!$E$4="Yes",D3-(D4+D5)*(1-Inputs!$E$5),D3-(D4+D5)*(1-Inputs!$E$3)),)</f>
        <v>2447.9356329092479</v>
      </c>
      <c r="E9" s="81">
        <f>IF(E2&gt;0,IF(Inputs!$E$4="Yes",E3-(E4+E5)*(1-Inputs!$E$5),E3-(E4+E5)*(1-Inputs!$E$3)),)</f>
        <v>3339.6340409299173</v>
      </c>
      <c r="F9" s="81">
        <f>IF(F2&gt;0,IF(Inputs!$E$4="Yes",F3-(F4+F5)*(1-Inputs!$E$5),F3-(F4+F5)*(1-Inputs!$E$3)),)</f>
        <v>3295.5053085561544</v>
      </c>
      <c r="G9" s="81">
        <f>IF(G2&gt;0,IF(Inputs!$E$4="Yes",G3-(G4+G5)*(1-Inputs!$E$5),G3-(G4+G5)*(1-Inputs!$E$3)),)</f>
        <v>0</v>
      </c>
      <c r="H9" s="81">
        <f>IF(H2&gt;0,IF(Inputs!$E$4="Yes",H3-(H4+H5)*(1-Inputs!$E$5),H3-(H4+H5)*(1-Inputs!$E$3)),)</f>
        <v>0</v>
      </c>
      <c r="I9" s="81">
        <f>IF(I2&gt;0,IF(Inputs!$E$4="Yes",I3-(I4+I5)*(1-Inputs!$E$5),I3-(I4+I5)*(1-Inputs!$E$3)),)</f>
        <v>0</v>
      </c>
      <c r="J9" s="81">
        <f>IF(J2&gt;0,IF(Inputs!$E$4="Yes",J3-(J4+J5)*(1-Inputs!$E$5),J3-(J4+J5)*(1-Inputs!$E$3)),)</f>
        <v>0</v>
      </c>
      <c r="K9" s="81">
        <f>IF(K2&gt;0,IF(Inputs!$E$4="Yes",K3-(K4+K5)*(1-Inputs!$E$5),K3-(K4+K5)*(1-Inputs!$E$3)),)</f>
        <v>0</v>
      </c>
      <c r="L9" s="88">
        <f t="shared" si="0"/>
        <v>18064.538816867909</v>
      </c>
      <c r="M9" s="80"/>
    </row>
    <row r="10" spans="1:13" s="6" customFormat="1" ht="20" customHeight="1">
      <c r="A10" s="91"/>
      <c r="B10" s="92"/>
      <c r="C10" s="92"/>
      <c r="D10" s="92"/>
      <c r="E10" s="92"/>
      <c r="F10" s="92"/>
      <c r="G10" s="92"/>
      <c r="H10" s="92"/>
      <c r="I10" s="92"/>
      <c r="J10" s="92"/>
      <c r="K10" s="92"/>
      <c r="L10" s="80"/>
      <c r="M10" s="80"/>
    </row>
    <row r="11" spans="1:13" s="6" customFormat="1" ht="20" customHeight="1">
      <c r="A11" s="76" t="s">
        <v>55</v>
      </c>
      <c r="B11" s="81">
        <f>IF(B2&gt;0,Inputs!B22," ")</f>
        <v>1324</v>
      </c>
      <c r="C11" s="81">
        <f>IF(C2&gt;0,Inputs!B23," ")</f>
        <v>1076</v>
      </c>
      <c r="D11" s="81">
        <f>IF(D2&gt;0,Inputs!B24," ")</f>
        <v>756</v>
      </c>
      <c r="E11" s="81">
        <f>IF(E2&gt;0,Inputs!B25," ")</f>
        <v>653</v>
      </c>
      <c r="F11" s="81">
        <f>IF(F2&gt;0,Inputs!B26," ")</f>
        <v>648</v>
      </c>
      <c r="G11" s="81" t="str">
        <f>IF(G2&gt;0,Inputs!B27," ")</f>
        <v xml:space="preserve"> </v>
      </c>
      <c r="H11" s="81" t="str">
        <f>IF(H2&gt;0,Inputs!B28," ")</f>
        <v xml:space="preserve"> </v>
      </c>
      <c r="I11" s="81" t="str">
        <f>IF(I2&gt;0,Inputs!B29," ")</f>
        <v xml:space="preserve"> </v>
      </c>
      <c r="J11" s="81" t="str">
        <f>IF(J2&gt;0,Inputs!B30," ")</f>
        <v xml:space="preserve"> </v>
      </c>
      <c r="K11" s="81" t="str">
        <f>IF(K2&gt;0,Inputs!B31," ")</f>
        <v xml:space="preserve"> </v>
      </c>
      <c r="L11" s="83">
        <f>SUM(B11:K11)</f>
        <v>4457</v>
      </c>
      <c r="M11" s="80"/>
    </row>
    <row r="12" spans="1:13" s="6" customFormat="1" ht="20" customHeight="1" thickBot="1">
      <c r="A12" s="93" t="s">
        <v>56</v>
      </c>
      <c r="B12" s="94">
        <f>IF(B2&gt;0,Inputs!C22,)</f>
        <v>4087</v>
      </c>
      <c r="C12" s="94">
        <f>IF(C2&gt;0,Inputs!C23,)</f>
        <v>3015</v>
      </c>
      <c r="D12" s="94">
        <f>IF(D2&gt;0,Inputs!C24,)</f>
        <v>4993</v>
      </c>
      <c r="E12" s="94">
        <f>IF(E2&gt;0,Inputs!C25,)</f>
        <v>2669</v>
      </c>
      <c r="F12" s="94">
        <f>IF(F2&gt;0,Inputs!C26,)</f>
        <v>648</v>
      </c>
      <c r="G12" s="94">
        <f>IF(G2&gt;0,Inputs!C27,)</f>
        <v>0</v>
      </c>
      <c r="H12" s="94">
        <f>IF(H2&gt;0,Inputs!C28,)</f>
        <v>0</v>
      </c>
      <c r="I12" s="94">
        <f>IF(I2&gt;0,Inputs!C29,)</f>
        <v>0</v>
      </c>
      <c r="J12" s="94">
        <f>IF(J2&gt;0,Inputs!C30,)</f>
        <v>0</v>
      </c>
      <c r="K12" s="94">
        <f>IF(K2&gt;0,Inputs!C31,)</f>
        <v>0</v>
      </c>
      <c r="L12" s="83">
        <f>SUM(B12:K12)</f>
        <v>15412</v>
      </c>
      <c r="M12" s="80"/>
    </row>
    <row r="13" spans="1:13" s="6" customFormat="1" ht="20" customHeight="1" thickBot="1">
      <c r="A13" s="95" t="s">
        <v>65</v>
      </c>
      <c r="B13" s="96">
        <f t="shared" ref="B13:K13" si="3">IF(B2&gt;0,B11+B12," ")</f>
        <v>5411</v>
      </c>
      <c r="C13" s="96">
        <f t="shared" si="3"/>
        <v>4091</v>
      </c>
      <c r="D13" s="96">
        <f t="shared" si="3"/>
        <v>5749</v>
      </c>
      <c r="E13" s="96">
        <f t="shared" si="3"/>
        <v>3322</v>
      </c>
      <c r="F13" s="96">
        <f t="shared" si="3"/>
        <v>1296</v>
      </c>
      <c r="G13" s="96" t="str">
        <f t="shared" si="3"/>
        <v xml:space="preserve"> </v>
      </c>
      <c r="H13" s="96" t="str">
        <f t="shared" si="3"/>
        <v xml:space="preserve"> </v>
      </c>
      <c r="I13" s="96" t="str">
        <f t="shared" si="3"/>
        <v xml:space="preserve"> </v>
      </c>
      <c r="J13" s="96" t="str">
        <f t="shared" si="3"/>
        <v xml:space="preserve"> </v>
      </c>
      <c r="K13" s="97" t="str">
        <f t="shared" si="3"/>
        <v xml:space="preserve"> </v>
      </c>
      <c r="L13" s="83">
        <f>SUM(B13:K13)</f>
        <v>19869</v>
      </c>
      <c r="M13" s="80"/>
    </row>
    <row r="14" spans="1:13" s="6" customFormat="1" ht="20" customHeight="1">
      <c r="A14" s="98"/>
      <c r="B14" s="99"/>
      <c r="C14" s="99"/>
      <c r="D14" s="99"/>
      <c r="E14" s="99"/>
      <c r="F14" s="99"/>
      <c r="G14" s="99"/>
      <c r="H14" s="99"/>
      <c r="I14" s="99"/>
      <c r="J14" s="99"/>
      <c r="K14" s="99"/>
      <c r="L14" s="80"/>
      <c r="M14" s="80"/>
    </row>
    <row r="15" spans="1:13" s="6" customFormat="1" ht="20" customHeight="1">
      <c r="A15" s="100" t="s">
        <v>66</v>
      </c>
      <c r="B15" s="77"/>
      <c r="C15" s="77"/>
      <c r="D15" s="77"/>
      <c r="E15" s="77"/>
      <c r="F15" s="77"/>
      <c r="G15" s="77"/>
      <c r="H15" s="77"/>
      <c r="I15" s="77"/>
      <c r="J15" s="77"/>
      <c r="K15" s="77"/>
      <c r="L15" s="80"/>
      <c r="M15" s="80"/>
    </row>
    <row r="16" spans="1:13" s="6" customFormat="1" ht="20" customHeight="1" thickBot="1">
      <c r="A16" s="84" t="s">
        <v>67</v>
      </c>
      <c r="B16" s="101">
        <f t="shared" ref="B16:K16" si="4">IF(B2&gt;0,B11/B3," ")</f>
        <v>0.21577574967405475</v>
      </c>
      <c r="C16" s="101">
        <f t="shared" si="4"/>
        <v>0.18936994016191483</v>
      </c>
      <c r="D16" s="101">
        <f t="shared" si="4"/>
        <v>0.15727064697316415</v>
      </c>
      <c r="E16" s="101">
        <f t="shared" si="4"/>
        <v>0.16477416098914963</v>
      </c>
      <c r="F16" s="101">
        <f t="shared" si="4"/>
        <v>0.1959479891140006</v>
      </c>
      <c r="G16" s="101" t="str">
        <f t="shared" si="4"/>
        <v xml:space="preserve"> </v>
      </c>
      <c r="H16" s="101" t="str">
        <f t="shared" si="4"/>
        <v xml:space="preserve"> </v>
      </c>
      <c r="I16" s="101" t="str">
        <f t="shared" si="4"/>
        <v xml:space="preserve"> </v>
      </c>
      <c r="J16" s="101" t="str">
        <f t="shared" si="4"/>
        <v xml:space="preserve"> </v>
      </c>
      <c r="K16" s="101" t="str">
        <f t="shared" si="4"/>
        <v xml:space="preserve"> </v>
      </c>
      <c r="L16" s="80"/>
      <c r="M16" s="80"/>
    </row>
    <row r="17" spans="1:13" s="6" customFormat="1" ht="20" customHeight="1" thickBot="1">
      <c r="A17" s="95" t="s">
        <v>68</v>
      </c>
      <c r="B17" s="102">
        <f t="shared" ref="B17:K17" si="5">IF(B2&gt;0,B13/B8," ")</f>
        <v>0.71706864564007422</v>
      </c>
      <c r="C17" s="102">
        <f t="shared" si="5"/>
        <v>0.5689055764149632</v>
      </c>
      <c r="D17" s="102">
        <f t="shared" si="5"/>
        <v>1.1775911511675543</v>
      </c>
      <c r="E17" s="102">
        <f t="shared" si="5"/>
        <v>0.74685251798561147</v>
      </c>
      <c r="F17" s="102">
        <f t="shared" si="5"/>
        <v>0.42366786531546258</v>
      </c>
      <c r="G17" s="102" t="str">
        <f t="shared" si="5"/>
        <v xml:space="preserve"> </v>
      </c>
      <c r="H17" s="102" t="str">
        <f t="shared" si="5"/>
        <v xml:space="preserve"> </v>
      </c>
      <c r="I17" s="102" t="str">
        <f t="shared" si="5"/>
        <v xml:space="preserve"> </v>
      </c>
      <c r="J17" s="102" t="str">
        <f t="shared" si="5"/>
        <v xml:space="preserve"> </v>
      </c>
      <c r="K17" s="103" t="str">
        <f t="shared" si="5"/>
        <v xml:space="preserve"> </v>
      </c>
      <c r="L17" s="80"/>
      <c r="M17" s="80"/>
    </row>
    <row r="18" spans="1:13" s="6" customFormat="1" ht="20" customHeight="1">
      <c r="A18" s="98"/>
      <c r="B18" s="99"/>
      <c r="C18" s="99"/>
      <c r="D18" s="99"/>
      <c r="E18" s="99"/>
      <c r="F18" s="99"/>
      <c r="G18" s="99"/>
      <c r="H18" s="99"/>
      <c r="I18" s="99"/>
      <c r="J18" s="99"/>
      <c r="K18" s="99"/>
      <c r="L18" s="80"/>
      <c r="M18" s="80"/>
    </row>
    <row r="19" spans="1:13" s="6" customFormat="1" ht="20" customHeight="1">
      <c r="A19" s="100" t="s">
        <v>69</v>
      </c>
      <c r="B19" s="77"/>
      <c r="C19" s="77"/>
      <c r="D19" s="77"/>
      <c r="E19" s="77"/>
      <c r="F19" s="77"/>
      <c r="G19" s="77"/>
      <c r="H19" s="77"/>
      <c r="I19" s="77"/>
      <c r="J19" s="77"/>
      <c r="K19" s="77"/>
      <c r="L19" s="80"/>
      <c r="M19" s="80"/>
    </row>
    <row r="20" spans="1:13" s="6" customFormat="1" ht="20" customHeight="1">
      <c r="A20" s="100" t="s">
        <v>70</v>
      </c>
      <c r="B20" s="77"/>
      <c r="C20" s="77"/>
      <c r="D20" s="77"/>
      <c r="E20" s="77"/>
      <c r="F20" s="77"/>
      <c r="G20" s="77"/>
      <c r="H20" s="77"/>
      <c r="I20" s="77"/>
      <c r="J20" s="77"/>
      <c r="K20" s="77"/>
      <c r="L20" s="80"/>
      <c r="M20" s="80"/>
    </row>
    <row r="21" spans="1:13" s="6" customFormat="1" ht="20" customHeight="1">
      <c r="A21" s="76" t="s">
        <v>71</v>
      </c>
      <c r="B21" s="104">
        <f>IF(B2&gt;0,Inputs!B9/Inputs!B41," ")</f>
        <v>1.614405464141571E-2</v>
      </c>
      <c r="C21" s="104">
        <f>IF(C2&gt;0,Inputs!B10/Inputs!B42," ")</f>
        <v>1.7215260440652497E-2</v>
      </c>
      <c r="D21" s="104">
        <f>IF(D2&gt;0,Inputs!B11/Inputs!B43," ")</f>
        <v>2.4755254118580088E-2</v>
      </c>
      <c r="E21" s="104">
        <f>IF(E2&gt;0,Inputs!B12/Inputs!B44," ")</f>
        <v>4.7066508313539195E-2</v>
      </c>
      <c r="F21" s="104">
        <f>IF(F2&gt;0,Inputs!B13/Inputs!B45," ")</f>
        <v>5.2130460141557769E-2</v>
      </c>
      <c r="G21" s="104" t="str">
        <f>IF(G2&gt;0,Inputs!B14/Inputs!B46," ")</f>
        <v xml:space="preserve"> </v>
      </c>
      <c r="H21" s="104" t="str">
        <f>IF(H2&gt;0,Inputs!B15/Inputs!B47," ")</f>
        <v xml:space="preserve"> </v>
      </c>
      <c r="I21" s="104" t="str">
        <f>IF(I2&gt;0,Inputs!B16/Inputs!B48," ")</f>
        <v xml:space="preserve"> </v>
      </c>
      <c r="J21" s="104" t="str">
        <f>IF(J2&gt;0,Inputs!B17/Inputs!B49," ")</f>
        <v xml:space="preserve"> </v>
      </c>
      <c r="K21" s="104" t="str">
        <f>IF(K2&gt;0,Inputs!B18/Inputs!B50," ")</f>
        <v xml:space="preserve"> </v>
      </c>
      <c r="L21" s="80"/>
      <c r="M21" s="80"/>
    </row>
    <row r="22" spans="1:13" s="6" customFormat="1" ht="20" customHeight="1" thickBot="1">
      <c r="A22" s="84" t="s">
        <v>72</v>
      </c>
      <c r="B22" s="105">
        <f>IF(B2&gt;0,Inputs!D41+Inputs!$D$37*(Inputs!E41-Inputs!D41)," ")</f>
        <v>-0.1581645859098062</v>
      </c>
      <c r="C22" s="105">
        <f>IF(C2&gt;0,Inputs!D42+Inputs!$D$37*(Inputs!E42-Inputs!D42)," ")</f>
        <v>0.25659216313694905</v>
      </c>
      <c r="D22" s="105">
        <f>IF(D2&gt;0,Inputs!D43+Inputs!$D$37*(Inputs!E43-Inputs!D43)," ")</f>
        <v>0.16249608166690394</v>
      </c>
      <c r="E22" s="105">
        <f>IF(E2&gt;0,Inputs!D44+Inputs!$D$37*(Inputs!E44-Inputs!D44)," ")</f>
        <v>0.28278139845124373</v>
      </c>
      <c r="F22" s="105">
        <f>IF(F2&gt;0,Inputs!D45+Inputs!$D$37*(Inputs!E45-Inputs!D45)," ")</f>
        <v>-3.6170483330643537E-2</v>
      </c>
      <c r="G22" s="105" t="str">
        <f>IF(G2&gt;0,Inputs!D46+Inputs!$D$37*(Inputs!E46-Inputs!D46)," ")</f>
        <v xml:space="preserve"> </v>
      </c>
      <c r="H22" s="105" t="str">
        <f>IF(H2&gt;0,Inputs!D47+Inputs!$D$37*(Inputs!E47-Inputs!D47)," ")</f>
        <v xml:space="preserve"> </v>
      </c>
      <c r="I22" s="105" t="str">
        <f>IF(I2&gt;0,Inputs!D48+Inputs!$D$37*(Inputs!E48-Inputs!D48)," ")</f>
        <v xml:space="preserve"> </v>
      </c>
      <c r="J22" s="105" t="str">
        <f>IF(J2&gt;0,Inputs!D49+Inputs!$D$37*(Inputs!E49-Inputs!D49)," ")</f>
        <v xml:space="preserve"> </v>
      </c>
      <c r="K22" s="105" t="str">
        <f>IF(K2&gt;0,Inputs!D50+Inputs!$D$37*(Inputs!E50-Inputs!D50)," ")</f>
        <v xml:space="preserve"> </v>
      </c>
      <c r="L22" s="80"/>
      <c r="M22" s="80"/>
    </row>
    <row r="23" spans="1:13" s="6" customFormat="1" ht="20" customHeight="1" thickBot="1">
      <c r="A23" s="95" t="s">
        <v>73</v>
      </c>
      <c r="B23" s="106">
        <f t="shared" ref="B23:K23" si="6">IF(B2&gt;0,B21-B22," ")</f>
        <v>0.17430864055122192</v>
      </c>
      <c r="C23" s="106">
        <f t="shared" si="6"/>
        <v>-0.23937690269629655</v>
      </c>
      <c r="D23" s="106">
        <f t="shared" si="6"/>
        <v>-0.13774082754832384</v>
      </c>
      <c r="E23" s="106">
        <f t="shared" si="6"/>
        <v>-0.23571489013770452</v>
      </c>
      <c r="F23" s="106">
        <f t="shared" si="6"/>
        <v>8.8300943472201299E-2</v>
      </c>
      <c r="G23" s="106" t="str">
        <f t="shared" si="6"/>
        <v xml:space="preserve"> </v>
      </c>
      <c r="H23" s="106" t="str">
        <f t="shared" si="6"/>
        <v xml:space="preserve"> </v>
      </c>
      <c r="I23" s="106" t="str">
        <f t="shared" si="6"/>
        <v xml:space="preserve"> </v>
      </c>
      <c r="J23" s="106" t="str">
        <f t="shared" si="6"/>
        <v xml:space="preserve"> </v>
      </c>
      <c r="K23" s="107" t="str">
        <f t="shared" si="6"/>
        <v xml:space="preserve"> </v>
      </c>
      <c r="L23" s="80"/>
      <c r="M23" s="80"/>
    </row>
    <row r="24" spans="1:13" s="6" customFormat="1" ht="20" customHeight="1">
      <c r="A24" s="108" t="s">
        <v>74</v>
      </c>
      <c r="B24" s="99"/>
      <c r="C24" s="99"/>
      <c r="D24" s="99"/>
      <c r="E24" s="99"/>
      <c r="F24" s="99"/>
      <c r="G24" s="99"/>
      <c r="H24" s="99"/>
      <c r="I24" s="99"/>
      <c r="J24" s="99"/>
      <c r="K24" s="99"/>
      <c r="L24" s="80"/>
      <c r="M24" s="80"/>
    </row>
    <row r="25" spans="1:13" s="6" customFormat="1" ht="20" customHeight="1">
      <c r="A25" s="76" t="s">
        <v>53</v>
      </c>
      <c r="B25" s="104">
        <f>IF(B2&gt;0,Inputs!C41," ")</f>
        <v>0.3533</v>
      </c>
      <c r="C25" s="104">
        <f>IF(C2&gt;0,Inputs!C42," ")</f>
        <v>0.1065</v>
      </c>
      <c r="D25" s="104">
        <f>IF(D2&gt;0,Inputs!C43," ")</f>
        <v>-5.1499999999999997E-2</v>
      </c>
      <c r="E25" s="104">
        <f>IF(E2&gt;0,Inputs!C44," ")</f>
        <v>0.16220000000000001</v>
      </c>
      <c r="F25" s="104">
        <f>IF(F2&gt;0,Inputs!C45," ")</f>
        <v>0.31169999999999998</v>
      </c>
      <c r="G25" s="104" t="str">
        <f>IF(G2&gt;0,Inputs!C46," ")</f>
        <v xml:space="preserve"> </v>
      </c>
      <c r="H25" s="104" t="str">
        <f>IF(H2&gt;0,Inputs!C47," ")</f>
        <v xml:space="preserve"> </v>
      </c>
      <c r="I25" s="104" t="str">
        <f>IF(I2&gt;0,Inputs!C48," ")</f>
        <v xml:space="preserve"> </v>
      </c>
      <c r="J25" s="104" t="str">
        <f>IF(J2&gt;0,Inputs!C49," ")</f>
        <v xml:space="preserve"> </v>
      </c>
      <c r="K25" s="104" t="str">
        <f>IF(K2&gt;0,Inputs!C50," ")</f>
        <v xml:space="preserve"> </v>
      </c>
      <c r="L25" s="80"/>
      <c r="M25" s="80"/>
    </row>
    <row r="26" spans="1:13" s="6" customFormat="1" ht="20" customHeight="1" thickBot="1">
      <c r="A26" s="84" t="s">
        <v>72</v>
      </c>
      <c r="B26" s="105">
        <f t="shared" ref="B26:K26" si="7">B22</f>
        <v>-0.1581645859098062</v>
      </c>
      <c r="C26" s="105">
        <f t="shared" si="7"/>
        <v>0.25659216313694905</v>
      </c>
      <c r="D26" s="105">
        <f t="shared" si="7"/>
        <v>0.16249608166690394</v>
      </c>
      <c r="E26" s="105">
        <f t="shared" si="7"/>
        <v>0.28278139845124373</v>
      </c>
      <c r="F26" s="105">
        <f t="shared" si="7"/>
        <v>-3.6170483330643537E-2</v>
      </c>
      <c r="G26" s="105" t="str">
        <f t="shared" si="7"/>
        <v xml:space="preserve"> </v>
      </c>
      <c r="H26" s="105" t="str">
        <f t="shared" si="7"/>
        <v xml:space="preserve"> </v>
      </c>
      <c r="I26" s="105" t="str">
        <f t="shared" si="7"/>
        <v xml:space="preserve"> </v>
      </c>
      <c r="J26" s="105" t="str">
        <f t="shared" si="7"/>
        <v xml:space="preserve"> </v>
      </c>
      <c r="K26" s="105" t="str">
        <f t="shared" si="7"/>
        <v xml:space="preserve"> </v>
      </c>
      <c r="L26" s="80"/>
      <c r="M26" s="80"/>
    </row>
    <row r="27" spans="1:13" s="6" customFormat="1" ht="20" customHeight="1">
      <c r="A27" s="109" t="s">
        <v>75</v>
      </c>
      <c r="B27" s="110">
        <f t="shared" ref="B27:K27" si="8">IF(B2&gt;0,B25-B26," ")</f>
        <v>0.51146458590980615</v>
      </c>
      <c r="C27" s="110">
        <f t="shared" si="8"/>
        <v>-0.15009216313694906</v>
      </c>
      <c r="D27" s="110">
        <f t="shared" si="8"/>
        <v>-0.21399608166690393</v>
      </c>
      <c r="E27" s="110">
        <f t="shared" si="8"/>
        <v>-0.12058139845124372</v>
      </c>
      <c r="F27" s="110">
        <f t="shared" si="8"/>
        <v>0.34787048333064352</v>
      </c>
      <c r="G27" s="110" t="str">
        <f t="shared" si="8"/>
        <v xml:space="preserve"> </v>
      </c>
      <c r="H27" s="110" t="str">
        <f t="shared" si="8"/>
        <v xml:space="preserve"> </v>
      </c>
      <c r="I27" s="110" t="str">
        <f t="shared" si="8"/>
        <v xml:space="preserve"> </v>
      </c>
      <c r="J27" s="110" t="str">
        <f t="shared" si="8"/>
        <v xml:space="preserve"> </v>
      </c>
      <c r="K27" s="111" t="str">
        <f t="shared" si="8"/>
        <v xml:space="preserve"> </v>
      </c>
      <c r="L27" s="80"/>
      <c r="M27" s="80"/>
    </row>
    <row r="28" spans="1:13" s="6" customFormat="1">
      <c r="A28" s="76" t="s">
        <v>76</v>
      </c>
      <c r="B28" s="77">
        <f t="shared" ref="B28:K28" si="9">IF(B2&gt;0,1,0)</f>
        <v>1</v>
      </c>
      <c r="C28" s="77">
        <f t="shared" si="9"/>
        <v>1</v>
      </c>
      <c r="D28" s="77">
        <f t="shared" si="9"/>
        <v>1</v>
      </c>
      <c r="E28" s="77">
        <f t="shared" si="9"/>
        <v>1</v>
      </c>
      <c r="F28" s="77">
        <f t="shared" si="9"/>
        <v>1</v>
      </c>
      <c r="G28" s="77">
        <f t="shared" si="9"/>
        <v>0</v>
      </c>
      <c r="H28" s="77">
        <f t="shared" si="9"/>
        <v>0</v>
      </c>
      <c r="I28" s="77">
        <f t="shared" si="9"/>
        <v>0</v>
      </c>
      <c r="J28" s="77">
        <f t="shared" si="9"/>
        <v>0</v>
      </c>
      <c r="K28" s="77">
        <f t="shared" si="9"/>
        <v>0</v>
      </c>
      <c r="L28" s="80"/>
      <c r="M28" s="80"/>
    </row>
    <row r="29" spans="1:13" s="6" customFormat="1">
      <c r="A29" s="91"/>
      <c r="B29" s="112"/>
      <c r="C29" s="112"/>
      <c r="D29" s="112"/>
      <c r="E29" s="112"/>
      <c r="F29" s="112"/>
      <c r="G29" s="112"/>
      <c r="H29" s="112"/>
      <c r="I29" s="112"/>
      <c r="J29" s="112"/>
      <c r="K29" s="112"/>
      <c r="L29" s="80"/>
      <c r="M29" s="80"/>
    </row>
    <row r="30" spans="1:13" s="6" customFormat="1">
      <c r="A30" s="91"/>
      <c r="B30" s="112"/>
      <c r="C30" s="112"/>
      <c r="D30" s="112"/>
      <c r="E30" s="112"/>
      <c r="F30" s="112"/>
      <c r="G30" s="112"/>
      <c r="H30" s="112"/>
      <c r="I30" s="112"/>
      <c r="J30" s="112"/>
      <c r="K30" s="112"/>
      <c r="L30" s="80"/>
      <c r="M30" s="80"/>
    </row>
    <row r="31" spans="1:13" s="6" customFormat="1" ht="17" thickBot="1">
      <c r="A31" s="76"/>
      <c r="B31" s="77" t="s">
        <v>102</v>
      </c>
      <c r="C31" s="113" t="s">
        <v>77</v>
      </c>
      <c r="D31" s="80"/>
      <c r="E31" s="80"/>
      <c r="F31" s="112"/>
      <c r="G31" s="112"/>
      <c r="H31" s="112"/>
      <c r="I31" s="112"/>
      <c r="J31" s="112"/>
      <c r="K31" s="112"/>
      <c r="L31" s="80"/>
      <c r="M31" s="80"/>
    </row>
    <row r="32" spans="1:13" s="6" customFormat="1">
      <c r="A32" s="76" t="s">
        <v>19</v>
      </c>
      <c r="B32" s="114">
        <f>L3</f>
        <v>23895</v>
      </c>
      <c r="C32" s="115">
        <f>L3/Inputs!E2</f>
        <v>4779</v>
      </c>
      <c r="D32" s="80"/>
      <c r="E32" s="80"/>
      <c r="F32" s="112"/>
      <c r="G32" s="112"/>
      <c r="H32" s="112"/>
      <c r="I32" s="112"/>
      <c r="J32" s="112"/>
      <c r="K32" s="112"/>
      <c r="L32" s="80"/>
      <c r="M32" s="80"/>
    </row>
    <row r="33" spans="1:13" s="6" customFormat="1">
      <c r="A33" s="76" t="s">
        <v>55</v>
      </c>
      <c r="B33" s="114">
        <f>L11</f>
        <v>4457</v>
      </c>
      <c r="C33" s="116">
        <f>B33/Inputs!E2</f>
        <v>891.4</v>
      </c>
      <c r="D33" s="80"/>
      <c r="E33" s="80"/>
      <c r="F33" s="112"/>
      <c r="G33" s="112"/>
      <c r="H33" s="112"/>
      <c r="I33" s="112"/>
      <c r="J33" s="112"/>
      <c r="K33" s="112"/>
      <c r="L33" s="80"/>
      <c r="M33" s="80"/>
    </row>
    <row r="34" spans="1:13" s="6" customFormat="1">
      <c r="A34" s="76" t="s">
        <v>78</v>
      </c>
      <c r="B34" s="117">
        <f>B33/B32</f>
        <v>0.18652437748482947</v>
      </c>
      <c r="C34" s="118">
        <f>AVERAGE(B16:K16)</f>
        <v>0.1846276973824568</v>
      </c>
      <c r="D34" s="119"/>
      <c r="E34" s="112"/>
      <c r="F34" s="112"/>
      <c r="G34" s="112"/>
      <c r="H34" s="112"/>
      <c r="I34" s="112"/>
      <c r="J34" s="112"/>
      <c r="K34" s="112"/>
      <c r="L34" s="80"/>
      <c r="M34" s="80"/>
    </row>
    <row r="35" spans="1:13" s="6" customFormat="1">
      <c r="A35" s="76" t="s">
        <v>109</v>
      </c>
      <c r="B35" s="114">
        <f>L12</f>
        <v>15412</v>
      </c>
      <c r="C35" s="116">
        <f>B35/Inputs!E2</f>
        <v>3082.4</v>
      </c>
      <c r="D35" s="112"/>
      <c r="E35" s="112"/>
      <c r="F35" s="112"/>
      <c r="G35" s="112"/>
      <c r="H35" s="112"/>
      <c r="I35" s="112"/>
      <c r="J35" s="112"/>
      <c r="K35" s="112"/>
      <c r="L35" s="80"/>
      <c r="M35" s="80"/>
    </row>
    <row r="36" spans="1:13" s="6" customFormat="1" ht="17" thickBot="1">
      <c r="A36" s="76" t="s">
        <v>110</v>
      </c>
      <c r="B36" s="120">
        <f>B33+B35</f>
        <v>19869</v>
      </c>
      <c r="C36" s="116">
        <f>C33+C35</f>
        <v>3973.8</v>
      </c>
      <c r="D36" s="112"/>
      <c r="E36" s="112"/>
      <c r="F36" s="112"/>
      <c r="G36" s="112"/>
      <c r="H36" s="112"/>
      <c r="I36" s="112"/>
      <c r="J36" s="112"/>
      <c r="K36" s="112"/>
      <c r="L36" s="80"/>
      <c r="M36" s="80"/>
    </row>
    <row r="37" spans="1:13" s="6" customFormat="1" ht="17" thickBot="1">
      <c r="A37" s="121" t="s">
        <v>111</v>
      </c>
      <c r="B37" s="122">
        <f>B36/B32</f>
        <v>0.83151286880100439</v>
      </c>
      <c r="C37" s="123"/>
      <c r="D37" s="112"/>
      <c r="E37" s="112"/>
      <c r="F37" s="112"/>
      <c r="G37" s="112"/>
      <c r="H37" s="112"/>
      <c r="I37" s="112"/>
      <c r="J37" s="112"/>
      <c r="K37" s="112"/>
      <c r="L37" s="80"/>
      <c r="M37" s="80"/>
    </row>
    <row r="38" spans="1:13" s="6" customFormat="1">
      <c r="A38" s="76" t="s">
        <v>103</v>
      </c>
      <c r="B38" s="124">
        <f>L6</f>
        <v>17301</v>
      </c>
      <c r="C38" s="116">
        <f>B38/Inputs!E2</f>
        <v>3460.2</v>
      </c>
      <c r="D38" s="112"/>
      <c r="E38" s="112"/>
      <c r="F38" s="112"/>
      <c r="G38" s="112"/>
      <c r="H38" s="112"/>
      <c r="I38" s="112"/>
      <c r="J38" s="112"/>
      <c r="K38" s="112"/>
      <c r="L38" s="80"/>
      <c r="M38" s="80"/>
    </row>
    <row r="39" spans="1:13" s="6" customFormat="1">
      <c r="A39" s="76" t="s">
        <v>112</v>
      </c>
      <c r="B39" s="114">
        <f>L8</f>
        <v>27126</v>
      </c>
      <c r="C39" s="116">
        <f>B39/Inputs!E2</f>
        <v>5425.2</v>
      </c>
      <c r="D39" s="112"/>
      <c r="E39" s="112"/>
      <c r="F39" s="112"/>
      <c r="G39" s="112"/>
      <c r="H39" s="112"/>
      <c r="I39" s="112"/>
      <c r="J39" s="112"/>
      <c r="K39" s="112"/>
      <c r="L39" s="80"/>
      <c r="M39" s="80"/>
    </row>
    <row r="40" spans="1:13" s="6" customFormat="1" ht="17" thickBot="1">
      <c r="A40" s="76" t="s">
        <v>108</v>
      </c>
      <c r="B40" s="120">
        <f>L9</f>
        <v>18064.538816867909</v>
      </c>
      <c r="C40" s="125">
        <f>B40/Inputs!E2</f>
        <v>3612.9077633735819</v>
      </c>
      <c r="D40" s="112"/>
      <c r="E40" s="112"/>
      <c r="F40" s="112"/>
      <c r="G40" s="112"/>
      <c r="H40" s="112"/>
      <c r="I40" s="112"/>
      <c r="J40" s="112"/>
      <c r="K40" s="112"/>
      <c r="L40" s="80"/>
      <c r="M40" s="80"/>
    </row>
    <row r="41" spans="1:13" s="6" customFormat="1">
      <c r="A41" s="121" t="s">
        <v>114</v>
      </c>
      <c r="B41" s="126">
        <f>IF(B38&lt;0,"FCFE negative",B36/B38)</f>
        <v>1.1484307265475984</v>
      </c>
      <c r="C41" s="127"/>
      <c r="D41" s="112"/>
      <c r="E41" s="112"/>
      <c r="F41" s="112"/>
      <c r="G41" s="112"/>
      <c r="H41" s="112"/>
      <c r="I41" s="112"/>
      <c r="J41" s="112"/>
      <c r="K41" s="112"/>
      <c r="L41" s="80"/>
      <c r="M41" s="80"/>
    </row>
    <row r="42" spans="1:13" s="6" customFormat="1" ht="17" thickBot="1">
      <c r="A42" s="121" t="s">
        <v>115</v>
      </c>
      <c r="B42" s="101">
        <f>IF(B39&lt;0,"FCFE negative",B36/B39)</f>
        <v>0.73247069232470696</v>
      </c>
      <c r="C42" s="127"/>
      <c r="D42" s="112"/>
      <c r="E42" s="112"/>
      <c r="F42" s="112"/>
      <c r="G42" s="112"/>
      <c r="H42" s="112"/>
      <c r="I42" s="112"/>
      <c r="J42" s="112"/>
      <c r="K42" s="112"/>
      <c r="L42" s="80"/>
      <c r="M42" s="80"/>
    </row>
    <row r="43" spans="1:13" s="6" customFormat="1" ht="17" thickBot="1">
      <c r="A43" s="121" t="s">
        <v>113</v>
      </c>
      <c r="B43" s="128">
        <f>B36/B40</f>
        <v>1.0998896900399782</v>
      </c>
      <c r="C43" s="112"/>
      <c r="D43" s="112"/>
      <c r="E43" s="112"/>
      <c r="F43" s="112"/>
      <c r="G43" s="112"/>
      <c r="H43" s="112"/>
      <c r="I43" s="112"/>
      <c r="J43" s="112"/>
      <c r="K43" s="112"/>
      <c r="L43" s="80"/>
      <c r="M43" s="80"/>
    </row>
    <row r="44" spans="1:13" s="6" customFormat="1" ht="20" customHeight="1">
      <c r="A44" s="129"/>
      <c r="B44" s="126"/>
      <c r="C44" s="80"/>
      <c r="D44" s="80"/>
      <c r="E44" s="80"/>
      <c r="F44" s="112"/>
      <c r="G44" s="112"/>
      <c r="H44" s="112"/>
      <c r="I44" s="112"/>
      <c r="J44" s="112"/>
      <c r="K44" s="112"/>
      <c r="L44" s="80"/>
      <c r="M44" s="80"/>
    </row>
    <row r="45" spans="1:13" s="6" customFormat="1" ht="20" customHeight="1">
      <c r="A45" s="129" t="s">
        <v>71</v>
      </c>
      <c r="B45" s="126">
        <f>(SUM(Inputs!B9:B18)/SUM(B28:K28))/(SUM(Inputs!B41:B50)/SUM(B28:K28))</f>
        <v>3.0161505611833901E-2</v>
      </c>
      <c r="C45" s="80"/>
      <c r="D45" s="80"/>
      <c r="E45" s="80"/>
      <c r="F45" s="112"/>
      <c r="G45" s="112"/>
      <c r="H45" s="112"/>
      <c r="I45" s="112"/>
      <c r="J45" s="112"/>
      <c r="K45" s="112"/>
      <c r="L45" s="80"/>
      <c r="M45" s="80"/>
    </row>
    <row r="46" spans="1:13" s="6" customFormat="1" ht="20" customHeight="1">
      <c r="A46" s="129" t="s">
        <v>10</v>
      </c>
      <c r="B46" s="104">
        <f>AVERAGE(B25:K25)</f>
        <v>0.17643999999999999</v>
      </c>
      <c r="C46" s="80"/>
      <c r="D46" s="80"/>
      <c r="E46" s="80"/>
      <c r="F46" s="112"/>
      <c r="G46" s="112"/>
      <c r="H46" s="112"/>
      <c r="I46" s="112"/>
      <c r="J46" s="112"/>
      <c r="K46" s="112"/>
      <c r="L46" s="80"/>
      <c r="M46" s="80"/>
    </row>
    <row r="47" spans="1:13" s="6" customFormat="1" ht="20" customHeight="1">
      <c r="A47" s="129" t="s">
        <v>5</v>
      </c>
      <c r="B47" s="104">
        <f>AVERAGE(B26:K26)</f>
        <v>0.10150691480292939</v>
      </c>
      <c r="C47" s="80"/>
      <c r="D47" s="80"/>
      <c r="E47" s="80"/>
      <c r="F47" s="112"/>
      <c r="G47" s="112"/>
      <c r="H47" s="112"/>
      <c r="I47" s="112"/>
      <c r="J47" s="112"/>
      <c r="K47" s="112"/>
      <c r="L47" s="80"/>
      <c r="M47" s="80"/>
    </row>
    <row r="48" spans="1:13" s="6" customFormat="1" ht="20" customHeight="1">
      <c r="A48" s="129" t="s">
        <v>79</v>
      </c>
      <c r="B48" s="104">
        <f>B45-B47</f>
        <v>-7.1345409191095499E-2</v>
      </c>
      <c r="C48" s="80"/>
      <c r="D48" s="80"/>
      <c r="E48" s="80"/>
      <c r="F48" s="112"/>
      <c r="G48" s="112"/>
      <c r="H48" s="112"/>
      <c r="I48" s="112"/>
      <c r="J48" s="112"/>
      <c r="K48" s="112"/>
      <c r="L48" s="80"/>
      <c r="M48" s="80"/>
    </row>
    <row r="49" spans="1:13" s="6" customFormat="1" ht="20" customHeight="1">
      <c r="A49" s="129" t="s">
        <v>80</v>
      </c>
      <c r="B49" s="104">
        <f>B46-B47</f>
        <v>7.4933085197070592E-2</v>
      </c>
      <c r="C49" s="80"/>
      <c r="D49" s="80"/>
      <c r="E49" s="80"/>
      <c r="F49" s="112"/>
      <c r="G49" s="112"/>
      <c r="H49" s="112"/>
      <c r="I49" s="112"/>
      <c r="J49" s="112"/>
      <c r="K49" s="112"/>
      <c r="L49" s="80"/>
      <c r="M49" s="80"/>
    </row>
    <row r="50" spans="1:13" ht="20" customHeight="1">
      <c r="B50" s="112"/>
      <c r="C50" s="112"/>
      <c r="D50" s="112"/>
      <c r="E50" s="112"/>
      <c r="F50" s="112"/>
      <c r="G50" s="112"/>
      <c r="H50" s="112"/>
      <c r="I50" s="112"/>
      <c r="J50" s="112"/>
      <c r="K50" s="112"/>
    </row>
    <row r="51" spans="1:13">
      <c r="A51" s="112"/>
      <c r="B51" s="112"/>
      <c r="C51" s="112"/>
      <c r="D51" s="112"/>
      <c r="E51" s="112"/>
      <c r="F51" s="112"/>
      <c r="G51" s="112"/>
      <c r="H51" s="112"/>
      <c r="I51" s="112"/>
      <c r="J51" s="112"/>
      <c r="K51" s="112"/>
    </row>
  </sheetData>
  <mergeCells count="1">
    <mergeCell ref="A1:J1"/>
  </mergeCells>
  <phoneticPr fontId="11" type="noConversion"/>
  <printOptions gridLinesSet="0"/>
  <pageMargins left="0.75" right="0.75" top="1" bottom="1" header="0.5" footer="0.5"/>
  <pageSetup firstPageNumber="26" orientation="landscape" useFirstPageNumber="1" horizontalDpi="4294967292" verticalDpi="4294967292"/>
  <headerFooter alignWithMargins="0">
    <oddHeader>&amp;C&amp;"Times"&amp;12Dividend Policy&amp;R&amp;P</oddHeader>
    <oddFooter>Page &amp;P</oddFooter>
  </headerFooter>
  <rowBreaks count="2" manualBreakCount="2">
    <brk id="75" max="65535" man="1"/>
    <brk id="92" max="65535" man="1"/>
  </rowBreaks>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workbookViewId="0">
      <selection activeCell="B6" sqref="B6"/>
    </sheetView>
  </sheetViews>
  <sheetFormatPr baseColWidth="10" defaultRowHeight="14"/>
  <cols>
    <col min="1" max="1" width="28.5703125" customWidth="1"/>
    <col min="2" max="2" width="10.85546875" customWidth="1"/>
    <col min="5" max="5" width="10.85546875" customWidth="1"/>
  </cols>
  <sheetData>
    <row r="1" spans="1:10" s="16" customFormat="1" ht="18">
      <c r="A1" s="15" t="s">
        <v>11</v>
      </c>
      <c r="B1" s="15"/>
      <c r="C1" s="15"/>
      <c r="D1" s="15"/>
      <c r="E1" s="15"/>
      <c r="F1" s="15"/>
      <c r="G1" s="15"/>
      <c r="H1" s="15"/>
      <c r="I1" s="15"/>
      <c r="J1" s="15"/>
    </row>
    <row r="2" spans="1:10" s="1" customFormat="1" ht="13">
      <c r="A2" s="5" t="s">
        <v>24</v>
      </c>
      <c r="B2" s="50">
        <f>IF(Inputs!E4="Yes",Inputs!E5,Inputs!E3)</f>
        <v>0.11579296585803885</v>
      </c>
      <c r="C2" s="5"/>
      <c r="D2" s="8"/>
    </row>
    <row r="3" spans="1:10" s="1" customFormat="1" thickBot="1">
      <c r="A3" s="5"/>
      <c r="B3" s="5"/>
      <c r="C3" s="5"/>
      <c r="D3" s="8"/>
    </row>
    <row r="4" spans="1:10" s="2" customFormat="1" thickBot="1">
      <c r="A4" s="12" t="s">
        <v>18</v>
      </c>
      <c r="B4" s="13"/>
      <c r="C4" s="13"/>
      <c r="D4" s="13"/>
      <c r="E4" s="13"/>
      <c r="F4" s="14"/>
    </row>
    <row r="5" spans="1:10" s="1" customFormat="1" ht="13">
      <c r="A5" s="11"/>
      <c r="B5" s="7">
        <v>1</v>
      </c>
      <c r="C5" s="7">
        <v>2</v>
      </c>
      <c r="D5" s="7">
        <v>3</v>
      </c>
      <c r="E5" s="7">
        <v>4</v>
      </c>
      <c r="F5" s="7">
        <v>5</v>
      </c>
    </row>
    <row r="6" spans="1:10" s="1" customFormat="1" ht="13">
      <c r="A6" s="4" t="s">
        <v>19</v>
      </c>
      <c r="B6" s="51">
        <f>(1+Inputs!$E$56)^B5*Inputs!$E$61</f>
        <v>6442.8</v>
      </c>
      <c r="C6" s="51">
        <f>(1+Inputs!$E$56)^C5*Inputs!$E$61</f>
        <v>6764.9400000000005</v>
      </c>
      <c r="D6" s="51">
        <f>(1+Inputs!$E$56)^D5*Inputs!$E$61</f>
        <v>7103.1870000000008</v>
      </c>
      <c r="E6" s="51">
        <f>(1+Inputs!$E$56)^E5*Inputs!$E$61</f>
        <v>7458.3463499999998</v>
      </c>
      <c r="F6" s="51">
        <f>(1+Inputs!$E$56)^F5*Inputs!$E$61</f>
        <v>7831.2636675000012</v>
      </c>
    </row>
    <row r="7" spans="1:10" s="1" customFormat="1" ht="13">
      <c r="A7" s="4" t="s">
        <v>20</v>
      </c>
      <c r="B7" s="52">
        <f>((1+Inputs!$E$57)^B5*Inputs!$E$62- (1+Inputs!$E$58)^B5*Inputs!$E$63)*(1-'Forecasted Dividends &amp; FCFE'!$B$2)</f>
        <v>560.76410105283196</v>
      </c>
      <c r="C7" s="52">
        <f>((1+Inputs!$E$57)^C5*Inputs!$E$62- (1+Inputs!$E$58)^C5*Inputs!$E$63)*(1-'Forecasted Dividends &amp; FCFE'!$B$2)</f>
        <v>588.80230610547324</v>
      </c>
      <c r="D7" s="52">
        <f>((1+Inputs!$E$57)^D5*Inputs!$E$62- (1+Inputs!$E$58)^D5*Inputs!$E$63)*(1-'Forecasted Dividends &amp; FCFE'!$B$2)</f>
        <v>618.24242141074706</v>
      </c>
      <c r="E7" s="52">
        <f>((1+Inputs!$E$57)^E5*Inputs!$E$62- (1+Inputs!$E$58)^E5*Inputs!$E$63)*(1-'Forecasted Dividends &amp; FCFE'!$B$2)</f>
        <v>649.15454248128424</v>
      </c>
      <c r="F7" s="52">
        <f>((1+Inputs!$E$57)^F5*Inputs!$E$62- (1+Inputs!$E$58)^F5*Inputs!$E$63)*(1-'Forecasted Dividends &amp; FCFE'!$B$2)</f>
        <v>681.61226960534862</v>
      </c>
    </row>
    <row r="8" spans="1:10" s="1" customFormat="1" thickBot="1">
      <c r="A8" s="9" t="s">
        <v>21</v>
      </c>
      <c r="B8" s="53">
        <f>B14*(1-$B$2)</f>
        <v>112.14751496836158</v>
      </c>
      <c r="C8" s="53">
        <f>C14*(1-$B$2)</f>
        <v>117.75489071677963</v>
      </c>
      <c r="D8" s="53">
        <f>D14*(1-$B$2)</f>
        <v>123.64263525261852</v>
      </c>
      <c r="E8" s="53">
        <f>E14*(1-$B$2)</f>
        <v>129.82476701524931</v>
      </c>
      <c r="F8" s="53">
        <f>F14*(1-$B$2)</f>
        <v>136.31600536601215</v>
      </c>
    </row>
    <row r="9" spans="1:10" s="1" customFormat="1" ht="13">
      <c r="A9" s="10" t="s">
        <v>22</v>
      </c>
      <c r="B9" s="54">
        <f>B6-B7-B8</f>
        <v>5769.8883839788059</v>
      </c>
      <c r="C9" s="54">
        <f>C6-C7-C8</f>
        <v>6058.3828031777475</v>
      </c>
      <c r="D9" s="54">
        <f>D6-D7-D8</f>
        <v>6361.3019433366353</v>
      </c>
      <c r="E9" s="54">
        <f>E6-E7-E8</f>
        <v>6679.3670405034663</v>
      </c>
      <c r="F9" s="55">
        <f>F6-F7-F8</f>
        <v>7013.3353925286401</v>
      </c>
    </row>
    <row r="10" spans="1:10" s="1" customFormat="1" ht="13">
      <c r="A10" s="4" t="s">
        <v>23</v>
      </c>
      <c r="B10" s="51">
        <f>(1+Inputs!$D$66)^B5*Inputs!$E$64</f>
        <v>1390.2</v>
      </c>
      <c r="C10" s="51">
        <f>(1+Inputs!$D$66)^C5*Inputs!$E$64</f>
        <v>1459.71</v>
      </c>
      <c r="D10" s="51">
        <f>(1+Inputs!$D$66)^D5*Inputs!$E$64</f>
        <v>1532.6955000000003</v>
      </c>
      <c r="E10" s="51">
        <f>(1+Inputs!$D$66)^E5*Inputs!$E$64</f>
        <v>1609.330275</v>
      </c>
      <c r="F10" s="51">
        <f>(1+Inputs!$D$66)^F5*Inputs!$E$64</f>
        <v>1689.7967887500001</v>
      </c>
    </row>
    <row r="11" spans="1:10" s="1" customFormat="1" ht="13">
      <c r="A11" s="4" t="s">
        <v>60</v>
      </c>
      <c r="B11" s="51">
        <f>B9-B10</f>
        <v>4379.6883839788061</v>
      </c>
      <c r="C11" s="51">
        <f>C9-C10</f>
        <v>4598.6728031777475</v>
      </c>
      <c r="D11" s="51">
        <f>D9-D10</f>
        <v>4828.6064433366355</v>
      </c>
      <c r="E11" s="51">
        <f>E9-E10</f>
        <v>5070.0367655034661</v>
      </c>
      <c r="F11" s="51">
        <f>F9-F10</f>
        <v>5323.5386037786402</v>
      </c>
    </row>
    <row r="12" spans="1:10" s="1" customFormat="1" ht="13">
      <c r="B12" s="3"/>
      <c r="C12" s="3"/>
      <c r="D12" s="3"/>
      <c r="E12" s="3"/>
      <c r="F12" s="3"/>
    </row>
    <row r="13" spans="1:10" s="1" customFormat="1" ht="13">
      <c r="A13" s="4" t="s">
        <v>61</v>
      </c>
      <c r="B13" s="52">
        <f>Inputs!$E$60*(1+Inputs!$E$55)^B5</f>
        <v>44391.9</v>
      </c>
      <c r="C13" s="52">
        <f>Inputs!$E$60*(1+Inputs!$E$55)^C5</f>
        <v>46611.495000000003</v>
      </c>
      <c r="D13" s="52">
        <f>Inputs!$E$60*(1+Inputs!$E$55)^D5</f>
        <v>48942.069750000002</v>
      </c>
      <c r="E13" s="52">
        <f>Inputs!$E$60*(1+Inputs!$E$55)^E5</f>
        <v>51389.173237499999</v>
      </c>
      <c r="F13" s="52">
        <f>Inputs!$E$60*(1+Inputs!$E$55)^F5</f>
        <v>53958.631899375003</v>
      </c>
    </row>
    <row r="14" spans="1:10" s="1" customFormat="1" ht="13">
      <c r="A14" s="4" t="s">
        <v>62</v>
      </c>
      <c r="B14" s="52">
        <f>(B13-Inputs!E60)*Inputs!$E$59</f>
        <v>126.83400000000009</v>
      </c>
      <c r="C14" s="52">
        <f>(C13-B13)*Inputs!$E$59</f>
        <v>133.17570000000006</v>
      </c>
      <c r="D14" s="52">
        <f>(D13-C13)*Inputs!$E$59</f>
        <v>139.83448499999997</v>
      </c>
      <c r="E14" s="52">
        <f>(E13-D13)*Inputs!$E$59</f>
        <v>146.82620924999981</v>
      </c>
      <c r="F14" s="52">
        <f>(F13-E13)*Inputs!$E$59</f>
        <v>154.16751971250022</v>
      </c>
    </row>
  </sheetData>
  <phoneticPr fontId="11"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8"/>
  <sheetViews>
    <sheetView topLeftCell="A48" workbookViewId="0">
      <selection activeCell="M86" sqref="M86"/>
    </sheetView>
  </sheetViews>
  <sheetFormatPr baseColWidth="10" defaultRowHeight="14"/>
  <cols>
    <col min="1" max="1" width="7.85546875" style="57" customWidth="1"/>
    <col min="2" max="2" width="23.5703125" style="57" customWidth="1"/>
    <col min="3" max="3" width="13.28515625" style="57" customWidth="1"/>
    <col min="4" max="4" width="12" style="57" bestFit="1" customWidth="1"/>
  </cols>
  <sheetData>
    <row r="1" spans="1:4" s="74" customFormat="1" ht="17">
      <c r="A1" s="73" t="s">
        <v>47</v>
      </c>
      <c r="B1" s="73" t="s">
        <v>120</v>
      </c>
      <c r="C1" s="73" t="s">
        <v>96</v>
      </c>
      <c r="D1" s="73" t="s">
        <v>126</v>
      </c>
    </row>
    <row r="2" spans="1:4" ht="16">
      <c r="A2" s="61">
        <v>1928</v>
      </c>
      <c r="B2" s="62">
        <v>0.43811155152887893</v>
      </c>
      <c r="C2" s="62">
        <v>3.0800000000000001E-2</v>
      </c>
      <c r="D2" s="62">
        <v>8.354708589799302E-3</v>
      </c>
    </row>
    <row r="3" spans="1:4" ht="16">
      <c r="A3" s="63">
        <v>1929</v>
      </c>
      <c r="B3" s="64">
        <v>-8.2979466119096595E-2</v>
      </c>
      <c r="C3" s="64">
        <v>3.1600000000000003E-2</v>
      </c>
      <c r="D3" s="64">
        <v>4.2038041563204259E-2</v>
      </c>
    </row>
    <row r="4" spans="1:4" ht="16">
      <c r="A4" s="61">
        <v>1930</v>
      </c>
      <c r="B4" s="62">
        <v>-0.25123636363636365</v>
      </c>
      <c r="C4" s="62">
        <v>4.5499999999999999E-2</v>
      </c>
      <c r="D4" s="62">
        <v>4.5409314348970366E-2</v>
      </c>
    </row>
    <row r="5" spans="1:4" ht="16">
      <c r="A5" s="63">
        <v>1931</v>
      </c>
      <c r="B5" s="64">
        <v>-0.43837548891786188</v>
      </c>
      <c r="C5" s="64">
        <v>2.3099999999999999E-2</v>
      </c>
      <c r="D5" s="64">
        <v>-2.5588559619422531E-2</v>
      </c>
    </row>
    <row r="6" spans="1:4" ht="16">
      <c r="A6" s="61">
        <v>1932</v>
      </c>
      <c r="B6" s="62">
        <v>-8.642364532019696E-2</v>
      </c>
      <c r="C6" s="62">
        <v>1.0699999999999999E-2</v>
      </c>
      <c r="D6" s="62">
        <v>8.7903069904773257E-2</v>
      </c>
    </row>
    <row r="7" spans="1:4" ht="16">
      <c r="A7" s="63">
        <v>1933</v>
      </c>
      <c r="B7" s="64">
        <v>0.49982225433526023</v>
      </c>
      <c r="C7" s="64">
        <v>9.5999999999999992E-3</v>
      </c>
      <c r="D7" s="64">
        <v>1.8552720891857361E-2</v>
      </c>
    </row>
    <row r="8" spans="1:4" ht="16">
      <c r="A8" s="61">
        <v>1934</v>
      </c>
      <c r="B8" s="62">
        <v>-1.1885656970912803E-2</v>
      </c>
      <c r="C8" s="62">
        <v>2.7833333333333334E-3</v>
      </c>
      <c r="D8" s="62">
        <v>7.9634426179656104E-2</v>
      </c>
    </row>
    <row r="9" spans="1:4" ht="16">
      <c r="A9" s="63">
        <v>1935</v>
      </c>
      <c r="B9" s="64">
        <v>0.46740421052631581</v>
      </c>
      <c r="C9" s="64">
        <v>1.6750000000000001E-3</v>
      </c>
      <c r="D9" s="64">
        <v>4.4720477296566127E-2</v>
      </c>
    </row>
    <row r="10" spans="1:4" ht="16">
      <c r="A10" s="61">
        <v>1936</v>
      </c>
      <c r="B10" s="62">
        <v>0.31943410275502609</v>
      </c>
      <c r="C10" s="62">
        <v>1.725E-3</v>
      </c>
      <c r="D10" s="62">
        <v>5.0178754045450601E-2</v>
      </c>
    </row>
    <row r="11" spans="1:4" ht="16">
      <c r="A11" s="63">
        <v>1937</v>
      </c>
      <c r="B11" s="64">
        <v>-0.35336728754365537</v>
      </c>
      <c r="C11" s="64">
        <v>2.7583333333333331E-3</v>
      </c>
      <c r="D11" s="64">
        <v>1.379146059646038E-2</v>
      </c>
    </row>
    <row r="12" spans="1:4" ht="16">
      <c r="A12" s="61">
        <v>1938</v>
      </c>
      <c r="B12" s="62">
        <v>0.29282654028436017</v>
      </c>
      <c r="C12" s="62">
        <v>6.4999999999999997E-4</v>
      </c>
      <c r="D12" s="62">
        <v>4.2132485322046068E-2</v>
      </c>
    </row>
    <row r="13" spans="1:4" ht="16">
      <c r="A13" s="63">
        <v>1939</v>
      </c>
      <c r="B13" s="64">
        <v>-1.0975646879756443E-2</v>
      </c>
      <c r="C13" s="64">
        <v>4.5833333333333332E-4</v>
      </c>
      <c r="D13" s="64">
        <v>4.4122613942060671E-2</v>
      </c>
    </row>
    <row r="14" spans="1:4" ht="16">
      <c r="A14" s="61">
        <v>1940</v>
      </c>
      <c r="B14" s="62">
        <v>-0.10672873194221515</v>
      </c>
      <c r="C14" s="62">
        <v>3.5833333333333333E-4</v>
      </c>
      <c r="D14" s="62">
        <v>5.4024815962845509E-2</v>
      </c>
    </row>
    <row r="15" spans="1:4" ht="16">
      <c r="A15" s="63">
        <v>1941</v>
      </c>
      <c r="B15" s="64">
        <v>-0.12771455576559551</v>
      </c>
      <c r="C15" s="64">
        <v>1.2916666666666669E-3</v>
      </c>
      <c r="D15" s="64">
        <v>-2.0221975848580105E-2</v>
      </c>
    </row>
    <row r="16" spans="1:4" ht="16">
      <c r="A16" s="61">
        <v>1942</v>
      </c>
      <c r="B16" s="62">
        <v>0.19173762945914843</v>
      </c>
      <c r="C16" s="62">
        <v>3.4250000000000001E-3</v>
      </c>
      <c r="D16" s="62">
        <v>2.2948682374484164E-2</v>
      </c>
    </row>
    <row r="17" spans="1:4" ht="16">
      <c r="A17" s="63">
        <v>1943</v>
      </c>
      <c r="B17" s="64">
        <v>0.25061310133060394</v>
      </c>
      <c r="C17" s="64">
        <v>3.8E-3</v>
      </c>
      <c r="D17" s="64">
        <v>2.4899999999999999E-2</v>
      </c>
    </row>
    <row r="18" spans="1:4" ht="16">
      <c r="A18" s="61">
        <v>1944</v>
      </c>
      <c r="B18" s="62">
        <v>0.19030676949443009</v>
      </c>
      <c r="C18" s="62">
        <v>3.8E-3</v>
      </c>
      <c r="D18" s="62">
        <v>2.5776111579070303E-2</v>
      </c>
    </row>
    <row r="19" spans="1:4" ht="16">
      <c r="A19" s="63">
        <v>1945</v>
      </c>
      <c r="B19" s="64">
        <v>0.35821084337349401</v>
      </c>
      <c r="C19" s="64">
        <v>3.8E-3</v>
      </c>
      <c r="D19" s="64">
        <v>3.8044173419237229E-2</v>
      </c>
    </row>
    <row r="20" spans="1:4" ht="16">
      <c r="A20" s="61">
        <v>1946</v>
      </c>
      <c r="B20" s="62">
        <v>-8.4291474654377807E-2</v>
      </c>
      <c r="C20" s="62">
        <v>3.8E-3</v>
      </c>
      <c r="D20" s="62">
        <v>3.1283745375695685E-2</v>
      </c>
    </row>
    <row r="21" spans="1:4" ht="16">
      <c r="A21" s="63">
        <v>1947</v>
      </c>
      <c r="B21" s="64">
        <v>5.1999999999999998E-2</v>
      </c>
      <c r="C21" s="64">
        <v>6.0083333333333334E-3</v>
      </c>
      <c r="D21" s="64">
        <v>9.1969680628322358E-3</v>
      </c>
    </row>
    <row r="22" spans="1:4" ht="16">
      <c r="A22" s="61">
        <v>1948</v>
      </c>
      <c r="B22" s="62">
        <v>5.7045751633986834E-2</v>
      </c>
      <c r="C22" s="62">
        <v>1.0449999999999999E-2</v>
      </c>
      <c r="D22" s="62">
        <v>1.9510369413175046E-2</v>
      </c>
    </row>
    <row r="23" spans="1:4" ht="16">
      <c r="A23" s="63">
        <v>1949</v>
      </c>
      <c r="B23" s="64">
        <v>0.18303223684210526</v>
      </c>
      <c r="C23" s="64">
        <v>1.115E-2</v>
      </c>
      <c r="D23" s="64">
        <v>4.6634851827973139E-2</v>
      </c>
    </row>
    <row r="24" spans="1:4" ht="16">
      <c r="A24" s="61">
        <v>1950</v>
      </c>
      <c r="B24" s="62">
        <v>0.30805539011316263</v>
      </c>
      <c r="C24" s="62">
        <v>1.2033333333333333E-2</v>
      </c>
      <c r="D24" s="62">
        <v>4.2959574171096103E-3</v>
      </c>
    </row>
    <row r="25" spans="1:4" ht="16">
      <c r="A25" s="63">
        <v>1951</v>
      </c>
      <c r="B25" s="64">
        <v>0.23678463044542339</v>
      </c>
      <c r="C25" s="64">
        <v>1.5175000000000001E-2</v>
      </c>
      <c r="D25" s="64">
        <v>-2.9531392208319886E-3</v>
      </c>
    </row>
    <row r="26" spans="1:4" ht="16">
      <c r="A26" s="61">
        <v>1952</v>
      </c>
      <c r="B26" s="62">
        <v>0.18150988641144306</v>
      </c>
      <c r="C26" s="62">
        <v>1.7225000000000001E-2</v>
      </c>
      <c r="D26" s="62">
        <v>2.2679961918305656E-2</v>
      </c>
    </row>
    <row r="27" spans="1:4" ht="16">
      <c r="A27" s="63">
        <v>1953</v>
      </c>
      <c r="B27" s="64">
        <v>-1.2082047421904465E-2</v>
      </c>
      <c r="C27" s="64">
        <v>1.8908333333333333E-2</v>
      </c>
      <c r="D27" s="64">
        <v>4.1438402589088513E-2</v>
      </c>
    </row>
    <row r="28" spans="1:4" ht="16">
      <c r="A28" s="61">
        <v>1954</v>
      </c>
      <c r="B28" s="62">
        <v>0.52563321241434902</v>
      </c>
      <c r="C28" s="62">
        <v>9.3833333333333338E-3</v>
      </c>
      <c r="D28" s="62">
        <v>3.2898034558095555E-2</v>
      </c>
    </row>
    <row r="29" spans="1:4" ht="16">
      <c r="A29" s="63">
        <v>1955</v>
      </c>
      <c r="B29" s="64">
        <v>0.32597331851028349</v>
      </c>
      <c r="C29" s="64">
        <v>1.7250000000000001E-2</v>
      </c>
      <c r="D29" s="64">
        <v>-1.3364391288618781E-2</v>
      </c>
    </row>
    <row r="30" spans="1:4" ht="16">
      <c r="A30" s="61">
        <v>1956</v>
      </c>
      <c r="B30" s="62">
        <v>7.4395118733509347E-2</v>
      </c>
      <c r="C30" s="62">
        <v>2.6275E-2</v>
      </c>
      <c r="D30" s="62">
        <v>-2.2557738173154165E-2</v>
      </c>
    </row>
    <row r="31" spans="1:4" ht="16">
      <c r="A31" s="63">
        <v>1957</v>
      </c>
      <c r="B31" s="64">
        <v>-0.1045736018855796</v>
      </c>
      <c r="C31" s="64">
        <v>3.2250000000000001E-2</v>
      </c>
      <c r="D31" s="64">
        <v>6.7970128466249904E-2</v>
      </c>
    </row>
    <row r="32" spans="1:4" ht="16">
      <c r="A32" s="61">
        <v>1958</v>
      </c>
      <c r="B32" s="62">
        <v>0.43719954988747184</v>
      </c>
      <c r="C32" s="62">
        <v>1.7708333333333333E-2</v>
      </c>
      <c r="D32" s="62">
        <v>-2.0990181755274694E-2</v>
      </c>
    </row>
    <row r="33" spans="1:4" ht="16">
      <c r="A33" s="63">
        <v>1959</v>
      </c>
      <c r="B33" s="64">
        <v>0.12056457163557326</v>
      </c>
      <c r="C33" s="64">
        <v>3.3858333333333331E-2</v>
      </c>
      <c r="D33" s="64">
        <v>-2.6466312591385065E-2</v>
      </c>
    </row>
    <row r="34" spans="1:4" ht="16">
      <c r="A34" s="61">
        <v>1960</v>
      </c>
      <c r="B34" s="62">
        <v>3.36535314743695E-3</v>
      </c>
      <c r="C34" s="62">
        <v>2.8833333333333332E-2</v>
      </c>
      <c r="D34" s="62">
        <v>0.11639503690963365</v>
      </c>
    </row>
    <row r="35" spans="1:4" ht="16">
      <c r="A35" s="63">
        <v>1961</v>
      </c>
      <c r="B35" s="64">
        <v>0.26637712958182752</v>
      </c>
      <c r="C35" s="64">
        <v>2.3541666666666666E-2</v>
      </c>
      <c r="D35" s="64">
        <v>2.0609208076323167E-2</v>
      </c>
    </row>
    <row r="36" spans="1:4" ht="16">
      <c r="A36" s="61">
        <v>1962</v>
      </c>
      <c r="B36" s="62">
        <v>-8.8114605171208879E-2</v>
      </c>
      <c r="C36" s="62">
        <v>2.7733333333333336E-2</v>
      </c>
      <c r="D36" s="62">
        <v>5.693544054008462E-2</v>
      </c>
    </row>
    <row r="37" spans="1:4" ht="16">
      <c r="A37" s="63">
        <v>1963</v>
      </c>
      <c r="B37" s="64">
        <v>0.22611927099841514</v>
      </c>
      <c r="C37" s="64">
        <v>3.1591666666666664E-2</v>
      </c>
      <c r="D37" s="64">
        <v>1.6841620739546127E-2</v>
      </c>
    </row>
    <row r="38" spans="1:4" ht="16">
      <c r="A38" s="61">
        <v>1964</v>
      </c>
      <c r="B38" s="62">
        <v>0.16415455878432425</v>
      </c>
      <c r="C38" s="62">
        <v>3.5466666666666667E-2</v>
      </c>
      <c r="D38" s="62">
        <v>3.7280648911540815E-2</v>
      </c>
    </row>
    <row r="39" spans="1:4" ht="16">
      <c r="A39" s="63">
        <v>1965</v>
      </c>
      <c r="B39" s="64">
        <v>0.12399242477876114</v>
      </c>
      <c r="C39" s="64">
        <v>3.9491666666666668E-2</v>
      </c>
      <c r="D39" s="64">
        <v>7.1885509359262342E-3</v>
      </c>
    </row>
    <row r="40" spans="1:4" ht="16">
      <c r="A40" s="61">
        <v>1966</v>
      </c>
      <c r="B40" s="62">
        <v>-9.9709542356377898E-2</v>
      </c>
      <c r="C40" s="62">
        <v>4.8625000000000002E-2</v>
      </c>
      <c r="D40" s="62">
        <v>2.9079409324299622E-2</v>
      </c>
    </row>
    <row r="41" spans="1:4" ht="16">
      <c r="A41" s="63">
        <v>1967</v>
      </c>
      <c r="B41" s="64">
        <v>0.23802966513133328</v>
      </c>
      <c r="C41" s="64">
        <v>4.306666666666667E-2</v>
      </c>
      <c r="D41" s="64">
        <v>-1.5806209932824666E-2</v>
      </c>
    </row>
    <row r="42" spans="1:4" ht="16">
      <c r="A42" s="61">
        <v>1968</v>
      </c>
      <c r="B42" s="62">
        <v>0.10814862651601535</v>
      </c>
      <c r="C42" s="62">
        <v>5.3383333333333331E-2</v>
      </c>
      <c r="D42" s="62">
        <v>3.2746196950768365E-2</v>
      </c>
    </row>
    <row r="43" spans="1:4" ht="16">
      <c r="A43" s="63">
        <v>1969</v>
      </c>
      <c r="B43" s="64">
        <v>-8.2413710764490639E-2</v>
      </c>
      <c r="C43" s="64">
        <v>6.6666666666666666E-2</v>
      </c>
      <c r="D43" s="64">
        <v>-5.0140493209926106E-2</v>
      </c>
    </row>
    <row r="44" spans="1:4" ht="16">
      <c r="A44" s="61">
        <v>1970</v>
      </c>
      <c r="B44" s="62">
        <v>3.5611449054964189E-2</v>
      </c>
      <c r="C44" s="62">
        <v>6.3916666666666663E-2</v>
      </c>
      <c r="D44" s="62">
        <v>0.16754737183412338</v>
      </c>
    </row>
    <row r="45" spans="1:4" ht="16">
      <c r="A45" s="63">
        <v>1971</v>
      </c>
      <c r="B45" s="64">
        <v>0.14221150298426474</v>
      </c>
      <c r="C45" s="64">
        <v>4.3324999999999995E-2</v>
      </c>
      <c r="D45" s="64">
        <v>9.7868966197122972E-2</v>
      </c>
    </row>
    <row r="46" spans="1:4" ht="16">
      <c r="A46" s="61">
        <v>1972</v>
      </c>
      <c r="B46" s="62">
        <v>0.18755362915074925</v>
      </c>
      <c r="C46" s="62">
        <v>4.0724999999999997E-2</v>
      </c>
      <c r="D46" s="62">
        <v>2.818449050444969E-2</v>
      </c>
    </row>
    <row r="47" spans="1:4" ht="16">
      <c r="A47" s="63">
        <v>1973</v>
      </c>
      <c r="B47" s="64">
        <v>-0.14308047437526472</v>
      </c>
      <c r="C47" s="64">
        <v>7.0316666666666666E-2</v>
      </c>
      <c r="D47" s="64">
        <v>3.6586646024150085E-2</v>
      </c>
    </row>
    <row r="48" spans="1:4" ht="16">
      <c r="A48" s="61">
        <v>1974</v>
      </c>
      <c r="B48" s="62">
        <v>-0.25901785750896972</v>
      </c>
      <c r="C48" s="62">
        <v>7.8299999999999995E-2</v>
      </c>
      <c r="D48" s="62">
        <v>1.9886086932378574E-2</v>
      </c>
    </row>
    <row r="49" spans="1:4" ht="16">
      <c r="A49" s="63">
        <v>1975</v>
      </c>
      <c r="B49" s="64">
        <v>0.36995137106184356</v>
      </c>
      <c r="C49" s="64">
        <v>5.7750000000000003E-2</v>
      </c>
      <c r="D49" s="64">
        <v>3.6052536026033838E-2</v>
      </c>
    </row>
    <row r="50" spans="1:4" ht="16">
      <c r="A50" s="61">
        <v>1976</v>
      </c>
      <c r="B50" s="62">
        <v>0.23830999002106662</v>
      </c>
      <c r="C50" s="62">
        <v>4.974166666666667E-2</v>
      </c>
      <c r="D50" s="62">
        <v>0.1598456074290921</v>
      </c>
    </row>
    <row r="51" spans="1:4" ht="16">
      <c r="A51" s="63">
        <v>1977</v>
      </c>
      <c r="B51" s="64">
        <v>-6.9797040759352322E-2</v>
      </c>
      <c r="C51" s="64">
        <v>5.2691666666666671E-2</v>
      </c>
      <c r="D51" s="64">
        <v>1.2899606071070449E-2</v>
      </c>
    </row>
    <row r="52" spans="1:4" ht="16">
      <c r="A52" s="61">
        <v>1978</v>
      </c>
      <c r="B52" s="62">
        <v>6.50928391167193E-2</v>
      </c>
      <c r="C52" s="62">
        <v>7.1883333333333341E-2</v>
      </c>
      <c r="D52" s="62">
        <v>-7.7758069075086478E-3</v>
      </c>
    </row>
    <row r="53" spans="1:4" ht="16">
      <c r="A53" s="63">
        <v>1979</v>
      </c>
      <c r="B53" s="64">
        <v>0.18519490167516386</v>
      </c>
      <c r="C53" s="64">
        <v>0.10069166666666667</v>
      </c>
      <c r="D53" s="64">
        <v>6.7072031247235459E-3</v>
      </c>
    </row>
    <row r="54" spans="1:4" ht="16">
      <c r="A54" s="61">
        <v>1980</v>
      </c>
      <c r="B54" s="62">
        <v>0.3173524550676301</v>
      </c>
      <c r="C54" s="62">
        <v>0.11434166666666666</v>
      </c>
      <c r="D54" s="62">
        <v>-2.989744251999403E-2</v>
      </c>
    </row>
    <row r="55" spans="1:4" ht="16">
      <c r="A55" s="63">
        <v>1981</v>
      </c>
      <c r="B55" s="64">
        <v>-4.7023902474955762E-2</v>
      </c>
      <c r="C55" s="64">
        <v>0.14025000000000001</v>
      </c>
      <c r="D55" s="64">
        <v>8.1992153358923542E-2</v>
      </c>
    </row>
    <row r="56" spans="1:4" ht="16">
      <c r="A56" s="61">
        <v>1982</v>
      </c>
      <c r="B56" s="62">
        <v>0.20419055079559353</v>
      </c>
      <c r="C56" s="62">
        <v>0.10614166666666666</v>
      </c>
      <c r="D56" s="62">
        <v>0.32814549486295586</v>
      </c>
    </row>
    <row r="57" spans="1:4" ht="16">
      <c r="A57" s="63">
        <v>1983</v>
      </c>
      <c r="B57" s="64">
        <v>0.22337155858930619</v>
      </c>
      <c r="C57" s="64">
        <v>8.6108333333333342E-2</v>
      </c>
      <c r="D57" s="64">
        <v>3.2002094451429264E-2</v>
      </c>
    </row>
    <row r="58" spans="1:4" ht="16">
      <c r="A58" s="61">
        <v>1984</v>
      </c>
      <c r="B58" s="62">
        <v>6.14614199963621E-2</v>
      </c>
      <c r="C58" s="62">
        <v>9.5225000000000004E-2</v>
      </c>
      <c r="D58" s="62">
        <v>0.13733364344102345</v>
      </c>
    </row>
    <row r="59" spans="1:4" ht="16">
      <c r="A59" s="63">
        <v>1985</v>
      </c>
      <c r="B59" s="64">
        <v>0.31235149485768948</v>
      </c>
      <c r="C59" s="64">
        <v>7.4791666666666673E-2</v>
      </c>
      <c r="D59" s="64">
        <v>0.2571248821260641</v>
      </c>
    </row>
    <row r="60" spans="1:4" ht="16">
      <c r="A60" s="61">
        <v>1986</v>
      </c>
      <c r="B60" s="62">
        <v>0.18494578758046187</v>
      </c>
      <c r="C60" s="62">
        <v>5.9783333333333334E-2</v>
      </c>
      <c r="D60" s="62">
        <v>0.24284215141767618</v>
      </c>
    </row>
    <row r="61" spans="1:4" ht="16">
      <c r="A61" s="63">
        <v>1987</v>
      </c>
      <c r="B61" s="64">
        <v>5.8127216418218712E-2</v>
      </c>
      <c r="C61" s="64">
        <v>5.7750000000000003E-2</v>
      </c>
      <c r="D61" s="64">
        <v>-4.9605089379262279E-2</v>
      </c>
    </row>
    <row r="62" spans="1:4" ht="16">
      <c r="A62" s="61">
        <v>1988</v>
      </c>
      <c r="B62" s="62">
        <v>0.16537192812044688</v>
      </c>
      <c r="C62" s="62">
        <v>6.6674999999999998E-2</v>
      </c>
      <c r="D62" s="62">
        <v>8.2235958434841674E-2</v>
      </c>
    </row>
    <row r="63" spans="1:4" ht="16">
      <c r="A63" s="63">
        <v>1989</v>
      </c>
      <c r="B63" s="64">
        <v>0.31475183638196724</v>
      </c>
      <c r="C63" s="64">
        <v>8.111666666666667E-2</v>
      </c>
      <c r="D63" s="64">
        <v>0.17693647159446219</v>
      </c>
    </row>
    <row r="64" spans="1:4" ht="16">
      <c r="A64" s="61">
        <v>1990</v>
      </c>
      <c r="B64" s="62">
        <v>-3.0644516129032118E-2</v>
      </c>
      <c r="C64" s="62">
        <v>7.4933333333333338E-2</v>
      </c>
      <c r="D64" s="62">
        <v>6.2353753335533363E-2</v>
      </c>
    </row>
    <row r="65" spans="1:4" ht="16">
      <c r="A65" s="63">
        <v>1991</v>
      </c>
      <c r="B65" s="64">
        <v>0.30234843134879757</v>
      </c>
      <c r="C65" s="64">
        <v>5.3749999999999999E-2</v>
      </c>
      <c r="D65" s="64">
        <v>0.15004510019517303</v>
      </c>
    </row>
    <row r="66" spans="1:4" ht="16">
      <c r="A66" s="61">
        <v>1992</v>
      </c>
      <c r="B66" s="62">
        <v>7.493727972380064E-2</v>
      </c>
      <c r="C66" s="62">
        <v>3.4316666666666669E-2</v>
      </c>
      <c r="D66" s="62">
        <v>9.3616373162079422E-2</v>
      </c>
    </row>
    <row r="67" spans="1:4" ht="16">
      <c r="A67" s="63">
        <v>1993</v>
      </c>
      <c r="B67" s="64">
        <v>9.96705147919488E-2</v>
      </c>
      <c r="C67" s="64">
        <v>2.9975000000000002E-2</v>
      </c>
      <c r="D67" s="64">
        <v>0.14210957589263107</v>
      </c>
    </row>
    <row r="68" spans="1:4" ht="16">
      <c r="A68" s="61">
        <v>1994</v>
      </c>
      <c r="B68" s="62">
        <v>1.3259206774573897E-2</v>
      </c>
      <c r="C68" s="62">
        <v>4.2466666666666673E-2</v>
      </c>
      <c r="D68" s="62">
        <v>-8.0366555509985921E-2</v>
      </c>
    </row>
    <row r="69" spans="1:4" ht="16">
      <c r="A69" s="63">
        <v>1995</v>
      </c>
      <c r="B69" s="64">
        <v>0.37195198902606308</v>
      </c>
      <c r="C69" s="64">
        <v>5.4900000000000004E-2</v>
      </c>
      <c r="D69" s="64">
        <v>0.23480780112538907</v>
      </c>
    </row>
    <row r="70" spans="1:4" ht="16">
      <c r="A70" s="61">
        <v>1996</v>
      </c>
      <c r="B70" s="62">
        <v>0.22680966018865789</v>
      </c>
      <c r="C70" s="62">
        <v>5.0058333333333337E-2</v>
      </c>
      <c r="D70" s="62">
        <v>1.428607793401844E-2</v>
      </c>
    </row>
    <row r="71" spans="1:4" ht="16">
      <c r="A71" s="63">
        <v>1997</v>
      </c>
      <c r="B71" s="64">
        <v>0.33103653103653097</v>
      </c>
      <c r="C71" s="64">
        <v>5.0608333333333332E-2</v>
      </c>
      <c r="D71" s="64">
        <v>9.939130272977531E-2</v>
      </c>
    </row>
    <row r="72" spans="1:4" ht="16">
      <c r="A72" s="61">
        <v>1998</v>
      </c>
      <c r="B72" s="62">
        <v>0.28337953278443584</v>
      </c>
      <c r="C72" s="62">
        <v>4.7766666666666666E-2</v>
      </c>
      <c r="D72" s="62">
        <v>0.14921431922606215</v>
      </c>
    </row>
    <row r="73" spans="1:4" ht="16">
      <c r="A73" s="63">
        <v>1999</v>
      </c>
      <c r="B73" s="64">
        <v>0.20885350992084475</v>
      </c>
      <c r="C73" s="64">
        <v>4.6383333333333339E-2</v>
      </c>
      <c r="D73" s="64">
        <v>-8.2542147962685761E-2</v>
      </c>
    </row>
    <row r="74" spans="1:4" ht="16">
      <c r="A74" s="61">
        <v>2000</v>
      </c>
      <c r="B74" s="62">
        <v>-9.0318189552492781E-2</v>
      </c>
      <c r="C74" s="62">
        <v>5.8166666666666665E-2</v>
      </c>
      <c r="D74" s="62">
        <v>0.16655267125397488</v>
      </c>
    </row>
    <row r="75" spans="1:4" ht="16">
      <c r="A75" s="63">
        <v>2001</v>
      </c>
      <c r="B75" s="64">
        <v>-0.11849759142000185</v>
      </c>
      <c r="C75" s="64">
        <v>3.3883333333333335E-2</v>
      </c>
      <c r="D75" s="64">
        <v>5.5721811892492555E-2</v>
      </c>
    </row>
    <row r="76" spans="1:4" ht="16">
      <c r="A76" s="61">
        <v>2002</v>
      </c>
      <c r="B76" s="62">
        <v>-0.21966047957912699</v>
      </c>
      <c r="C76" s="62">
        <v>1.6025000000000001E-2</v>
      </c>
      <c r="D76" s="62">
        <v>0.15116400378109285</v>
      </c>
    </row>
    <row r="77" spans="1:4" ht="16">
      <c r="A77" s="63">
        <v>2003</v>
      </c>
      <c r="B77" s="64">
        <v>0.28355800050010233</v>
      </c>
      <c r="C77" s="64">
        <v>1.0108333333333332E-2</v>
      </c>
      <c r="D77" s="64">
        <v>3.7531858817758529E-3</v>
      </c>
    </row>
    <row r="78" spans="1:4" ht="16">
      <c r="A78" s="61">
        <v>2004</v>
      </c>
      <c r="B78" s="62">
        <v>0.10742775944096193</v>
      </c>
      <c r="C78" s="62">
        <v>1.3716666666666665E-2</v>
      </c>
      <c r="D78" s="62">
        <v>4.490683702274547E-2</v>
      </c>
    </row>
    <row r="79" spans="1:4" ht="16">
      <c r="A79" s="63">
        <v>2005</v>
      </c>
      <c r="B79" s="64">
        <v>4.8344775232688535E-2</v>
      </c>
      <c r="C79" s="64">
        <v>3.1466666666666664E-2</v>
      </c>
      <c r="D79" s="64">
        <v>2.8675329597779506E-2</v>
      </c>
    </row>
    <row r="80" spans="1:4" ht="16">
      <c r="A80" s="61">
        <v>2006</v>
      </c>
      <c r="B80" s="62">
        <v>0.15612557979315703</v>
      </c>
      <c r="C80" s="62">
        <v>4.7266666666666665E-2</v>
      </c>
      <c r="D80" s="62">
        <v>1.9610012417568386E-2</v>
      </c>
    </row>
    <row r="81" spans="1:4" ht="16">
      <c r="A81" s="63">
        <v>2007</v>
      </c>
      <c r="B81" s="64">
        <v>5.4847352464217694E-2</v>
      </c>
      <c r="C81" s="64">
        <v>4.3533333333333334E-2</v>
      </c>
      <c r="D81" s="64">
        <v>0.10209921930012807</v>
      </c>
    </row>
    <row r="82" spans="1:4" ht="16">
      <c r="A82" s="61">
        <v>2008</v>
      </c>
      <c r="B82" s="62">
        <v>-0.36552344111798191</v>
      </c>
      <c r="C82" s="62">
        <v>1.3650000000000001E-2</v>
      </c>
      <c r="D82" s="62">
        <v>0.20101279926977011</v>
      </c>
    </row>
    <row r="83" spans="1:4" ht="16">
      <c r="A83" s="63">
        <v>2009</v>
      </c>
      <c r="B83" s="64">
        <v>0.25935233877663982</v>
      </c>
      <c r="C83" s="64">
        <v>1.5E-3</v>
      </c>
      <c r="D83" s="64">
        <v>-0.11116695313259162</v>
      </c>
    </row>
    <row r="84" spans="1:4" ht="16">
      <c r="A84" s="61">
        <v>2010</v>
      </c>
      <c r="B84" s="62">
        <v>0.14821092278719414</v>
      </c>
      <c r="C84" s="62">
        <v>1.3666666666666666E-3</v>
      </c>
      <c r="D84" s="62">
        <v>8.4629338803557719E-2</v>
      </c>
    </row>
    <row r="85" spans="1:4" ht="16">
      <c r="A85" s="63">
        <v>2011</v>
      </c>
      <c r="B85" s="64">
        <v>2.09837473362805E-2</v>
      </c>
      <c r="C85" s="64">
        <v>5.2499999999999997E-4</v>
      </c>
      <c r="D85" s="64">
        <v>0.16035334999461354</v>
      </c>
    </row>
    <row r="86" spans="1:4" ht="16">
      <c r="A86" s="61">
        <v>2012</v>
      </c>
      <c r="B86" s="62">
        <v>0.15890585241730293</v>
      </c>
      <c r="C86" s="62">
        <v>8.5833333333333334E-4</v>
      </c>
      <c r="D86" s="62">
        <v>2.971571978018946E-2</v>
      </c>
    </row>
    <row r="87" spans="1:4" ht="16">
      <c r="A87" s="63">
        <v>2013</v>
      </c>
      <c r="B87" s="64">
        <v>0.32145085858125483</v>
      </c>
      <c r="C87" s="64">
        <v>5.8333333333333338E-4</v>
      </c>
      <c r="D87" s="64">
        <v>-9.104568794347262E-2</v>
      </c>
    </row>
    <row r="88" spans="1:4" ht="16">
      <c r="A88" s="61">
        <v>2014</v>
      </c>
      <c r="B88" s="62">
        <v>0.13524421649462237</v>
      </c>
      <c r="C88" s="62">
        <v>3.2499999999999999E-4</v>
      </c>
      <c r="D88" s="62">
        <v>0.10746180452004755</v>
      </c>
    </row>
    <row r="89" spans="1:4" ht="16">
      <c r="A89" s="65">
        <v>2015</v>
      </c>
      <c r="B89" s="64">
        <v>1.3788916411676138E-2</v>
      </c>
      <c r="C89" s="64">
        <v>5.2499999999999997E-4</v>
      </c>
      <c r="D89" s="64">
        <v>1.2842996709792224E-2</v>
      </c>
    </row>
    <row r="90" spans="1:4" ht="16">
      <c r="A90" s="66">
        <v>2016</v>
      </c>
      <c r="B90" s="62">
        <v>0.11773080874798171</v>
      </c>
      <c r="C90" s="62">
        <v>3.1749999999999999E-3</v>
      </c>
      <c r="D90" s="62">
        <v>6.9055046987477921E-3</v>
      </c>
    </row>
    <row r="91" spans="1:4" ht="16">
      <c r="A91" s="67">
        <v>2017</v>
      </c>
      <c r="B91" s="64">
        <v>0.2160548143449928</v>
      </c>
      <c r="C91" s="64">
        <v>9.3083333333333334E-3</v>
      </c>
      <c r="D91" s="64">
        <v>2.8017162707789457E-2</v>
      </c>
    </row>
    <row r="92" spans="1:4" ht="16">
      <c r="A92" s="66">
        <v>2018</v>
      </c>
      <c r="B92" s="62">
        <v>-4.2268692890885438E-2</v>
      </c>
      <c r="C92" s="62">
        <v>1.9391666666666668E-2</v>
      </c>
      <c r="D92" s="62">
        <v>-1.6692385713402633E-4</v>
      </c>
    </row>
    <row r="93" spans="1:4" ht="16">
      <c r="A93" s="63">
        <v>2019</v>
      </c>
      <c r="B93" s="64">
        <v>0.31211679996808755</v>
      </c>
      <c r="C93" s="64">
        <v>1.55E-2</v>
      </c>
      <c r="D93" s="64">
        <v>9.6356307415483927E-2</v>
      </c>
    </row>
    <row r="94" spans="1:4" ht="16">
      <c r="A94" s="66">
        <v>2020</v>
      </c>
      <c r="B94" s="62">
        <v>0.18023201827422478</v>
      </c>
      <c r="C94" s="68">
        <v>8.9999999999999998E-4</v>
      </c>
      <c r="D94" s="68">
        <v>0.1133189764661412</v>
      </c>
    </row>
    <row r="95" spans="1:4" ht="16">
      <c r="A95" s="67">
        <v>2021</v>
      </c>
      <c r="B95" s="64">
        <v>0.28468851751964158</v>
      </c>
      <c r="C95" s="69">
        <v>5.9999999999999995E-4</v>
      </c>
      <c r="D95" s="69">
        <v>-4.416034448604475E-2</v>
      </c>
    </row>
    <row r="96" spans="1:4" ht="16">
      <c r="A96" s="70">
        <v>2022</v>
      </c>
      <c r="B96" s="62">
        <v>-0.18037505927178585</v>
      </c>
      <c r="C96" s="71">
        <v>4.4200000000000003E-2</v>
      </c>
      <c r="D96" s="71">
        <v>-0.1782817153825067</v>
      </c>
    </row>
    <row r="97" spans="1:4">
      <c r="A97" s="57">
        <v>2023</v>
      </c>
      <c r="B97" s="72">
        <v>0.26060684985024096</v>
      </c>
      <c r="C97" s="72">
        <v>5.0703614457831322E-2</v>
      </c>
      <c r="D97" s="72">
        <v>3.8800000000000001E-2</v>
      </c>
    </row>
    <row r="98" spans="1:4">
      <c r="A98" s="57">
        <v>2024</v>
      </c>
      <c r="B98" s="72">
        <v>0.24878611262526726</v>
      </c>
      <c r="C98" s="72">
        <v>4.9699999999999994E-2</v>
      </c>
      <c r="D98" s="72">
        <v>-1.6371801436629807E-2</v>
      </c>
    </row>
  </sheetData>
  <phoneticPr fontId="10"/>
  <pageMargins left="0.75" right="0.75" top="1" bottom="1" header="0.5" footer="0.5"/>
  <pageSetup orientation="portrait" horizontalDpi="4294967292" verticalDpi="4294967292"/>
  <headerFooter alignWithMargins="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1"/>
  <sheetViews>
    <sheetView workbookViewId="0">
      <selection activeCell="B12" sqref="B12"/>
    </sheetView>
  </sheetViews>
  <sheetFormatPr baseColWidth="10" defaultRowHeight="14"/>
  <sheetData>
    <row r="2" spans="1:2">
      <c r="A2" t="s">
        <v>107</v>
      </c>
      <c r="B2">
        <v>1</v>
      </c>
    </row>
    <row r="3" spans="1:2">
      <c r="A3" t="s">
        <v>101</v>
      </c>
      <c r="B3">
        <v>2</v>
      </c>
    </row>
    <row r="4" spans="1:2">
      <c r="B4">
        <v>3</v>
      </c>
    </row>
    <row r="5" spans="1:2">
      <c r="B5">
        <v>4</v>
      </c>
    </row>
    <row r="6" spans="1:2">
      <c r="B6">
        <v>5</v>
      </c>
    </row>
    <row r="7" spans="1:2">
      <c r="B7">
        <v>6</v>
      </c>
    </row>
    <row r="8" spans="1:2">
      <c r="B8">
        <v>7</v>
      </c>
    </row>
    <row r="9" spans="1:2">
      <c r="B9">
        <v>8</v>
      </c>
    </row>
    <row r="10" spans="1:2">
      <c r="B10">
        <v>9</v>
      </c>
    </row>
    <row r="11" spans="1:2">
      <c r="B11">
        <v>10</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Read me first</vt:lpstr>
      <vt:lpstr>Inputs</vt:lpstr>
      <vt:lpstr>Analysis of past dividends</vt:lpstr>
      <vt:lpstr>Forecasted Dividends &amp; FCFE</vt:lpstr>
      <vt:lpstr>Historical Stock and T.Bills</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dcterms:created xsi:type="dcterms:W3CDTF">2000-04-18T22:01:20Z</dcterms:created>
  <dcterms:modified xsi:type="dcterms:W3CDTF">2025-01-22T02:18:10Z</dcterms:modified>
</cp:coreProperties>
</file>