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3C2AC3BF-3DE3-FF45-B942-DFDE5A93689A}"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85" i="4" l="1"/>
  <c r="F85" i="2"/>
  <c r="E85" i="2"/>
  <c r="D85" i="2"/>
  <c r="C85" i="2"/>
  <c r="B85" i="2"/>
  <c r="D102" i="8"/>
  <c r="H102" i="8" s="1"/>
  <c r="J102" i="8"/>
  <c r="K102" i="8" s="1"/>
  <c r="B9" i="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C4" i="3"/>
  <c r="N180" i="4"/>
  <c r="H97" i="8"/>
  <c r="I97" i="8"/>
  <c r="J97" i="8"/>
  <c r="K97" i="8" s="1"/>
  <c r="L97" i="8"/>
  <c r="M97" i="8"/>
  <c r="N97" i="8"/>
  <c r="O97" i="8"/>
  <c r="P97" i="8"/>
  <c r="Q97" i="8"/>
  <c r="U97" i="8" s="1"/>
  <c r="R97" i="8"/>
  <c r="G10" i="3"/>
  <c r="B10" i="3"/>
  <c r="G7" i="3"/>
  <c r="B7" i="3"/>
  <c r="N179" i="4"/>
  <c r="H96" i="8"/>
  <c r="I96" i="8"/>
  <c r="J96" i="8"/>
  <c r="K96" i="8" s="1"/>
  <c r="D95" i="8"/>
  <c r="I95" i="8" s="1"/>
  <c r="H95" i="8"/>
  <c r="J95" i="8"/>
  <c r="K95" i="8" s="1"/>
  <c r="Q49" i="2"/>
  <c r="Q48" i="2"/>
  <c r="Q47" i="2"/>
  <c r="Q46" i="2"/>
  <c r="Q45" i="2"/>
  <c r="Q44" i="2"/>
  <c r="Q43" i="2"/>
  <c r="Q42" i="2"/>
  <c r="Q41" i="2"/>
  <c r="Q40" i="2"/>
  <c r="Q39" i="2"/>
  <c r="Q38" i="2"/>
  <c r="Q37" i="2"/>
  <c r="Q36" i="2"/>
  <c r="Q35" i="2"/>
  <c r="Q34" i="2"/>
  <c r="Q33" i="2"/>
  <c r="Q32" i="2"/>
  <c r="Q31" i="2"/>
  <c r="Q30" i="2"/>
  <c r="N178" i="4"/>
  <c r="G20" i="1"/>
  <c r="N177" i="4"/>
  <c r="G23" i="2"/>
  <c r="F23" i="2"/>
  <c r="E23" i="2"/>
  <c r="Q51" i="2"/>
  <c r="Q50" i="2"/>
  <c r="N51"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1" i="2"/>
  <c r="H51" i="2" s="1"/>
  <c r="L51" i="2" s="1"/>
  <c r="J51" i="2"/>
  <c r="C23" i="2" s="1"/>
  <c r="I51" i="2"/>
  <c r="K51" i="2" s="1"/>
  <c r="D23" i="2" s="1"/>
  <c r="E55" i="2"/>
  <c r="B73" i="2" s="1"/>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0" i="2"/>
  <c r="T83" i="8" l="1"/>
  <c r="S83" i="8"/>
  <c r="U84" i="8"/>
  <c r="T84" i="8"/>
  <c r="R84" i="8"/>
  <c r="S84" i="8"/>
  <c r="R83" i="8"/>
  <c r="U83" i="8"/>
  <c r="P82" i="8"/>
  <c r="O82" i="8"/>
  <c r="M82" i="8"/>
  <c r="L82" i="8"/>
  <c r="K82" i="8"/>
  <c r="N82" i="8"/>
  <c r="Q82" i="8"/>
  <c r="T82" i="8" l="1"/>
  <c r="U82" i="8"/>
  <c r="S82" i="8"/>
  <c r="R82" i="8"/>
  <c r="G22" i="2"/>
  <c r="F22" i="2"/>
  <c r="E22" i="2"/>
  <c r="G50" i="2"/>
  <c r="H50" i="2" s="1"/>
  <c r="L50" i="2" s="1"/>
  <c r="J50" i="2"/>
  <c r="C22" i="2" s="1"/>
  <c r="I50" i="2"/>
  <c r="E56" i="2"/>
  <c r="J81" i="8"/>
  <c r="M81" i="8" s="1"/>
  <c r="D81" i="8"/>
  <c r="H81" i="8" s="1"/>
  <c r="J80" i="8"/>
  <c r="M80" i="8" s="1"/>
  <c r="D80" i="8"/>
  <c r="I80" i="8" s="1"/>
  <c r="G24" i="1"/>
  <c r="G23" i="1"/>
  <c r="G22" i="1"/>
  <c r="J79" i="8"/>
  <c r="M79" i="8" s="1"/>
  <c r="D79" i="8"/>
  <c r="I79" i="8" s="1"/>
  <c r="G27" i="1"/>
  <c r="B31"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2" i="2"/>
  <c r="J70" i="8"/>
  <c r="D70" i="8"/>
  <c r="I70" i="8" s="1"/>
  <c r="O52" i="2"/>
  <c r="F21" i="2"/>
  <c r="G21" i="2"/>
  <c r="E21" i="2"/>
  <c r="N49" i="2"/>
  <c r="G49" i="2"/>
  <c r="H49" i="2" s="1"/>
  <c r="L49" i="2" s="1"/>
  <c r="J49" i="2"/>
  <c r="C21" i="2" s="1"/>
  <c r="I49" i="2"/>
  <c r="B21" i="2" s="1"/>
  <c r="D81" i="2"/>
  <c r="E52" i="2" s="1"/>
  <c r="E57" i="2"/>
  <c r="C81" i="2"/>
  <c r="D52" i="2" s="1"/>
  <c r="J69" i="8"/>
  <c r="K69" i="8" s="1"/>
  <c r="D69" i="8"/>
  <c r="I69" i="8" s="1"/>
  <c r="B81" i="2"/>
  <c r="E58"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4" i="2"/>
  <c r="B16" i="2" s="1"/>
  <c r="J44" i="2"/>
  <c r="C16" i="2" s="1"/>
  <c r="I45" i="2"/>
  <c r="J45" i="2"/>
  <c r="C17" i="2" s="1"/>
  <c r="I46" i="2"/>
  <c r="B18" i="2" s="1"/>
  <c r="J46" i="2"/>
  <c r="C18" i="2" s="1"/>
  <c r="I47" i="2"/>
  <c r="B19" i="2" s="1"/>
  <c r="J47" i="2"/>
  <c r="C19" i="2" s="1"/>
  <c r="I48" i="2"/>
  <c r="B20" i="2" s="1"/>
  <c r="J48" i="2"/>
  <c r="C20" i="2" s="1"/>
  <c r="G11" i="2"/>
  <c r="G12" i="2"/>
  <c r="G13" i="2"/>
  <c r="G14" i="2"/>
  <c r="G15" i="2"/>
  <c r="F11" i="2"/>
  <c r="F12" i="2"/>
  <c r="F13" i="2"/>
  <c r="F14" i="2"/>
  <c r="F15" i="2"/>
  <c r="D67" i="2"/>
  <c r="E67" i="2" s="1"/>
  <c r="D39" i="2" s="1"/>
  <c r="F66" i="2"/>
  <c r="E66" i="2"/>
  <c r="G66" i="2"/>
  <c r="G65" i="2"/>
  <c r="E65" i="2"/>
  <c r="E14" i="2"/>
  <c r="F63" i="2"/>
  <c r="E63" i="2"/>
  <c r="G63" i="2"/>
  <c r="I41" i="2"/>
  <c r="I42" i="2"/>
  <c r="B14" i="2" s="1"/>
  <c r="J42" i="2"/>
  <c r="C14" i="2" s="1"/>
  <c r="N48" i="2"/>
  <c r="G48" i="2"/>
  <c r="H48" i="2" s="1"/>
  <c r="L48" i="2" s="1"/>
  <c r="J58" i="8"/>
  <c r="N58" i="8" s="1"/>
  <c r="I58" i="8"/>
  <c r="H58" i="8"/>
  <c r="J56" i="8"/>
  <c r="D56" i="8"/>
  <c r="E59"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7" i="2"/>
  <c r="J46" i="8"/>
  <c r="O46" i="8" s="1"/>
  <c r="D46" i="8"/>
  <c r="I46" i="8" s="1"/>
  <c r="G47" i="2"/>
  <c r="H47" i="2" s="1"/>
  <c r="L47" i="2" s="1"/>
  <c r="G46"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69" i="2"/>
  <c r="D69" i="2"/>
  <c r="E69" i="2" s="1"/>
  <c r="G69" i="2"/>
  <c r="F68" i="2"/>
  <c r="D68" i="2"/>
  <c r="E68" i="2" s="1"/>
  <c r="G68" i="2"/>
  <c r="E60" i="2"/>
  <c r="N46" i="2"/>
  <c r="L46" i="2"/>
  <c r="J34" i="8"/>
  <c r="O34" i="8" s="1"/>
  <c r="D34" i="8"/>
  <c r="J33" i="8"/>
  <c r="K33" i="8" s="1"/>
  <c r="D33" i="8"/>
  <c r="H33" i="8" s="1"/>
  <c r="J32" i="8"/>
  <c r="M32" i="8" s="1"/>
  <c r="D32" i="8"/>
  <c r="I32" i="8" s="1"/>
  <c r="E61" i="2"/>
  <c r="G9" i="2"/>
  <c r="G10" i="2"/>
  <c r="F9" i="2"/>
  <c r="F10" i="2"/>
  <c r="B52"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5" i="2"/>
  <c r="G45" i="2"/>
  <c r="L45" i="2"/>
  <c r="J22" i="8"/>
  <c r="D22" i="8"/>
  <c r="J20" i="8"/>
  <c r="O20" i="8" s="1"/>
  <c r="D20" i="8"/>
  <c r="I20" i="8" s="1"/>
  <c r="J19" i="8"/>
  <c r="D19" i="8"/>
  <c r="I19" i="8" s="1"/>
  <c r="D36" i="2"/>
  <c r="E36" i="2"/>
  <c r="F8" i="2"/>
  <c r="G8" i="2"/>
  <c r="J18" i="8"/>
  <c r="D18" i="8"/>
  <c r="I18" i="8" s="1"/>
  <c r="J17" i="8"/>
  <c r="H17" i="8"/>
  <c r="J16" i="8"/>
  <c r="O16" i="8" s="1"/>
  <c r="H16" i="8"/>
  <c r="J15" i="8"/>
  <c r="N15" i="8" s="1"/>
  <c r="D15" i="8"/>
  <c r="I15" i="8" s="1"/>
  <c r="J14" i="8"/>
  <c r="N14" i="8" s="1"/>
  <c r="D14" i="8"/>
  <c r="I14" i="8" s="1"/>
  <c r="E62" i="2"/>
  <c r="D35" i="2"/>
  <c r="E35" i="2"/>
  <c r="J13" i="8"/>
  <c r="N13" i="8" s="1"/>
  <c r="D13" i="8"/>
  <c r="I13" i="8" s="1"/>
  <c r="N44" i="2"/>
  <c r="G44" i="2"/>
  <c r="H44" i="2" s="1"/>
  <c r="L44" i="2" s="1"/>
  <c r="G7" i="2"/>
  <c r="F7" i="2"/>
  <c r="D7" i="2"/>
  <c r="J12" i="8"/>
  <c r="K12" i="8" s="1"/>
  <c r="D12" i="8"/>
  <c r="H12" i="8" s="1"/>
  <c r="J11" i="8"/>
  <c r="N11" i="8" s="1"/>
  <c r="D11" i="8"/>
  <c r="I11" i="8" s="1"/>
  <c r="J10" i="8"/>
  <c r="O10" i="8" s="1"/>
  <c r="H10" i="8"/>
  <c r="J9" i="8"/>
  <c r="D9" i="8"/>
  <c r="I9" i="8" s="1"/>
  <c r="B42" i="1"/>
  <c r="H42" i="1"/>
  <c r="N43" i="2"/>
  <c r="N42" i="2"/>
  <c r="N41" i="2"/>
  <c r="N40" i="2"/>
  <c r="N39" i="2"/>
  <c r="N38" i="2"/>
  <c r="N37" i="2"/>
  <c r="N36" i="2"/>
  <c r="N35" i="2"/>
  <c r="N34" i="2"/>
  <c r="N33" i="2"/>
  <c r="N32" i="2"/>
  <c r="N31" i="2"/>
  <c r="N30" i="2"/>
  <c r="J8" i="8"/>
  <c r="O8" i="8" s="1"/>
  <c r="D8" i="8"/>
  <c r="I8" i="8" s="1"/>
  <c r="H43" i="2"/>
  <c r="L43" i="2" s="1"/>
  <c r="J7" i="8"/>
  <c r="M7" i="8" s="1"/>
  <c r="D7" i="8"/>
  <c r="I7" i="8" s="1"/>
  <c r="J6" i="8"/>
  <c r="K6" i="8" s="1"/>
  <c r="D6" i="8"/>
  <c r="H6" i="8" s="1"/>
  <c r="J5" i="8"/>
  <c r="L5" i="8" s="1"/>
  <c r="H5" i="8"/>
  <c r="D4" i="8"/>
  <c r="H4" i="8" s="1"/>
  <c r="J4" i="8"/>
  <c r="F6" i="2"/>
  <c r="G6" i="2"/>
  <c r="D33" i="2"/>
  <c r="E33" i="2"/>
  <c r="D34" i="2"/>
  <c r="E34" i="2"/>
  <c r="D6" i="2"/>
  <c r="G64" i="2"/>
  <c r="F64" i="2"/>
  <c r="E64" i="2"/>
  <c r="E31" i="4"/>
  <c r="E32" i="4" s="1"/>
  <c r="E29" i="4"/>
  <c r="G5" i="2"/>
  <c r="F5" i="2"/>
  <c r="D5" i="2"/>
  <c r="D31" i="2"/>
  <c r="E31" i="2"/>
  <c r="D32" i="2"/>
  <c r="E32"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0" i="2"/>
  <c r="E30" i="2"/>
  <c r="F65" i="2"/>
  <c r="D4" i="2"/>
  <c r="D3" i="2"/>
  <c r="D71" i="2"/>
  <c r="E71" i="2" s="1"/>
  <c r="D70" i="2"/>
  <c r="E70" i="2" s="1"/>
  <c r="G70" i="2"/>
  <c r="F70" i="2"/>
  <c r="D2" i="2"/>
  <c r="C6" i="2"/>
  <c r="B6" i="2"/>
  <c r="C5" i="2"/>
  <c r="B5" i="2"/>
  <c r="C4" i="2"/>
  <c r="B4" i="2"/>
  <c r="C3" i="2"/>
  <c r="B3" i="2"/>
  <c r="C2" i="2"/>
  <c r="B8" i="2"/>
  <c r="C8" i="2"/>
  <c r="B7" i="2"/>
  <c r="C7" i="2"/>
  <c r="B2" i="2"/>
  <c r="E81" i="2"/>
  <c r="G9" i="3" l="1"/>
  <c r="G8" i="3"/>
  <c r="B8" i="3"/>
  <c r="B9" i="3"/>
  <c r="F24" i="2"/>
  <c r="F25" i="2"/>
  <c r="G24" i="2"/>
  <c r="G25" i="2"/>
  <c r="E25" i="2"/>
  <c r="M10" i="8"/>
  <c r="O32" i="8"/>
  <c r="P40" i="8"/>
  <c r="T40" i="8" s="1"/>
  <c r="P45" i="8"/>
  <c r="P17" i="8"/>
  <c r="K27" i="8"/>
  <c r="L27" i="8"/>
  <c r="Q63" i="8"/>
  <c r="N69" i="8"/>
  <c r="M63" i="8"/>
  <c r="L66" i="8"/>
  <c r="Q69" i="8"/>
  <c r="L52" i="8"/>
  <c r="K37" i="8"/>
  <c r="N10" i="8"/>
  <c r="O11" i="8"/>
  <c r="N8" i="8"/>
  <c r="O69" i="8"/>
  <c r="M72" i="8"/>
  <c r="H7" i="8"/>
  <c r="P7" i="8" s="1"/>
  <c r="H14" i="8"/>
  <c r="P14" i="8" s="1"/>
  <c r="K44"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5" i="2"/>
  <c r="G33" i="7"/>
  <c r="K51" i="8"/>
  <c r="N20" i="8"/>
  <c r="G50" i="7"/>
  <c r="G31"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3" i="2"/>
  <c r="J43"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3" i="2"/>
  <c r="P6" i="8"/>
  <c r="H9" i="8"/>
  <c r="P9" i="8" s="1"/>
  <c r="Q28" i="8"/>
  <c r="D38" i="2"/>
  <c r="I38" i="2" s="1"/>
  <c r="H36" i="8"/>
  <c r="P36" i="8" s="1"/>
  <c r="K46" i="8"/>
  <c r="N51" i="8"/>
  <c r="L55" i="8"/>
  <c r="L63" i="8"/>
  <c r="S63" i="8" s="1"/>
  <c r="E41" i="2"/>
  <c r="E13" i="2" s="1"/>
  <c r="K48" i="2"/>
  <c r="D20" i="2" s="1"/>
  <c r="K49" i="2"/>
  <c r="D21" i="2" s="1"/>
  <c r="K50" i="2"/>
  <c r="D22" i="2" s="1"/>
  <c r="E5" i="2"/>
  <c r="B22" i="2"/>
  <c r="D43" i="2"/>
  <c r="J52" i="2"/>
  <c r="E4" i="2"/>
  <c r="E40" i="2"/>
  <c r="J40" i="2" s="1"/>
  <c r="C12" i="2" s="1"/>
  <c r="E37" i="2"/>
  <c r="J37" i="2" s="1"/>
  <c r="C9" i="2" s="1"/>
  <c r="K42" i="2"/>
  <c r="D14" i="2" s="1"/>
  <c r="K45" i="2"/>
  <c r="D17" i="2" s="1"/>
  <c r="G30" i="2"/>
  <c r="B17" i="2"/>
  <c r="E3" i="2"/>
  <c r="E7" i="2"/>
  <c r="I52" i="2"/>
  <c r="C52" i="2"/>
  <c r="G13" i="1" s="1"/>
  <c r="K47" i="2"/>
  <c r="D19" i="2" s="1"/>
  <c r="D25" i="2" s="1"/>
  <c r="G36" i="2"/>
  <c r="K36" i="2" s="1"/>
  <c r="D8" i="2" s="1"/>
  <c r="K46" i="2"/>
  <c r="D18" i="2" s="1"/>
  <c r="D37" i="2"/>
  <c r="I37" i="2" s="1"/>
  <c r="D40" i="2"/>
  <c r="I40" i="2" s="1"/>
  <c r="E6" i="2"/>
  <c r="E38" i="2"/>
  <c r="J38" i="2" s="1"/>
  <c r="C10" i="2" s="1"/>
  <c r="E39" i="2"/>
  <c r="J39" i="2" s="1"/>
  <c r="C11" i="2" s="1"/>
  <c r="I39" i="2"/>
  <c r="G34" i="2"/>
  <c r="G32"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E24" i="2" s="1"/>
  <c r="R52" i="8"/>
  <c r="U55" i="8"/>
  <c r="R66" i="8"/>
  <c r="F62" i="7"/>
  <c r="T60" i="8"/>
  <c r="T71" i="8"/>
  <c r="S25" i="8"/>
  <c r="T48" i="8"/>
  <c r="U79" i="8"/>
  <c r="S66" i="8"/>
  <c r="S53" i="8"/>
  <c r="T58" i="8"/>
  <c r="S52" i="8"/>
  <c r="U11" i="8"/>
  <c r="R54" i="8"/>
  <c r="S55" i="8"/>
  <c r="T68" i="8"/>
  <c r="R11" i="8"/>
  <c r="S37" i="8"/>
  <c r="J41" i="2"/>
  <c r="C13" i="2" s="1"/>
  <c r="T11" i="8"/>
  <c r="T33" i="8"/>
  <c r="U9" i="8"/>
  <c r="U54" i="8"/>
  <c r="U38" i="8"/>
  <c r="T54" i="8"/>
  <c r="S68" i="8"/>
  <c r="U61" i="8"/>
  <c r="S67" i="8"/>
  <c r="T56" i="8"/>
  <c r="T30" i="8"/>
  <c r="U35" i="8"/>
  <c r="U50" i="8"/>
  <c r="T67" i="8"/>
  <c r="S10" i="8"/>
  <c r="T38" i="8"/>
  <c r="R30" i="8"/>
  <c r="U67" i="8"/>
  <c r="U12" i="8"/>
  <c r="U75" i="8"/>
  <c r="U77" i="8"/>
  <c r="T13" i="8"/>
  <c r="U51" i="8"/>
  <c r="T50" i="8"/>
  <c r="I43" i="2"/>
  <c r="K43" i="2" s="1"/>
  <c r="D15" i="2" s="1"/>
  <c r="D24"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39" i="2"/>
  <c r="G41" i="2"/>
  <c r="G40" i="2"/>
  <c r="G37" i="2"/>
  <c r="E9" i="2"/>
  <c r="E11" i="2"/>
  <c r="G6" i="1"/>
  <c r="Q52" i="2"/>
  <c r="G52" i="2"/>
  <c r="G4" i="1" s="1"/>
  <c r="N52" i="2"/>
  <c r="G8" i="1"/>
  <c r="G26" i="1"/>
  <c r="H3" i="3" s="1"/>
  <c r="E12" i="2"/>
  <c r="E10" i="2"/>
  <c r="G38" i="2"/>
  <c r="K39" i="2"/>
  <c r="D11" i="2" s="1"/>
  <c r="B11" i="2"/>
  <c r="B9" i="2"/>
  <c r="K37" i="2"/>
  <c r="D9" i="2" s="1"/>
  <c r="K40" i="2"/>
  <c r="D12" i="2" s="1"/>
  <c r="B12" i="2"/>
  <c r="K38"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3" i="2"/>
  <c r="F52" i="2" s="1"/>
  <c r="F45" i="2" s="1"/>
  <c r="C53" i="2"/>
  <c r="D53" i="2"/>
  <c r="E53"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2" i="2"/>
  <c r="S74" i="8"/>
  <c r="R74" i="8"/>
  <c r="U74" i="8"/>
  <c r="R73" i="8"/>
  <c r="S73" i="8"/>
  <c r="U73" i="8"/>
  <c r="G7" i="1" l="1"/>
  <c r="K41" i="2"/>
  <c r="D13" i="2" s="1"/>
  <c r="G5" i="1" s="1"/>
  <c r="B15" i="2"/>
  <c r="G11" i="3"/>
  <c r="G15" i="1" s="1"/>
  <c r="B8" i="1" s="1"/>
  <c r="C31" i="1" s="1"/>
  <c r="D31" i="1" s="1"/>
  <c r="E31" i="1" s="1"/>
  <c r="F31" i="1" s="1"/>
  <c r="G31" i="1" s="1"/>
  <c r="G9" i="1"/>
  <c r="L9" i="3"/>
  <c r="L8" i="3"/>
  <c r="L7" i="3"/>
  <c r="H52" i="2"/>
  <c r="L52" i="2" s="1"/>
  <c r="G53" i="2"/>
  <c r="H53"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<sst xmlns="http://schemas.openxmlformats.org/spreadsheetml/2006/main" count="398" uniqueCount="297">
  <si>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</si>
  <si>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</si>
  <si>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</si>
  <si>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</si>
  <si>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</si>
  <si>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</si>
  <si>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</si>
  <si>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</si>
  <si>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</si>
  <si>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</si>
  <si>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</si>
  <si>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</si>
  <si>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</si>
  <si>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</si>
  <si>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</si>
  <si>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</si>
  <si>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</si>
  <si>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</si>
  <si>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</si>
  <si>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</si>
  <si>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</si>
  <si>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</si>
  <si>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</si>
  <si>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</si>
  <si>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</si>
  <si>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</si>
  <si>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</si>
  <si>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</si>
  <si>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</si>
  <si>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</si>
  <si>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</si>
  <si>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</si>
  <si>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</si>
  <si>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</si>
  <si>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</si>
  <si>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</si>
  <si>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</si>
  <si>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</si>
  <si>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</si>
  <si>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</si>
  <si>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</si>
  <si>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</si>
  <si>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</si>
  <si>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</si>
  <si>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</si>
  <si>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</si>
  <si>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</si>
  <si>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</si>
  <si>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</si>
  <si>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</si>
  <si>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</si>
  <si>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</si>
  <si>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</si>
  <si>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</si>
  <si>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</si>
  <si>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</si>
  <si>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</si>
  <si>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</si>
  <si>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</si>
  <si>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</si>
  <si>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</si>
  <si>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</si>
  <si>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</si>
  <si>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</si>
  <si>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</si>
  <si>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</si>
  <si>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</si>
  <si>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</si>
  <si>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</si>
  <si>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</si>
  <si>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</si>
  <si>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</si>
  <si>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</si>
  <si>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</si>
  <si>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</si>
  <si>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</si>
  <si>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</si>
  <si>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</si>
  <si>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</si>
  <si>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</si>
  <si>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</si>
  <si>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</si>
  <si>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</si>
  <si>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</si>
  <si>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</si>
  <si>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</si>
  <si>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</si>
  <si>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</si>
  <si>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</si>
  <si>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</si>
  <si>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</si>
  <si>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</si>
  <si>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</si>
  <si>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</si>
  <si>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</si>
  <si>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</si>
  <si>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</si>
  <si>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</si>
  <si>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</si>
  <si>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</si>
  <si>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</si>
  <si>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</si>
  <si>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</si>
  <si>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</si>
  <si>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</si>
  <si>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</si>
  <si>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</si>
  <si>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</si>
  <si>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</si>
  <si>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</si>
  <si>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</si>
  <si>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</si>
  <si>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</si>
  <si>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</si>
  <si>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</si>
  <si>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</si>
  <si>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</si>
  <si>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</si>
  <si>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</si>
  <si>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</si>
  <si>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</si>
  <si>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</si>
  <si>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</si>
  <si>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</si>
  <si>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</si>
  <si>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</si>
  <si>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</si>
  <si>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</si>
  <si>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</si>
  <si>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</si>
  <si>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</si>
  <si>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</si>
  <si>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</si>
  <si>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</si>
  <si>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</si>
  <si>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</si>
  <si>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</si>
  <si>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</si>
  <si>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</si>
  <si>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</si>
  <si>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</si>
  <si>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</si>
  <si>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</si>
  <si>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</si>
  <si>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</si>
  <si>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</si>
  <si>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</si>
  <si>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</si>
  <si>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</si>
  <si>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</si>
  <si>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</si>
  <si>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</si>
  <si>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</si>
  <si>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</si>
  <si>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</si>
  <si>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</si>
  <si>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</si>
  <si>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</si>
  <si>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</si>
  <si>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</si>
  <si>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</si>
  <si>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</si>
  <si>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</si>
  <si>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</si>
  <si>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</si>
  <si>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</si>
  <si>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</si>
  <si>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</si>
  <si>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</si>
  <si>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</si>
  <si>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</si>
  <si>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</si>
  <si>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</si>
  <si>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</si>
  <si>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</si>
  <si>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</si>
  <si>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</si>
  <si>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</si>
  <si>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</si>
  <si>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</si>
  <si>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</si>
  <si>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</si>
  <si>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</si>
  <si>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</si>
  <si>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</si>
  <si>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</si>
  <si>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</si>
  <si>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</si>
  <si>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</si>
  <si>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</si>
  <si>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</si>
  <si>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</si>
  <si>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</si>
  <si>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</si>
  <si>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</si>
  <si>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</si>
  <si>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</si>
  <si>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</si>
  <si>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</si>
  <si>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</si>
  <si>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</si>
  <si>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</si>
  <si>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</si>
  <si>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</si>
  <si>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</si>
  <si>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</si>
  <si>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</si>
  <si>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</si>
  <si>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</si>
  <si>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</si>
  <si>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</si>
  <si>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</si>
  <si>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</si>
  <si>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</si>
  <si>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</si>
  <si>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</si>
  <si>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</si>
  <si>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</si>
  <si>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</si>
  <si>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</si>
  <si>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</si>
  <si>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</si>
  <si>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</si>
  <si>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</si>
  <si>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</si>
  <si>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</si>
  <si>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</si>
  <si>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</si>
  <si>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</si>
  <si>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</si>
  <si>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</si>
  <si>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</si>
  <si>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</si>
  <si>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</si>
  <si>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</si>
  <si>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</si>
  <si>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</si>
  <si>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</si>
  <si>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</si>
  <si>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</si>
  <si>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</si>
  <si>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</si>
  <si>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</si>
  <si>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</si>
  <si>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</si>
  <si>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</si>
  <si>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</si>
  <si>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</si>
  <si>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</si>
  <si>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</si>
  <si>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</si>
  <si>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</si>
  <si>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</si>
  <si>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</si>
  <si>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</si>
  <si>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</si>
  <si>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</si>
  <si>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</si>
  <si>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</si>
  <si>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</si>
  <si>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</si>
  <si>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</si>
  <si>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</si>
  <si>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</si>
  <si>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</si>
  <si>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</si>
  <si>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</si>
  <si>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</si>
  <si>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</si>
  <si>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</si>
  <si>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</si>
  <si>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</si>
  <si>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</si>
  <si>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</si>
  <si>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</si>
  <si>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</si>
  <si>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</si>
  <si>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</si>
  <si>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</si>
  <si>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</si>
  <si>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</si>
  <si>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t>2022E</t>
  </si>
  <si>
    <t>Bottom-up Estimates (Factset on 12/22)</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</si>
  <si>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</si>
  <si>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</si>
  <si>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</si>
  <si>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</si>
  <si>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</si>
  <si>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</si>
  <si>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</si>
  <si>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Updated April 1, 2023</t>
  </si>
  <si>
    <t>Table will be updated once the year's final numbers are in. For 2022, for instance, the update was in March 2023</t>
  </si>
  <si>
    <t>CAGR</t>
  </si>
  <si>
    <t>Updated October 1, 2023</t>
  </si>
  <si>
    <t>Top Down Estimates (Yardeni on 11/27/23)</t>
  </si>
  <si>
    <t>Top-down Estimates (Analyst Consensus on 11/27/23)</t>
  </si>
  <si>
    <t>Updated December 1,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</si>
</sst>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20">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2" fontId="0" fillId="0" borderId="1" xfId="0" applyNumberForma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19</xdr:row>
      <xdr:rowOff>12700</xdr:rowOff>
    </xdr:from>
    <xdr:to>
      <xdr:col>4</xdr:col>
      <xdr:colOff>645180</xdr:colOff>
      <xdr:row>72</xdr:row>
      <xdr:rowOff>76200</xdr:rowOff>
    </xdr:to>
    <xdr:pic>
      <xdr:nvPicPr>
        <xdr:cNvPr id="2" name="Picture 1">
          <a:extLst>
            <a:ext uri="{FF2B5EF4-FFF2-40B4-BE49-F238E27FC236}">
              <a16:creationId xmlns:a16="http://schemas.microsoft.com/office/drawing/2014/main" id="{8B292363-2FEC-592D-4000-88F4D3DCA138}"/>
            </a:ext>
          </a:extLst>
        </xdr:cNvPr>
        <xdr:cNvPicPr>
          <a:picLocks noChangeAspect="1"/>
        </xdr:cNvPicPr>
      </xdr:nvPicPr>
      <xdr:blipFill>
        <a:blip xmlns:r="http://schemas.openxmlformats.org/officeDocument/2006/relationships" r:embed="rId2"/>
        <a:stretch>
          <a:fillRect/>
        </a:stretch>
      </xdr:blipFill>
      <xdr:spPr>
        <a:xfrm>
          <a:off x="0" y="3441700"/>
          <a:ext cx="6703080" cy="100584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8" totalsRowShown="0" headerRowDxfId="62">
  <autoFilter ref="A1:I28"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85" totalsRowShown="0" headerRowDxfId="47">
  <autoFilter ref="A1:N185"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2" totalsRowShown="0" dataDxfId="16" dataCellStyle="Percent">
  <autoFilter ref="A3:U102"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topLeftCell="A34"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10" t="s">
        <v>283</v>
      </c>
      <c r="C1" s="211"/>
      <c r="D1" s="211"/>
      <c r="E1" s="211"/>
      <c r="F1" s="211"/>
      <c r="G1" s="211"/>
      <c r="H1" s="211"/>
      <c r="I1" s="211"/>
      <c r="J1" s="212"/>
      <c r="M1" s="62"/>
    </row>
    <row r="2" spans="1:13" s="50" customFormat="1" ht="33" customHeight="1" thickBot="1">
      <c r="A2" s="4" t="s">
        <v>51</v>
      </c>
      <c r="B2" s="213"/>
      <c r="C2" s="214"/>
      <c r="D2" s="214"/>
      <c r="E2" s="214"/>
      <c r="F2" s="214"/>
      <c r="G2" s="214"/>
      <c r="H2" s="214"/>
      <c r="I2" s="214"/>
      <c r="J2" s="215"/>
    </row>
    <row r="3" spans="1:13" s="50" customFormat="1" ht="17" customHeight="1">
      <c r="A3" s="2" t="s">
        <v>173</v>
      </c>
      <c r="B3" s="155" t="s">
        <v>238</v>
      </c>
      <c r="D3" s="72" t="s">
        <v>171</v>
      </c>
      <c r="H3"/>
    </row>
    <row r="4" spans="1:13" s="4" customFormat="1" ht="13">
      <c r="A4" s="2" t="s">
        <v>40</v>
      </c>
      <c r="B4" s="22">
        <v>4567.8</v>
      </c>
      <c r="D4" s="2" t="s">
        <v>17</v>
      </c>
      <c r="G4" s="52">
        <f>'Buyback &amp; Dividend computation'!G52</f>
        <v>166.81500560171787</v>
      </c>
      <c r="H4" s="34" t="s">
        <v>38</v>
      </c>
      <c r="I4" s="57" t="s">
        <v>185</v>
      </c>
    </row>
    <row r="5" spans="1:13" s="4" customFormat="1" ht="13">
      <c r="A5" s="2" t="s">
        <v>52</v>
      </c>
      <c r="B5" s="56" t="s">
        <v>38</v>
      </c>
      <c r="D5" s="2" t="s">
        <v>28</v>
      </c>
      <c r="G5" s="52">
        <f>'Buyback &amp; Dividend computation'!D24*'Buyback &amp; Dividend computation'!D27</f>
        <v>195.99576735286902</v>
      </c>
      <c r="H5" s="34" t="s">
        <v>36</v>
      </c>
      <c r="I5" s="57" t="s">
        <v>186</v>
      </c>
    </row>
    <row r="6" spans="1:13" s="4" customFormat="1" ht="13">
      <c r="A6" s="157" t="s">
        <v>26</v>
      </c>
      <c r="B6" s="26">
        <f>IF(B5="C",G4/B4,IF(B5="A10",G5/B4,IF(B5="A5",G6/B4,IF(B5="P10",G7/B4,IF(B5="p5",G8/B4,IF(B5="NC",G10/B4,G9/B4))))))</f>
        <v>3.6519770042847295E-2</v>
      </c>
      <c r="C6" s="2"/>
      <c r="D6" s="51" t="s">
        <v>30</v>
      </c>
      <c r="G6" s="52">
        <f>'Buyback &amp; Dividend computation'!D25*'Buyback &amp; Dividend computation'!D27</f>
        <v>186.56729730124007</v>
      </c>
      <c r="H6" s="34" t="s">
        <v>39</v>
      </c>
      <c r="I6" s="57" t="s">
        <v>187</v>
      </c>
    </row>
    <row r="7" spans="1:13" s="4" customFormat="1" ht="13">
      <c r="A7" s="2" t="s">
        <v>68</v>
      </c>
      <c r="B7" s="55" t="s">
        <v>65</v>
      </c>
      <c r="C7" s="2"/>
      <c r="D7" s="2" t="s">
        <v>53</v>
      </c>
      <c r="G7" s="52">
        <f>'Buyback &amp; Dividend computation'!E24*'Buyback &amp; Dividend computation'!C52</f>
        <v>191.36985249456606</v>
      </c>
      <c r="H7" s="34" t="s">
        <v>55</v>
      </c>
      <c r="I7" s="57" t="s">
        <v>188</v>
      </c>
    </row>
    <row r="8" spans="1:13" s="4" customFormat="1" ht="13">
      <c r="A8" s="2" t="s">
        <v>69</v>
      </c>
      <c r="B8" s="26">
        <f>IF(B7="H",G13,IF(B7="BU",G14,IF(B7="TD",G15,IF(B7="FC",G16,G17))))</f>
        <v>7.3160226894865676E-2</v>
      </c>
      <c r="D8" s="2" t="s">
        <v>54</v>
      </c>
      <c r="G8" s="52">
        <f>'Buyback &amp; Dividend computation'!E25*'Buyback &amp; Dividend computation'!C52</f>
        <v>186.40525879494359</v>
      </c>
      <c r="H8" s="34" t="s">
        <v>56</v>
      </c>
      <c r="I8" s="57" t="s">
        <v>189</v>
      </c>
    </row>
    <row r="9" spans="1:13" s="4" customFormat="1" ht="13">
      <c r="A9" s="2" t="s">
        <v>70</v>
      </c>
      <c r="B9" s="24">
        <f>0.04285+0.00048</f>
        <v>4.333E-2</v>
      </c>
      <c r="D9" s="2" t="s">
        <v>102</v>
      </c>
      <c r="G9" s="52">
        <f>'Buyback &amp; Dividend computation'!E24*AVERAGE('Buyback &amp; Dividend computation'!Q42:Q52)</f>
        <v>152.98178520441121</v>
      </c>
      <c r="H9" s="34" t="s">
        <v>94</v>
      </c>
      <c r="I9" s="57" t="s">
        <v>190</v>
      </c>
    </row>
    <row r="10" spans="1:13" s="4" customFormat="1" ht="13">
      <c r="A10" s="2" t="s">
        <v>89</v>
      </c>
      <c r="B10" s="55" t="s">
        <v>87</v>
      </c>
      <c r="D10" s="2" t="s">
        <v>126</v>
      </c>
      <c r="G10" s="52">
        <f>'Buyback &amp; Dividend computation'!H52</f>
        <v>158.77981406736561</v>
      </c>
      <c r="H10" s="34" t="s">
        <v>127</v>
      </c>
      <c r="I10" s="57" t="s">
        <v>191</v>
      </c>
    </row>
    <row r="11" spans="1:13" s="4" customFormat="1" ht="16">
      <c r="A11" s="2" t="s">
        <v>88</v>
      </c>
      <c r="B11" s="25">
        <v>0.05</v>
      </c>
      <c r="D11" s="72"/>
      <c r="E11" s="2"/>
      <c r="F11" s="2"/>
      <c r="G11" s="2"/>
      <c r="H11" s="2"/>
    </row>
    <row r="12" spans="1:13" s="4" customFormat="1" ht="16">
      <c r="A12" s="2" t="s">
        <v>286</v>
      </c>
      <c r="B12" s="185" t="s">
        <v>165</v>
      </c>
      <c r="D12" s="72" t="s">
        <v>57</v>
      </c>
      <c r="E12" s="2"/>
      <c r="F12" s="2"/>
      <c r="G12" s="2"/>
      <c r="H12" s="2"/>
    </row>
    <row r="13" spans="1:13" s="2" customFormat="1" ht="13">
      <c r="A13" s="2" t="s">
        <v>285</v>
      </c>
      <c r="B13" s="23">
        <v>0.03</v>
      </c>
      <c r="D13" s="2" t="s">
        <v>58</v>
      </c>
      <c r="E13" s="4"/>
      <c r="F13" s="4"/>
      <c r="G13" s="53">
        <f>('Buyback &amp; Dividend computation'!C52/'Buyback &amp; Dividend computation'!C40)^(1/10)-1</f>
        <v>8.0468559934913975E-2</v>
      </c>
      <c r="H13" s="34" t="s">
        <v>63</v>
      </c>
    </row>
    <row r="14" spans="1:13" s="4" customFormat="1" ht="13">
      <c r="A14" s="2" t="s">
        <v>163</v>
      </c>
      <c r="B14" s="56" t="s">
        <v>165</v>
      </c>
      <c r="D14" s="2" t="s">
        <v>59</v>
      </c>
      <c r="G14" s="54">
        <f>'Expected growth rate'!L11</f>
        <v>4.6452166806560724E-2</v>
      </c>
      <c r="H14" s="34" t="s">
        <v>64</v>
      </c>
    </row>
    <row r="15" spans="1:13" s="4" customFormat="1" ht="13">
      <c r="A15" s="4" t="s">
        <v>92</v>
      </c>
      <c r="D15" s="2" t="s">
        <v>60</v>
      </c>
      <c r="G15" s="54">
        <f>'Expected growth rate'!G11</f>
        <v>7.3160226894865676E-2</v>
      </c>
      <c r="H15" s="34" t="s">
        <v>65</v>
      </c>
    </row>
    <row r="16" spans="1:13" s="4" customFormat="1">
      <c r="A16" s="2" t="s">
        <v>175</v>
      </c>
      <c r="B16"/>
      <c r="D16" s="2" t="s">
        <v>61</v>
      </c>
      <c r="G16" s="53">
        <f>(1-((B6*B4)/B31))*'Buyback &amp; Dividend computation'!$F18</f>
        <v>3.8067417042426298E-2</v>
      </c>
      <c r="H16" s="34" t="s">
        <v>66</v>
      </c>
    </row>
    <row r="17" spans="1:9" s="4" customFormat="1">
      <c r="A17" s="2" t="s">
        <v>176</v>
      </c>
      <c r="B17"/>
      <c r="D17" s="2" t="s">
        <v>62</v>
      </c>
      <c r="G17" s="53">
        <f>(1-((B6*B4)/B31))*'Buyback &amp; Dividend computation'!$F24</f>
        <v>4.006628422509529E-2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287</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288</v>
      </c>
      <c r="D23" s="2" t="s">
        <v>74</v>
      </c>
      <c r="G23" s="63">
        <f>AVERAGE('Implied ERP- Annual since 1960'!E3:E63)</f>
        <v>4.213114754098362E-2</v>
      </c>
      <c r="H23" s="34" t="s">
        <v>117</v>
      </c>
    </row>
    <row r="24" spans="1:9" s="4" customFormat="1" ht="13">
      <c r="A24" s="2" t="s">
        <v>289</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computation'!C52</f>
        <v>209.11180095229204</v>
      </c>
      <c r="H26" s="4" t="s">
        <v>239</v>
      </c>
    </row>
    <row r="27" spans="1:9" s="4" customFormat="1" ht="13">
      <c r="D27" s="2" t="s">
        <v>229</v>
      </c>
      <c r="G27" s="158">
        <f>'Expected growth rate'!H4</f>
        <v>218.09</v>
      </c>
      <c r="H27" s="4" t="s">
        <v>238</v>
      </c>
    </row>
    <row r="28" spans="1:9" s="4" customFormat="1">
      <c r="A28"/>
      <c r="B28"/>
      <c r="D28"/>
      <c r="E28"/>
      <c r="F28"/>
    </row>
    <row r="29" spans="1:9" s="4" customFormat="1" ht="16">
      <c r="A29" s="208" t="s">
        <v>199</v>
      </c>
      <c r="B29" s="209"/>
      <c r="C29" s="209"/>
      <c r="D29" s="209"/>
      <c r="E29" s="209"/>
      <c r="F29" s="209"/>
      <c r="G29" s="209"/>
      <c r="H29" s="8"/>
    </row>
    <row r="30" spans="1:9" s="4" customFormat="1" ht="13">
      <c r="A30" s="9"/>
      <c r="B30" s="101" t="s">
        <v>161</v>
      </c>
      <c r="C30" s="9">
        <v>1</v>
      </c>
      <c r="D30" s="9">
        <v>2</v>
      </c>
      <c r="E30" s="9">
        <v>3</v>
      </c>
      <c r="F30" s="9">
        <v>4</v>
      </c>
      <c r="G30" s="9">
        <v>5</v>
      </c>
      <c r="H30" s="101" t="s">
        <v>162</v>
      </c>
    </row>
    <row r="31" spans="1:9" s="4" customFormat="1" ht="13">
      <c r="A31" s="9" t="s">
        <v>159</v>
      </c>
      <c r="B31" s="187">
        <f>IF(B3="Inputed",G26,G27)</f>
        <v>218.09</v>
      </c>
      <c r="C31" s="187">
        <f>B31*(1+$B$8)</f>
        <v>234.04551388350126</v>
      </c>
      <c r="D31" s="187">
        <f>C31*(1+$B$8)</f>
        <v>251.16833678294364</v>
      </c>
      <c r="E31" s="187">
        <f>D31*(1+$B$8)</f>
        <v>269.54386929078981</v>
      </c>
      <c r="F31" s="187">
        <f>E31*(1+$B$8)</f>
        <v>289.263759926224</v>
      </c>
      <c r="G31" s="187">
        <f>F31*(1+$B$8)</f>
        <v>310.42636223488847</v>
      </c>
      <c r="H31" s="188">
        <f>IF(B12="No",G31*(1+B9),G31*(1+B13))</f>
        <v>323.87713651052621</v>
      </c>
    </row>
    <row r="32" spans="1:9" s="4" customFormat="1" ht="13">
      <c r="A32" s="9" t="s">
        <v>160</v>
      </c>
      <c r="B32" s="189">
        <f>B33/G26</f>
        <v>0.79773118897185524</v>
      </c>
      <c r="C32" s="189">
        <f>IF($B$14="Yes",B32-($B$32-$H$32)/5,$B$32)</f>
        <v>0.79773118897185524</v>
      </c>
      <c r="D32" s="189">
        <f>IF($B$14="Yes",C32-($B$32-$H$32)/5,$B$32)</f>
        <v>0.79773118897185524</v>
      </c>
      <c r="E32" s="189">
        <f>IF($B$14="Yes",D32-($B$32-$H$32)/5,$B$32)</f>
        <v>0.79773118897185524</v>
      </c>
      <c r="F32" s="189">
        <f>IF($B$14="Yes",E32-($B$32-$H$32)/5,$B$32)</f>
        <v>0.79773118897185524</v>
      </c>
      <c r="G32" s="189">
        <f>IF($B$14="Yes",F32-($B$32-$H$32)/5,$B$32)</f>
        <v>0.79773118897185524</v>
      </c>
      <c r="H32" s="190">
        <f>IF($B$14="Yes",IF(B12="No",1-B9/'Buyback &amp; Dividend computation'!F24,1-B13/'Buyback &amp; Dividend computation'!F24),$B$32)</f>
        <v>0.79773118897185524</v>
      </c>
      <c r="I32" s="57"/>
    </row>
    <row r="33" spans="1:14" s="4" customFormat="1" ht="16">
      <c r="A33" s="3" t="s">
        <v>179</v>
      </c>
      <c r="B33" s="188">
        <f>IF(B5="C",G4,IF(B5="A10",G5,IF(B5="A5",G6,IF(B5="P10",G7,IF(B5="P5",G8,IF(B5="NORM",G9,G10))))))</f>
        <v>166.81500560171787</v>
      </c>
      <c r="C33" s="191">
        <f>C31*C32</f>
        <v>186.70540606381431</v>
      </c>
      <c r="D33" s="191">
        <f>D31*D32</f>
        <v>200.364815933941</v>
      </c>
      <c r="E33" s="191">
        <f>E31*E32</f>
        <v>215.02355132941611</v>
      </c>
      <c r="F33" s="191">
        <f>F31*F32</f>
        <v>230.75472313241596</v>
      </c>
      <c r="G33" s="191">
        <f>G31*G32</f>
        <v>247.63679103384541</v>
      </c>
      <c r="H33" s="188">
        <f>H32*H31</f>
        <v>258.36689318934197</v>
      </c>
      <c r="J33" s="8"/>
      <c r="K33" s="8"/>
      <c r="L33" s="8"/>
      <c r="M33" s="8"/>
    </row>
    <row r="34" spans="1:14" s="8" customFormat="1" ht="15" customHeight="1">
      <c r="A34" s="3" t="s">
        <v>1</v>
      </c>
      <c r="B34" s="192"/>
      <c r="C34" s="191"/>
      <c r="D34" s="191"/>
      <c r="E34" s="191"/>
      <c r="F34" s="191"/>
      <c r="G34" s="191">
        <f>IF(B12="No",H33/(B9+B11-B9),H33/(B9+B11-B13))</f>
        <v>5167.33786378684</v>
      </c>
      <c r="H34" s="193"/>
      <c r="I34" s="4"/>
      <c r="J34" s="4"/>
      <c r="K34" s="4"/>
      <c r="L34" s="4"/>
      <c r="M34" s="4"/>
      <c r="N34" s="4"/>
    </row>
    <row r="35" spans="1:14" s="4" customFormat="1" ht="13">
      <c r="A35" s="196" t="s">
        <v>2</v>
      </c>
      <c r="B35" s="194"/>
      <c r="C35" s="195">
        <f>C33/(1+$B$9+$B$11)^C30</f>
        <v>170.76766032562381</v>
      </c>
      <c r="D35" s="195">
        <f>D33/(1+$B$9+$B$11)^D30</f>
        <v>167.61733520652666</v>
      </c>
      <c r="E35" s="191">
        <f>E33/(1+$B$9+$B$11)^E30</f>
        <v>164.52512734650003</v>
      </c>
      <c r="F35" s="191">
        <f>F33/(1+$B$9+$B$11)^F30</f>
        <v>161.4899645972182</v>
      </c>
      <c r="G35" s="191">
        <f>(G33+G34)/(1+$B$9+$B$11)^G30</f>
        <v>3466.0921409678904</v>
      </c>
      <c r="H35" s="193"/>
    </row>
    <row r="36" spans="1:14" s="4" customFormat="1" ht="13">
      <c r="A36" s="3" t="s">
        <v>3</v>
      </c>
      <c r="B36" s="102"/>
      <c r="C36" s="197">
        <f>SUM(C35:G35)</f>
        <v>4130.4922284437589</v>
      </c>
      <c r="D36" s="105"/>
      <c r="E36" s="105"/>
      <c r="F36" s="105"/>
      <c r="G36" s="105"/>
      <c r="H36" s="104"/>
    </row>
    <row r="37" spans="1:14" s="4" customFormat="1" ht="13">
      <c r="A37" s="3" t="s">
        <v>98</v>
      </c>
      <c r="B37" s="102"/>
      <c r="C37" s="198">
        <f>C36/'Buyback &amp; Dividend computation'!C52</f>
        <v>19.75255442128832</v>
      </c>
    </row>
    <row r="38" spans="1:14" s="4" customFormat="1" thickBot="1">
      <c r="A38" s="196" t="s">
        <v>101</v>
      </c>
      <c r="B38" s="103"/>
      <c r="C38" s="199">
        <f>C36/AVERAGE('Buyback &amp; Dividend computation'!Q36:Q45)</f>
        <v>35.200332178280654</v>
      </c>
      <c r="L38" s="33"/>
    </row>
    <row r="39" spans="1:14" s="4" customFormat="1" ht="20" customHeight="1" thickBot="1">
      <c r="A39" s="205" t="s">
        <v>90</v>
      </c>
      <c r="B39" s="206"/>
      <c r="C39" s="206">
        <v>-4.2534788807143958E+27</v>
      </c>
      <c r="D39" s="206"/>
      <c r="E39" s="206"/>
      <c r="F39" s="207"/>
      <c r="G39" s="8"/>
      <c r="H39" s="8"/>
    </row>
    <row r="40" spans="1:14" s="4" customFormat="1" ht="17" thickBot="1">
      <c r="A40" s="2" t="s">
        <v>4</v>
      </c>
      <c r="C40" s="28">
        <v>4.5260133770693323E-2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8">
        <f>B31</f>
        <v>218.09</v>
      </c>
      <c r="C43" s="200">
        <f>C31</f>
        <v>234.04551388350126</v>
      </c>
      <c r="D43" s="200">
        <f>D31</f>
        <v>251.16833678294364</v>
      </c>
      <c r="E43" s="200">
        <f>E31</f>
        <v>269.54386929078981</v>
      </c>
      <c r="F43" s="200">
        <f>F31</f>
        <v>289.263759926224</v>
      </c>
      <c r="G43" s="200">
        <f>G31</f>
        <v>310.42636223488847</v>
      </c>
      <c r="H43" s="188">
        <f>IF(B12="No",G43*(1+B9),G43*(1+B13))</f>
        <v>323.87713651052621</v>
      </c>
      <c r="J43"/>
      <c r="K43"/>
      <c r="L43"/>
      <c r="M43"/>
      <c r="N43"/>
    </row>
    <row r="44" spans="1:14" s="4" customFormat="1">
      <c r="A44" s="9" t="s">
        <v>160</v>
      </c>
      <c r="B44" s="190">
        <f>B45/G26</f>
        <v>0.79773118897185524</v>
      </c>
      <c r="C44" s="190">
        <f>IF($B$14="Yes",B44-($B$44-$H$44)/5,$B$44)</f>
        <v>0.79773118897185524</v>
      </c>
      <c r="D44" s="190">
        <f>IF($B$14="Yes",C44-($B$44-$H$44)/5,$B$44)</f>
        <v>0.79773118897185524</v>
      </c>
      <c r="E44" s="190">
        <f>IF($B$14="Yes",D44-($B$44-$H$44)/5,$B$44)</f>
        <v>0.79773118897185524</v>
      </c>
      <c r="F44" s="190">
        <f>IF($B$14="Yes",E44-($B$44-$H$44)/5,$B$44)</f>
        <v>0.79773118897185524</v>
      </c>
      <c r="G44" s="190">
        <f>IF($B$14="Yes",F44-($B$44-$H$44)/5,$B$44)</f>
        <v>0.79773118897185524</v>
      </c>
      <c r="H44" s="190">
        <f>IF($B$14="Yes",IF(B12="No",1-B9/'Buyback &amp; Dividend computation'!F24,1-B13/'Buyback &amp; Dividend computation'!F24),$B$32)</f>
        <v>0.79773118897185524</v>
      </c>
      <c r="J44"/>
      <c r="K44"/>
      <c r="L44"/>
      <c r="M44"/>
      <c r="N44"/>
    </row>
    <row r="45" spans="1:14">
      <c r="A45" s="3" t="s">
        <v>179</v>
      </c>
      <c r="B45" s="188">
        <f>B33</f>
        <v>166.81500560171787</v>
      </c>
      <c r="C45" s="201">
        <f t="shared" ref="C45:H45" si="0">C43*C44</f>
        <v>186.70540606381431</v>
      </c>
      <c r="D45" s="201">
        <f t="shared" si="0"/>
        <v>200.364815933941</v>
      </c>
      <c r="E45" s="201">
        <f t="shared" si="0"/>
        <v>215.02355132941611</v>
      </c>
      <c r="F45" s="201">
        <f t="shared" si="0"/>
        <v>230.75472313241596</v>
      </c>
      <c r="G45" s="201">
        <f t="shared" si="0"/>
        <v>247.63679103384541</v>
      </c>
      <c r="H45" s="188">
        <f t="shared" si="0"/>
        <v>258.36689318934197</v>
      </c>
      <c r="I45" s="4"/>
    </row>
    <row r="46" spans="1:14">
      <c r="A46" s="3" t="s">
        <v>1</v>
      </c>
      <c r="B46" s="202"/>
      <c r="C46" s="201"/>
      <c r="D46" s="201"/>
      <c r="E46" s="201"/>
      <c r="F46" s="201"/>
      <c r="G46" s="201">
        <f>IF(B12="No",H45/(B9+C40-B9),H45/(B9+C40-B13))</f>
        <v>5708.4871754541455</v>
      </c>
      <c r="H46" s="203"/>
      <c r="I46" s="4"/>
    </row>
    <row r="47" spans="1:14" ht="15" thickBot="1">
      <c r="A47" s="3" t="s">
        <v>2</v>
      </c>
      <c r="B47" s="202"/>
      <c r="C47" s="201">
        <f>C45/(1+$B$9+$C$40)^C42</f>
        <v>171.51120543146772</v>
      </c>
      <c r="D47" s="201">
        <f>D45/(1+$B$9+$C$40)^D42</f>
        <v>169.08016931799332</v>
      </c>
      <c r="E47" s="201">
        <f>E45/(1+$B$9+$C$40)^E42</f>
        <v>166.68359122474064</v>
      </c>
      <c r="F47" s="201">
        <f>F45/(1+$B$9+$C$40)^F42</f>
        <v>164.32098273644064</v>
      </c>
      <c r="G47" s="201">
        <f>(G45+G46)/(1+$B$9+C40)^G42</f>
        <v>3896.204638069602</v>
      </c>
      <c r="H47" s="203"/>
      <c r="I47" s="4"/>
    </row>
    <row r="48" spans="1:14" ht="15" thickBot="1">
      <c r="A48" s="3" t="s">
        <v>3</v>
      </c>
      <c r="B48" s="204">
        <f>SUM(C47:G47)</f>
        <v>4567.800586780244</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topLeftCell="A43" workbookViewId="0">
      <selection activeCell="H86" sqref="H86"/>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I30</f>
        <v>1.3709726589378883E-2</v>
      </c>
      <c r="C2" s="11">
        <f t="shared" ref="C2:C14" si="1">J30</f>
        <v>1.2490273410621118E-2</v>
      </c>
      <c r="D2" s="45">
        <f t="shared" ref="D2:D14" si="2">K30</f>
        <v>2.6200000000000001E-2</v>
      </c>
      <c r="E2" s="48">
        <f>(D30+E30)/C30</f>
        <v>0.77425889317889307</v>
      </c>
      <c r="F2" s="48">
        <f t="shared" ref="F2:F14" si="3">C30/M30</f>
        <v>0.11924493554327809</v>
      </c>
      <c r="G2" s="48">
        <f t="shared" ref="G2:G15" si="4">C30/O30</f>
        <v>5.2722288568016501E-2</v>
      </c>
      <c r="H2"/>
      <c r="J2" s="32"/>
    </row>
    <row r="3" spans="1:12">
      <c r="A3" s="14">
        <v>2002</v>
      </c>
      <c r="B3" s="11">
        <f t="shared" si="0"/>
        <v>1.8140074106067151E-2</v>
      </c>
      <c r="C3" s="11">
        <f t="shared" si="1"/>
        <v>1.5759925893932849E-2</v>
      </c>
      <c r="D3" s="45">
        <f t="shared" si="2"/>
        <v>3.39E-2</v>
      </c>
      <c r="E3" s="48">
        <f t="shared" ref="E3:E13" si="5">(D31+E31)/C31</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6" t="s">
        <v>291</v>
      </c>
      <c r="K10" s="216"/>
      <c r="L10" s="216"/>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6"/>
      <c r="K11" s="216"/>
      <c r="L11" s="216"/>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6"/>
      <c r="K12" s="216"/>
      <c r="L12" s="216"/>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(D42+E42)/C42</f>
        <v>0.83997331300038114</v>
      </c>
      <c r="F14" s="48">
        <f t="shared" si="3"/>
        <v>0.15730842466677661</v>
      </c>
      <c r="G14" s="48">
        <f t="shared" si="4"/>
        <v>9.3946150195646533E-2</v>
      </c>
      <c r="H14"/>
    </row>
    <row r="15" spans="1:12">
      <c r="A15" s="10">
        <v>2014</v>
      </c>
      <c r="B15" s="35">
        <f t="shared" ref="B15:D16" si="7">I43</f>
        <v>1.9206906001644285E-2</v>
      </c>
      <c r="C15" s="35">
        <f t="shared" si="7"/>
        <v>3.0324472458207727E-2</v>
      </c>
      <c r="D15" s="37">
        <f t="shared" si="7"/>
        <v>4.9531378459852012E-2</v>
      </c>
      <c r="E15" s="48">
        <f t="shared" si="6"/>
        <v>0.87792833256705682</v>
      </c>
      <c r="F15" s="48">
        <f t="shared" ref="F15:F21" si="8">C43/M43</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C44/O44</f>
        <v>8.9146771002457562E-2</v>
      </c>
      <c r="H16"/>
    </row>
    <row r="17" spans="1:19">
      <c r="A17" s="10">
        <v>2016</v>
      </c>
      <c r="B17" s="35">
        <f t="shared" ref="B17:D17" si="10">I45</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I46</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I47</f>
        <v>2.1696551449029659E-2</v>
      </c>
      <c r="C19" s="35">
        <f t="shared" si="12"/>
        <v>3.8338951273510585E-2</v>
      </c>
      <c r="D19" s="37">
        <f t="shared" si="12"/>
        <v>6.003550272254024E-2</v>
      </c>
      <c r="E19" s="48">
        <f>(D47+E47)/C47</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(D48+E48)/C48</f>
        <v>0.9308436187810154</v>
      </c>
      <c r="F20" s="48">
        <f t="shared" si="8"/>
        <v>0.18456588619337264</v>
      </c>
      <c r="G20" s="48">
        <f t="shared" si="9"/>
        <v>0.11287774330690567</v>
      </c>
      <c r="H20"/>
      <c r="I20" s="32"/>
    </row>
    <row r="21" spans="1:19">
      <c r="A21" s="10">
        <v>2020</v>
      </c>
      <c r="B21" s="35">
        <f t="shared" ref="B21:D23" si="13">I49</f>
        <v>1.5175436027550072E-2</v>
      </c>
      <c r="C21" s="35">
        <f t="shared" si="13"/>
        <v>1.6416094481732233E-2</v>
      </c>
      <c r="D21" s="37">
        <f t="shared" si="13"/>
        <v>3.1591530509282303E-2</v>
      </c>
      <c r="E21" s="48">
        <f>(D49+E49)/C49</f>
        <v>0.84902690326273611</v>
      </c>
      <c r="F21" s="48">
        <f t="shared" si="8"/>
        <v>0.15282668124658283</v>
      </c>
      <c r="G21" s="48">
        <f t="shared" si="9"/>
        <v>0.10245357847126006</v>
      </c>
      <c r="H21"/>
      <c r="I21" s="32"/>
    </row>
    <row r="22" spans="1:19">
      <c r="A22" s="10">
        <v>2021</v>
      </c>
      <c r="B22" s="35">
        <f t="shared" si="13"/>
        <v>1.2725075427281386E-2</v>
      </c>
      <c r="C22" s="35">
        <f t="shared" si="13"/>
        <v>2.1948394731210318E-2</v>
      </c>
      <c r="D22" s="37">
        <f t="shared" si="13"/>
        <v>3.4673470158491704E-2</v>
      </c>
      <c r="E22" s="48">
        <f>(D50+E50)/C50</f>
        <v>0.80477233990747499</v>
      </c>
      <c r="F22" s="48">
        <f t="shared" ref="F22" si="14">C50/M50</f>
        <v>0.22139684319475592</v>
      </c>
      <c r="G22" s="48">
        <f t="shared" ref="G22" si="15">C50/O50</f>
        <v>0.13589438157633513</v>
      </c>
      <c r="H22"/>
      <c r="I22" s="32"/>
    </row>
    <row r="23" spans="1:19" ht="15" thickBot="1">
      <c r="A23" s="10">
        <v>2022</v>
      </c>
      <c r="B23" s="35">
        <f t="shared" si="13"/>
        <v>1.744497981508009E-2</v>
      </c>
      <c r="C23" s="35">
        <f t="shared" si="13"/>
        <v>2.8511524938142987E-2</v>
      </c>
      <c r="D23" s="37">
        <f t="shared" si="13"/>
        <v>4.5956504753223076E-2</v>
      </c>
      <c r="E23" s="48">
        <f>(D51+E51)/C51</f>
        <v>0.88735227558461149</v>
      </c>
      <c r="F23" s="48">
        <f t="shared" ref="F23" si="16">C51/M51</f>
        <v>0.19726791135096525</v>
      </c>
      <c r="G23" s="48">
        <f t="shared" ref="G23" si="17">C51/O51</f>
        <v>0.11597254218111194</v>
      </c>
      <c r="H23"/>
      <c r="I23" s="32"/>
    </row>
    <row r="24" spans="1:19" ht="15" thickBot="1">
      <c r="A24" s="13" t="s">
        <v>27</v>
      </c>
      <c r="B24" s="12"/>
      <c r="C24" s="12"/>
      <c r="D24" s="46">
        <f>AVERAGE(D14:D23)</f>
        <v>4.5707435163505325E-2</v>
      </c>
      <c r="E24" s="46">
        <f>AVERAGE(E14:E23)</f>
        <v>0.91515568046887164</v>
      </c>
      <c r="F24" s="46">
        <f>AVERAGE(F14:F23)</f>
        <v>0.17041554132171266</v>
      </c>
      <c r="G24" s="46">
        <f>AVERAGE(G14:G23)</f>
        <v>0.10588155692984405</v>
      </c>
      <c r="H24" t="s">
        <v>290</v>
      </c>
    </row>
    <row r="25" spans="1:19" ht="15" thickBot="1">
      <c r="A25" s="15" t="s">
        <v>29</v>
      </c>
      <c r="B25" s="12"/>
      <c r="C25" s="12"/>
      <c r="D25" s="47">
        <f>AVERAGE(D19:D23)</f>
        <v>4.3508657152141431E-2</v>
      </c>
      <c r="E25" s="47">
        <f>AVERAGE(E19:E23)</f>
        <v>0.89141434364802374</v>
      </c>
      <c r="F25" s="47">
        <f>AVERAGE(F19:F23)</f>
        <v>0.18818092672109604</v>
      </c>
      <c r="G25" s="47">
        <f>AVERAGE(G19:G23)</f>
        <v>0.11648530146139027</v>
      </c>
      <c r="H25" t="s">
        <v>290</v>
      </c>
    </row>
    <row r="26" spans="1:19" ht="15" thickBot="1"/>
    <row r="27" spans="1:19" ht="15" thickBot="1">
      <c r="A27" s="32" t="s">
        <v>37</v>
      </c>
      <c r="D27" s="81">
        <v>4288.05</v>
      </c>
      <c r="E27" s="32" t="s">
        <v>193</v>
      </c>
      <c r="J27" s="40" t="s">
        <v>43</v>
      </c>
      <c r="M27" s="10" t="s">
        <v>44</v>
      </c>
      <c r="N27" s="41">
        <v>43738</v>
      </c>
    </row>
    <row r="29" spans="1:19" s="98" customFormat="1" ht="45">
      <c r="A29" s="97" t="s">
        <v>8</v>
      </c>
      <c r="B29" s="97" t="s">
        <v>14</v>
      </c>
      <c r="C29" s="97" t="s">
        <v>45</v>
      </c>
      <c r="D29" s="97" t="s">
        <v>11</v>
      </c>
      <c r="E29" s="97" t="s">
        <v>12</v>
      </c>
      <c r="F29" s="97" t="s">
        <v>129</v>
      </c>
      <c r="G29" s="97" t="s">
        <v>13</v>
      </c>
      <c r="H29" s="97" t="s">
        <v>157</v>
      </c>
      <c r="I29" s="97" t="s">
        <v>9</v>
      </c>
      <c r="J29" s="97" t="s">
        <v>10</v>
      </c>
      <c r="K29" s="97" t="s">
        <v>130</v>
      </c>
      <c r="L29" s="97" t="s">
        <v>131</v>
      </c>
      <c r="M29" s="97" t="s">
        <v>47</v>
      </c>
      <c r="N29" s="97" t="s">
        <v>49</v>
      </c>
      <c r="O29" s="97" t="s">
        <v>48</v>
      </c>
      <c r="P29" s="98" t="s">
        <v>95</v>
      </c>
      <c r="Q29" s="98" t="s">
        <v>96</v>
      </c>
    </row>
    <row r="30" spans="1:19" ht="16">
      <c r="A30" s="14">
        <v>2001</v>
      </c>
      <c r="B30" s="16">
        <v>1148.0899999999999</v>
      </c>
      <c r="C30" s="42">
        <v>38.85</v>
      </c>
      <c r="D30" s="17">
        <f t="shared" ref="D30:D36" si="18">I30*B30</f>
        <v>15.74</v>
      </c>
      <c r="E30" s="17">
        <f t="shared" ref="E30:E36" si="19">J30*B30</f>
        <v>14.339957999999999</v>
      </c>
      <c r="F30" s="17"/>
      <c r="G30" s="17">
        <f t="shared" ref="G30:G41" si="20">D30+E30</f>
        <v>30.079957999999998</v>
      </c>
      <c r="H30" s="17"/>
      <c r="I30" s="11">
        <v>1.3709726589378883E-2</v>
      </c>
      <c r="J30" s="11">
        <v>1.2490273410621118E-2</v>
      </c>
      <c r="K30" s="11">
        <v>2.6200000000000001E-2</v>
      </c>
      <c r="L30" s="11"/>
      <c r="M30" s="14">
        <v>325.8</v>
      </c>
      <c r="N30" s="48">
        <f>C30/M30</f>
        <v>0.11924493554327809</v>
      </c>
      <c r="O30" s="14">
        <v>736.88</v>
      </c>
      <c r="P30" s="142">
        <v>1.6E-2</v>
      </c>
      <c r="Q30" s="64">
        <f>C30*(1+P31)*(1+P32)*(1+P33)*(1+P34)*(1+P35)*(1+P36)*(1+P37)*(1+P38)*(1+P39)*(1+P40)*(1+P41)*(1+P42)*(1+P43)*(1+P44)*(1+P45)*(1+P46)*(1+P47)*(1+P48)*(1+P49)*(1+P50)*(1+P51)</f>
        <v>65.753535755025396</v>
      </c>
      <c r="S30"/>
    </row>
    <row r="31" spans="1:19" ht="16">
      <c r="A31" s="14">
        <v>2002</v>
      </c>
      <c r="B31" s="16">
        <v>879.82</v>
      </c>
      <c r="C31" s="43">
        <v>46.04</v>
      </c>
      <c r="D31" s="17">
        <f t="shared" si="18"/>
        <v>15.96</v>
      </c>
      <c r="E31" s="17">
        <f t="shared" si="19"/>
        <v>13.865898</v>
      </c>
      <c r="F31" s="17"/>
      <c r="G31" s="17">
        <f t="shared" si="20"/>
        <v>29.825898000000002</v>
      </c>
      <c r="H31" s="17"/>
      <c r="I31" s="11">
        <v>1.8140074106067151E-2</v>
      </c>
      <c r="J31" s="11">
        <v>1.5759925893932849E-2</v>
      </c>
      <c r="K31" s="11">
        <v>3.39E-2</v>
      </c>
      <c r="L31" s="11"/>
      <c r="M31" s="14">
        <v>338.37</v>
      </c>
      <c r="N31" s="48">
        <f t="shared" ref="N31:N52" si="21">C31/M31</f>
        <v>0.13606407187398409</v>
      </c>
      <c r="O31" s="14">
        <v>674.59</v>
      </c>
      <c r="P31" s="142">
        <v>2.4799999999999999E-2</v>
      </c>
      <c r="Q31" s="64">
        <f>C31*(1+P32)*(1+P33)*(1+P34)*(1+P35)*(1+P36)*(1+P37)*(1+P38)*(1+P39)*(1+P40)*(1+P41)*(1+P42)*(1+P43)*(1+P44)*(1+P45)*(1+P46)*(1+P47)*(1+P48)*(1+P49)*(1+P50)*(1+P51)</f>
        <v>76.036879623719656</v>
      </c>
      <c r="S31"/>
    </row>
    <row r="32" spans="1:19" ht="16">
      <c r="A32" s="14">
        <v>2003</v>
      </c>
      <c r="B32" s="16">
        <v>1111.9100000000001</v>
      </c>
      <c r="C32" s="43">
        <v>54.69</v>
      </c>
      <c r="D32" s="17">
        <f t="shared" si="18"/>
        <v>17.88</v>
      </c>
      <c r="E32" s="17">
        <f t="shared" si="19"/>
        <v>13.698244000000004</v>
      </c>
      <c r="F32" s="17"/>
      <c r="G32" s="17">
        <f t="shared" si="20"/>
        <v>31.578244000000005</v>
      </c>
      <c r="H32" s="17"/>
      <c r="I32" s="11">
        <v>1.6080438164959392E-2</v>
      </c>
      <c r="J32" s="11">
        <v>1.2319561835040609E-2</v>
      </c>
      <c r="K32" s="11">
        <v>2.8400000000000002E-2</v>
      </c>
      <c r="L32" s="11"/>
      <c r="M32" s="14">
        <v>325.72000000000003</v>
      </c>
      <c r="N32" s="48">
        <f t="shared" si="21"/>
        <v>0.1679049490359818</v>
      </c>
      <c r="O32" s="14">
        <v>710.81</v>
      </c>
      <c r="P32" s="142">
        <v>2.0400000000000001E-2</v>
      </c>
      <c r="Q32" s="64">
        <f>C32*(1+P33)*(1+P34)*(1+P35)*(1+P36)*(1+P37)*(1+P38)*(1+P39)*(1+P40)*(1+P41)*(1+P42)*(1+P43)*(1+P44)*(1+P45)*(1+P46)*(1+P47)*(1+P48)*(1+P49)*(1+P50)*(1+P51)</f>
        <v>88.516950700523111</v>
      </c>
      <c r="S32"/>
    </row>
    <row r="33" spans="1:21" ht="16">
      <c r="A33" s="14">
        <v>2004</v>
      </c>
      <c r="B33" s="16">
        <v>1211.92</v>
      </c>
      <c r="C33" s="43">
        <v>67.680000000000007</v>
      </c>
      <c r="D33" s="17">
        <f t="shared" si="18"/>
        <v>19.010000000000002</v>
      </c>
      <c r="E33" s="17">
        <f t="shared" si="19"/>
        <v>21.589320000000001</v>
      </c>
      <c r="F33" s="17"/>
      <c r="G33" s="17">
        <f t="shared" si="20"/>
        <v>40.599320000000006</v>
      </c>
      <c r="H33" s="17"/>
      <c r="I33" s="11">
        <v>1.568585385173939E-2</v>
      </c>
      <c r="J33" s="11">
        <v>1.7814146148260612E-2</v>
      </c>
      <c r="K33" s="11">
        <v>3.3500000000000002E-2</v>
      </c>
      <c r="L33" s="11"/>
      <c r="M33" s="14">
        <v>367.17</v>
      </c>
      <c r="N33" s="48">
        <f t="shared" si="21"/>
        <v>0.18432878503145683</v>
      </c>
      <c r="O33" s="14">
        <v>788.17</v>
      </c>
      <c r="P33" s="142">
        <v>3.3399999999999999E-2</v>
      </c>
      <c r="Q33" s="64">
        <f>C33*(1+P34)*(1+P35)*(1+P36)*(1+P37)*(1+P38)*(1+P39)*(1+P40)*(1+P41)*(1+P42)*(1+P43)*(1+P44)*(1+P45)*(1+P46)*(1+P47)*(1+P48)*(1+P49)*(1+P50)*(1+P51)</f>
        <v>106.00111024655293</v>
      </c>
      <c r="S33"/>
    </row>
    <row r="34" spans="1:21" ht="16">
      <c r="A34" s="14">
        <v>2005</v>
      </c>
      <c r="B34" s="16">
        <v>1248.29</v>
      </c>
      <c r="C34" s="43">
        <v>76.45</v>
      </c>
      <c r="D34" s="17">
        <f t="shared" si="18"/>
        <v>22.344390999999998</v>
      </c>
      <c r="E34" s="17">
        <f t="shared" si="19"/>
        <v>38.821818999999998</v>
      </c>
      <c r="F34" s="17"/>
      <c r="G34" s="17">
        <f t="shared" si="20"/>
        <v>61.166209999999992</v>
      </c>
      <c r="H34" s="17"/>
      <c r="I34" s="11">
        <v>1.7899999999999999E-2</v>
      </c>
      <c r="J34" s="11">
        <v>3.1099999999999999E-2</v>
      </c>
      <c r="K34" s="11">
        <v>4.9000000000000002E-2</v>
      </c>
      <c r="L34" s="11"/>
      <c r="M34" s="14">
        <v>414.75</v>
      </c>
      <c r="N34" s="48">
        <f t="shared" si="21"/>
        <v>0.18432790837854129</v>
      </c>
      <c r="O34" s="14">
        <v>874.32</v>
      </c>
      <c r="P34" s="142">
        <v>3.3399999999999999E-2</v>
      </c>
      <c r="Q34" s="64">
        <f>C34*(1+P35)*(1+P36)*(1+P37)*(1+P38)*(1+P39)*(1+P40)*(1+P41)*(1+P42)*(1+P43)*(1+P44)*(1+P45)*(1+P46)*(1+P47)*(1+P48)*(1+P49)*(1+P50)*(1+P51)</f>
        <v>115.86682234109141</v>
      </c>
      <c r="S34"/>
    </row>
    <row r="35" spans="1:21" ht="16">
      <c r="A35" s="14">
        <v>2006</v>
      </c>
      <c r="B35" s="16">
        <v>1418.3</v>
      </c>
      <c r="C35" s="43">
        <v>87.72</v>
      </c>
      <c r="D35" s="17">
        <f t="shared" si="18"/>
        <v>25.042259800455653</v>
      </c>
      <c r="E35" s="17">
        <f t="shared" si="19"/>
        <v>48.115679864875482</v>
      </c>
      <c r="F35" s="17"/>
      <c r="G35" s="17">
        <f t="shared" si="20"/>
        <v>73.157939665331128</v>
      </c>
      <c r="H35" s="17"/>
      <c r="I35" s="11">
        <v>1.765653232775552E-2</v>
      </c>
      <c r="J35" s="11">
        <v>3.3924895906984054E-2</v>
      </c>
      <c r="K35" s="11">
        <v>5.16E-2</v>
      </c>
      <c r="L35" s="11"/>
      <c r="M35" s="14">
        <v>453.06</v>
      </c>
      <c r="N35" s="48">
        <f t="shared" si="21"/>
        <v>0.19361673950470137</v>
      </c>
      <c r="O35" s="14">
        <v>952.51</v>
      </c>
      <c r="P35" s="142">
        <v>2.52E-2</v>
      </c>
      <c r="Q35" s="64">
        <f>C35*(1+P36)*(1+P37)*(1+P38)*(1+P39)*(1+P40)*(1+P41)*(1+P42)*(1+P43)*(1+P44)*(1+P45)*(1+P46)*(1+P46)*(1+P47)*(1+P48)*(1+P49)*(1+P50)*(1+P51)</f>
        <v>132.41583042957856</v>
      </c>
      <c r="S35"/>
    </row>
    <row r="36" spans="1:21" ht="16">
      <c r="A36" s="14">
        <v>2007</v>
      </c>
      <c r="B36" s="20">
        <v>1468.36</v>
      </c>
      <c r="C36" s="43">
        <v>82.54</v>
      </c>
      <c r="D36" s="17">
        <f t="shared" si="18"/>
        <v>28.138241560460056</v>
      </c>
      <c r="E36" s="17">
        <f t="shared" si="19"/>
        <v>67.224140752253646</v>
      </c>
      <c r="F36" s="17"/>
      <c r="G36" s="17">
        <f t="shared" si="20"/>
        <v>95.362382312713706</v>
      </c>
      <c r="H36" s="17"/>
      <c r="I36" s="11">
        <v>1.9163040099471559E-2</v>
      </c>
      <c r="J36" s="11">
        <v>4.5781784271059993E-2</v>
      </c>
      <c r="K36" s="11">
        <f>G36/B36</f>
        <v>6.4944824370531548E-2</v>
      </c>
      <c r="L36" s="11"/>
      <c r="M36" s="14">
        <v>504.39</v>
      </c>
      <c r="N36" s="48">
        <f t="shared" si="21"/>
        <v>0.1636432125934297</v>
      </c>
      <c r="O36" s="14">
        <v>1025.08</v>
      </c>
      <c r="P36" s="142">
        <v>4.1099999999999998E-2</v>
      </c>
      <c r="Q36" s="64">
        <f>C36*(1+P37)*(1+P38)*(1+P39)*(1+P40)*(1+P41)*(1+P42)*(1+P43)*(1+P44)*(1+P45)*(1+P46)*(1+P47)*(1+P48)*(1+P49)*(1+P50)*(1+P51)</f>
        <v>117.20469994169764</v>
      </c>
      <c r="S36"/>
    </row>
    <row r="37" spans="1:21" ht="16">
      <c r="A37" s="14">
        <v>2008</v>
      </c>
      <c r="B37" s="16">
        <v>903.25</v>
      </c>
      <c r="C37" s="42">
        <v>49.51</v>
      </c>
      <c r="D37" s="17">
        <f>F69*E69</f>
        <v>28.446853349465105</v>
      </c>
      <c r="E37" s="17">
        <f>G69*E69</f>
        <v>39.070278909831892</v>
      </c>
      <c r="F37" s="17"/>
      <c r="G37" s="17">
        <f t="shared" si="20"/>
        <v>67.517132259297</v>
      </c>
      <c r="H37" s="17"/>
      <c r="I37" s="11">
        <f t="shared" ref="I37:I42" si="22">D37/B37</f>
        <v>3.1493886907794193E-2</v>
      </c>
      <c r="J37" s="11">
        <f t="shared" ref="J37:J42" si="23">E37/B37</f>
        <v>4.3255221599592462E-2</v>
      </c>
      <c r="K37" s="11">
        <f t="shared" ref="K37:K42" si="24">I37+J37</f>
        <v>7.4749108507386655E-2</v>
      </c>
      <c r="L37" s="11"/>
      <c r="M37" s="14">
        <v>529.59</v>
      </c>
      <c r="N37" s="48">
        <f t="shared" si="21"/>
        <v>9.3487414792575385E-2</v>
      </c>
      <c r="O37" s="14">
        <v>1042.46</v>
      </c>
      <c r="P37" s="142">
        <v>-2.0000000000000001E-4</v>
      </c>
      <c r="Q37" s="64">
        <f>C37*(1+P38)*(1+P39)*(1+P40)*(1+P41)*(1+P42)*(1+P43)*(1+P44)*(1+P45)*(1+P46)*(1+P47)*(1+P48)*(1+P49)*(1+P50)*(1+P51)</f>
        <v>70.317003721963786</v>
      </c>
      <c r="S37"/>
    </row>
    <row r="38" spans="1:21" ht="16">
      <c r="A38" s="14">
        <v>2009</v>
      </c>
      <c r="B38" s="16">
        <v>1115</v>
      </c>
      <c r="C38" s="43">
        <v>56.86</v>
      </c>
      <c r="D38" s="17">
        <f>F68*E68</f>
        <v>21.968689564867041</v>
      </c>
      <c r="E38" s="17">
        <f>G68*E68</f>
        <v>15.459281829170026</v>
      </c>
      <c r="F38" s="17"/>
      <c r="G38" s="17">
        <f t="shared" si="20"/>
        <v>37.427971394037066</v>
      </c>
      <c r="H38" s="17"/>
      <c r="I38" s="11">
        <f t="shared" si="22"/>
        <v>1.9702860596293312E-2</v>
      </c>
      <c r="J38" s="11">
        <f t="shared" si="23"/>
        <v>1.3864826752618856E-2</v>
      </c>
      <c r="K38" s="11">
        <f t="shared" si="24"/>
        <v>3.3567687348912169E-2</v>
      </c>
      <c r="L38" s="11"/>
      <c r="M38" s="14">
        <v>451.37</v>
      </c>
      <c r="N38" s="48">
        <f t="shared" si="21"/>
        <v>0.12597204067616369</v>
      </c>
      <c r="O38" s="14">
        <v>908.4</v>
      </c>
      <c r="P38" s="142">
        <v>2.81E-2</v>
      </c>
      <c r="Q38" s="64">
        <f>C38*(1+P39)*(1+P40)*(1+P41)*(1+P42)*(1+P43)*(1+P44)*(1+P45)*(1+P46)*(1+P47)*(1+P48)*(1+P49)*(1+P50)*(1+P51)</f>
        <v>78.54868640860299</v>
      </c>
      <c r="S38"/>
    </row>
    <row r="39" spans="1:21" ht="16">
      <c r="A39" s="14">
        <v>2010</v>
      </c>
      <c r="B39" s="18">
        <v>1257.6400000000001</v>
      </c>
      <c r="C39" s="43">
        <v>83.77</v>
      </c>
      <c r="D39" s="18">
        <f>F67*E67</f>
        <v>22.647422677165356</v>
      </c>
      <c r="E39" s="18">
        <f>G67*E67</f>
        <v>32.879088783902013</v>
      </c>
      <c r="F39" s="18"/>
      <c r="G39" s="17">
        <f t="shared" si="20"/>
        <v>55.526511461067372</v>
      </c>
      <c r="H39" s="17"/>
      <c r="I39" s="11">
        <f t="shared" si="22"/>
        <v>1.8007874015748031E-2</v>
      </c>
      <c r="J39" s="11">
        <f t="shared" si="23"/>
        <v>2.6143482064741905E-2</v>
      </c>
      <c r="K39" s="11">
        <f t="shared" si="24"/>
        <v>4.4151356080489937E-2</v>
      </c>
      <c r="L39" s="11"/>
      <c r="M39" s="14">
        <v>513.58000000000004</v>
      </c>
      <c r="N39" s="48">
        <f t="shared" si="21"/>
        <v>0.16310993418746833</v>
      </c>
      <c r="O39" s="14">
        <v>962.71</v>
      </c>
      <c r="P39" s="142">
        <v>1.44E-2</v>
      </c>
      <c r="Q39" s="64">
        <f>C39*(1+P40)*(1+P41)*(1+P42)*(1+P43)*(1+P44)*(1+P45)*(1+P46)*(1+P47)*(1+P48)*(1+P49)*(1+P50)*(1+P51)</f>
        <v>114.08048166287054</v>
      </c>
      <c r="S39"/>
    </row>
    <row r="40" spans="1:21" ht="16">
      <c r="A40" s="14">
        <v>2011</v>
      </c>
      <c r="B40" s="18">
        <v>1257.5999999999999</v>
      </c>
      <c r="C40" s="42">
        <v>96.44</v>
      </c>
      <c r="D40" s="18">
        <f>F66*E66</f>
        <v>26.532764163372857</v>
      </c>
      <c r="E40" s="18">
        <f>G66*E66</f>
        <v>44.74559578392622</v>
      </c>
      <c r="F40" s="18"/>
      <c r="G40" s="18">
        <f t="shared" si="20"/>
        <v>71.27835994729908</v>
      </c>
      <c r="H40" s="18"/>
      <c r="I40" s="11">
        <f t="shared" si="22"/>
        <v>2.1097935880544576E-2</v>
      </c>
      <c r="J40" s="11">
        <f t="shared" si="23"/>
        <v>3.5580149319279761E-2</v>
      </c>
      <c r="K40" s="11">
        <f t="shared" si="24"/>
        <v>5.6678085199824341E-2</v>
      </c>
      <c r="L40" s="11"/>
      <c r="M40" s="14">
        <v>579.14</v>
      </c>
      <c r="N40" s="48">
        <f t="shared" si="21"/>
        <v>0.1665227751493594</v>
      </c>
      <c r="O40" s="14">
        <v>1052.83</v>
      </c>
      <c r="P40" s="142">
        <v>3.0599999999999999E-2</v>
      </c>
      <c r="Q40" s="64">
        <f>C40*(1+P41)*(1+P42)*(1+P43)*(1+P44)*(1+P45)*(1+P46)*(1+P47)*(1+P48)*(1+P49)*(1+P50)*(1+P51)</f>
        <v>127.43534361105084</v>
      </c>
      <c r="S40"/>
    </row>
    <row r="41" spans="1:21" ht="16">
      <c r="A41" s="14">
        <v>2012</v>
      </c>
      <c r="B41" s="20">
        <v>1426.19</v>
      </c>
      <c r="C41" s="43">
        <v>96.82</v>
      </c>
      <c r="D41" s="17">
        <v>31.25</v>
      </c>
      <c r="E41" s="17">
        <f>G65*E65</f>
        <v>44.649305674148479</v>
      </c>
      <c r="F41" s="17"/>
      <c r="G41" s="17">
        <f t="shared" si="20"/>
        <v>75.899305674148479</v>
      </c>
      <c r="H41" s="17"/>
      <c r="I41" s="38">
        <f t="shared" si="22"/>
        <v>2.1911526514700005E-2</v>
      </c>
      <c r="J41" s="38">
        <f t="shared" si="23"/>
        <v>3.1306702244545591E-2</v>
      </c>
      <c r="K41" s="38">
        <f t="shared" si="24"/>
        <v>5.3218228759245596E-2</v>
      </c>
      <c r="L41" s="38"/>
      <c r="M41" s="14">
        <v>613.14</v>
      </c>
      <c r="N41" s="48">
        <f t="shared" si="21"/>
        <v>0.1579084711485142</v>
      </c>
      <c r="O41" s="14">
        <v>1092.3699999999999</v>
      </c>
      <c r="P41" s="142">
        <v>1.7600000000000001E-2</v>
      </c>
      <c r="Q41" s="64">
        <f>C41*(1+P42)*(1+P43)*(1+P44)*(1+P45)*(1+P46)*(1+P47)*(1+P48)*(1+P49)*(1+P50)*(1+P51)</f>
        <v>125.72471870057885</v>
      </c>
      <c r="S41"/>
    </row>
    <row r="42" spans="1:21" ht="16">
      <c r="A42" s="14">
        <v>2013</v>
      </c>
      <c r="B42" s="20">
        <v>1848.36</v>
      </c>
      <c r="C42" s="43">
        <v>104.92</v>
      </c>
      <c r="D42" s="17">
        <v>34.9</v>
      </c>
      <c r="E42" s="17">
        <v>53.23</v>
      </c>
      <c r="F42" s="17"/>
      <c r="G42" s="17">
        <v>88.13</v>
      </c>
      <c r="H42" s="17"/>
      <c r="I42" s="38">
        <f t="shared" si="22"/>
        <v>1.888160315090134E-2</v>
      </c>
      <c r="J42" s="38">
        <f t="shared" si="23"/>
        <v>2.8798502456231469E-2</v>
      </c>
      <c r="K42" s="38">
        <f t="shared" si="24"/>
        <v>4.768010560713281E-2</v>
      </c>
      <c r="L42" s="38"/>
      <c r="M42" s="14">
        <v>666.97</v>
      </c>
      <c r="N42" s="48">
        <f t="shared" si="21"/>
        <v>0.15730842466677661</v>
      </c>
      <c r="O42" s="14">
        <v>1116.81</v>
      </c>
      <c r="P42" s="142">
        <v>1.5100000000000001E-2</v>
      </c>
      <c r="Q42" s="64">
        <f>C42*(1+P43)*(1+P44)*(1+P45)*(1+P46)*(1+P47)*(1+P48)*(1+P49)*(1+P50)*(1+P51)</f>
        <v>134.21623391828561</v>
      </c>
      <c r="S42"/>
    </row>
    <row r="43" spans="1:21" ht="16">
      <c r="A43" s="14">
        <v>2014</v>
      </c>
      <c r="B43" s="20">
        <v>2058.9</v>
      </c>
      <c r="C43" s="42">
        <v>116.16</v>
      </c>
      <c r="D43" s="17">
        <f>F63*E63</f>
        <v>39.545098766785422</v>
      </c>
      <c r="E43" s="17">
        <f>G63*E63</f>
        <v>62.435056344203893</v>
      </c>
      <c r="F43" s="17">
        <v>9.58</v>
      </c>
      <c r="G43" s="17">
        <v>101.98</v>
      </c>
      <c r="H43" s="18">
        <f>G43-F43</f>
        <v>92.4</v>
      </c>
      <c r="I43" s="38">
        <f t="shared" ref="I43:I52" si="25">D43/B43</f>
        <v>1.9206906001644285E-2</v>
      </c>
      <c r="J43" s="38">
        <f t="shared" ref="J43:J52" si="26">E43/B43</f>
        <v>3.0324472458207727E-2</v>
      </c>
      <c r="K43" s="38">
        <f t="shared" ref="K43:K52" si="27">I43+J43</f>
        <v>4.9531378459852012E-2</v>
      </c>
      <c r="L43" s="38">
        <f t="shared" ref="L43:L52" si="28">H43/B43</f>
        <v>4.4878333090485209E-2</v>
      </c>
      <c r="M43" s="14">
        <v>715.84</v>
      </c>
      <c r="N43" s="120">
        <f t="shared" si="21"/>
        <v>0.16227089852481</v>
      </c>
      <c r="O43" s="14">
        <v>1163.32</v>
      </c>
      <c r="P43" s="142">
        <v>6.6E-3</v>
      </c>
      <c r="Q43" s="64">
        <f>C43*(1+P44)*(1+P45)*(1+P46)*(1+P47)*(1+P48)*(1+P49)*(1+P50)*(1+P51)</f>
        <v>147.62042244355439</v>
      </c>
      <c r="R43" s="121"/>
      <c r="S43" s="64"/>
      <c r="U43"/>
    </row>
    <row r="44" spans="1:21">
      <c r="A44" s="14">
        <v>2015</v>
      </c>
      <c r="B44" s="17">
        <v>2043.94</v>
      </c>
      <c r="C44" s="17">
        <v>100.48</v>
      </c>
      <c r="D44" s="17">
        <v>43.41</v>
      </c>
      <c r="E44" s="17">
        <v>64.94</v>
      </c>
      <c r="F44" s="17">
        <v>9.43</v>
      </c>
      <c r="G44" s="17">
        <f t="shared" ref="G44:G53" si="29">D44+E44</f>
        <v>108.35</v>
      </c>
      <c r="H44" s="17">
        <f>G44-F44</f>
        <v>98.919999999999987</v>
      </c>
      <c r="I44" s="38">
        <f t="shared" si="25"/>
        <v>2.1238392516414375E-2</v>
      </c>
      <c r="J44" s="38">
        <f t="shared" si="26"/>
        <v>3.1771969822988931E-2</v>
      </c>
      <c r="K44" s="38">
        <f t="shared" si="27"/>
        <v>5.3010362339403302E-2</v>
      </c>
      <c r="L44" s="38">
        <f t="shared" si="28"/>
        <v>4.8396723974284954E-2</v>
      </c>
      <c r="M44" s="14">
        <v>726.96</v>
      </c>
      <c r="N44" s="120">
        <f t="shared" si="21"/>
        <v>0.13821943435677342</v>
      </c>
      <c r="O44" s="14">
        <v>1127.1300000000001</v>
      </c>
      <c r="P44" s="142">
        <v>6.6E-3</v>
      </c>
      <c r="Q44" s="64">
        <f>C44*(1+P45)*(1+P46)*(1+P47)*(1+P48)*(1+P49)*(1+P50)*(1+P51)</f>
        <v>126.85644620785477</v>
      </c>
      <c r="R44" s="121"/>
      <c r="S44" s="64"/>
      <c r="U44"/>
    </row>
    <row r="45" spans="1:21">
      <c r="A45" s="14">
        <v>2016</v>
      </c>
      <c r="B45" s="17">
        <v>2238.8200000000002</v>
      </c>
      <c r="C45" s="18">
        <v>106.26</v>
      </c>
      <c r="D45" s="18">
        <v>45.7</v>
      </c>
      <c r="E45" s="18">
        <v>62.32</v>
      </c>
      <c r="F45" s="18">
        <f>F52</f>
        <v>8.0351915343522631</v>
      </c>
      <c r="G45" s="18">
        <f t="shared" si="29"/>
        <v>108.02000000000001</v>
      </c>
      <c r="H45" s="18">
        <v>98.66</v>
      </c>
      <c r="I45" s="143">
        <f t="shared" si="25"/>
        <v>2.0412538748090511E-2</v>
      </c>
      <c r="J45" s="143">
        <f t="shared" si="26"/>
        <v>2.7836092227155374E-2</v>
      </c>
      <c r="K45" s="143">
        <f t="shared" si="27"/>
        <v>4.8248630975245885E-2</v>
      </c>
      <c r="L45" s="38">
        <f t="shared" si="28"/>
        <v>4.40678571747617E-2</v>
      </c>
      <c r="M45" s="144">
        <v>740.29</v>
      </c>
      <c r="N45" s="120">
        <f t="shared" ref="N45:N51" si="30">C45/M45</f>
        <v>0.14353834308176527</v>
      </c>
      <c r="O45" s="144">
        <v>1150.68</v>
      </c>
      <c r="P45" s="142">
        <v>2.0799999999999999E-2</v>
      </c>
      <c r="Q45" s="64">
        <f>C45*(1+P46)*(1+P47)*(1+P48)*(1+P49)*(1+P50)*(1+P51)</f>
        <v>131.42018208803321</v>
      </c>
      <c r="R45" s="121"/>
      <c r="S45" s="64"/>
      <c r="U45"/>
    </row>
    <row r="46" spans="1:21">
      <c r="A46" s="14">
        <v>2017</v>
      </c>
      <c r="B46" s="17">
        <v>2673.61</v>
      </c>
      <c r="C46" s="18">
        <v>124.51</v>
      </c>
      <c r="D46" s="18">
        <v>48.93</v>
      </c>
      <c r="E46" s="18">
        <v>60.85</v>
      </c>
      <c r="F46" s="18">
        <v>9.41</v>
      </c>
      <c r="G46" s="18">
        <f t="shared" si="29"/>
        <v>109.78</v>
      </c>
      <c r="H46" s="18">
        <v>100.62</v>
      </c>
      <c r="I46" s="143">
        <f t="shared" si="25"/>
        <v>1.830109851474224E-2</v>
      </c>
      <c r="J46" s="143">
        <f t="shared" si="26"/>
        <v>2.2759489977969862E-2</v>
      </c>
      <c r="K46" s="143">
        <f t="shared" si="27"/>
        <v>4.1060588492712102E-2</v>
      </c>
      <c r="L46" s="38">
        <f t="shared" si="28"/>
        <v>3.7634509146808999E-2</v>
      </c>
      <c r="M46" s="144">
        <v>768.99</v>
      </c>
      <c r="N46" s="120">
        <f t="shared" si="30"/>
        <v>0.16191367898152123</v>
      </c>
      <c r="O46" s="144">
        <v>1231.57</v>
      </c>
      <c r="P46" s="142">
        <v>2.1100000000000001E-2</v>
      </c>
      <c r="Q46" s="64">
        <f>C46*(1+P47)*(1+P48)*(1+P49)*(1+P50)*(1+P51)</f>
        <v>150.80932980201888</v>
      </c>
      <c r="R46" s="121"/>
      <c r="S46" s="64"/>
      <c r="U46"/>
    </row>
    <row r="47" spans="1:21">
      <c r="A47" s="14">
        <v>2018</v>
      </c>
      <c r="B47" s="17">
        <v>2506.85</v>
      </c>
      <c r="C47" s="18">
        <v>152.78</v>
      </c>
      <c r="D47" s="18">
        <v>54.39</v>
      </c>
      <c r="E47" s="18">
        <v>96.11</v>
      </c>
      <c r="F47" s="18">
        <v>8.81</v>
      </c>
      <c r="G47" s="18">
        <f t="shared" si="29"/>
        <v>150.5</v>
      </c>
      <c r="H47" s="18">
        <f t="shared" ref="H47:H53" si="31">G47-F47</f>
        <v>141.69</v>
      </c>
      <c r="I47" s="143">
        <f t="shared" si="25"/>
        <v>2.1696551449029659E-2</v>
      </c>
      <c r="J47" s="143">
        <f t="shared" si="26"/>
        <v>3.8338951273510585E-2</v>
      </c>
      <c r="K47" s="143">
        <f t="shared" si="27"/>
        <v>6.003550272254024E-2</v>
      </c>
      <c r="L47" s="38">
        <f t="shared" si="28"/>
        <v>5.652113209805134E-2</v>
      </c>
      <c r="M47" s="144">
        <v>826.52</v>
      </c>
      <c r="N47" s="120">
        <f t="shared" si="30"/>
        <v>0.18484731161980353</v>
      </c>
      <c r="O47" s="144">
        <v>1325.89</v>
      </c>
      <c r="P47" s="142">
        <v>2.5399999999999999E-2</v>
      </c>
      <c r="Q47" s="64">
        <f>C47*(1+P48)*(1+P49)*(1+P50)*(1+P51)</f>
        <v>180.46673842799797</v>
      </c>
      <c r="R47" s="121"/>
      <c r="S47" s="64"/>
      <c r="U47"/>
    </row>
    <row r="48" spans="1:21">
      <c r="A48" s="14">
        <v>2019</v>
      </c>
      <c r="B48" s="17">
        <v>3230.78</v>
      </c>
      <c r="C48" s="18">
        <v>157.18</v>
      </c>
      <c r="D48" s="18">
        <v>58.5</v>
      </c>
      <c r="E48" s="18">
        <v>87.81</v>
      </c>
      <c r="F48" s="18">
        <v>8.81</v>
      </c>
      <c r="G48" s="18">
        <f t="shared" si="29"/>
        <v>146.31</v>
      </c>
      <c r="H48" s="18">
        <f t="shared" si="31"/>
        <v>137.5</v>
      </c>
      <c r="I48" s="143">
        <f t="shared" ref="I48:I51" si="32">D48/B48</f>
        <v>1.810708250020119E-2</v>
      </c>
      <c r="J48" s="143">
        <f t="shared" ref="J48:J51" si="33">E48/B48</f>
        <v>2.7179195116968657E-2</v>
      </c>
      <c r="K48" s="143">
        <f t="shared" ref="K48:K51" si="34">I48+J48</f>
        <v>4.5286277617169843E-2</v>
      </c>
      <c r="L48" s="38">
        <f t="shared" ref="L48:L51" si="35">H48/B48</f>
        <v>4.2559381944917325E-2</v>
      </c>
      <c r="M48" s="144">
        <v>851.62</v>
      </c>
      <c r="N48" s="120">
        <f t="shared" si="30"/>
        <v>0.18456588619337264</v>
      </c>
      <c r="O48" s="144">
        <v>1392.48</v>
      </c>
      <c r="P48" s="142">
        <v>2.2599999999999999E-2</v>
      </c>
      <c r="Q48" s="64">
        <f>C48*(1+P49)*(1+P50)*(1+P51)</f>
        <v>181.56083013560198</v>
      </c>
      <c r="R48" s="121"/>
      <c r="S48" s="64"/>
      <c r="U48"/>
    </row>
    <row r="49" spans="1:22">
      <c r="A49" s="14">
        <v>2020</v>
      </c>
      <c r="B49" s="17">
        <v>3756.07</v>
      </c>
      <c r="C49" s="18">
        <v>139.76</v>
      </c>
      <c r="D49" s="18">
        <v>57</v>
      </c>
      <c r="E49" s="18">
        <v>61.66</v>
      </c>
      <c r="F49" s="18">
        <v>12.44</v>
      </c>
      <c r="G49" s="18">
        <f t="shared" si="29"/>
        <v>118.66</v>
      </c>
      <c r="H49" s="18">
        <f t="shared" si="31"/>
        <v>106.22</v>
      </c>
      <c r="I49" s="143">
        <f t="shared" si="32"/>
        <v>1.5175436027550072E-2</v>
      </c>
      <c r="J49" s="143">
        <f t="shared" si="33"/>
        <v>1.6416094481732233E-2</v>
      </c>
      <c r="K49" s="143">
        <f t="shared" si="34"/>
        <v>3.1591530509282303E-2</v>
      </c>
      <c r="L49" s="38">
        <f t="shared" si="35"/>
        <v>2.827955815519945E-2</v>
      </c>
      <c r="M49" s="144">
        <v>914.5</v>
      </c>
      <c r="N49" s="120">
        <f t="shared" si="30"/>
        <v>0.15282668124658283</v>
      </c>
      <c r="O49" s="144">
        <v>1364.13</v>
      </c>
      <c r="P49" s="142">
        <v>1.2999999999999999E-2</v>
      </c>
      <c r="Q49" s="64">
        <f>C49*(1+P50)*(1+P51)</f>
        <v>159.36697232799997</v>
      </c>
      <c r="R49" s="121"/>
      <c r="S49" s="64"/>
      <c r="U49"/>
    </row>
    <row r="50" spans="1:22">
      <c r="A50" s="14">
        <v>2021</v>
      </c>
      <c r="B50" s="17">
        <v>4766.18</v>
      </c>
      <c r="C50" s="18">
        <v>205.35</v>
      </c>
      <c r="D50" s="18">
        <v>60.65</v>
      </c>
      <c r="E50" s="18">
        <v>104.61</v>
      </c>
      <c r="F50" s="18">
        <v>8.68</v>
      </c>
      <c r="G50" s="18">
        <f t="shared" si="29"/>
        <v>165.26</v>
      </c>
      <c r="H50" s="18">
        <f t="shared" si="31"/>
        <v>156.57999999999998</v>
      </c>
      <c r="I50" s="143">
        <f t="shared" si="32"/>
        <v>1.2725075427281386E-2</v>
      </c>
      <c r="J50" s="143">
        <f t="shared" si="33"/>
        <v>2.1948394731210318E-2</v>
      </c>
      <c r="K50" s="143">
        <f t="shared" si="34"/>
        <v>3.4673470158491704E-2</v>
      </c>
      <c r="L50" s="38">
        <f t="shared" si="35"/>
        <v>3.2852305200391084E-2</v>
      </c>
      <c r="M50" s="144">
        <v>927.52</v>
      </c>
      <c r="N50" s="120">
        <f t="shared" si="30"/>
        <v>0.22139684319475592</v>
      </c>
      <c r="O50" s="144">
        <v>1511.1</v>
      </c>
      <c r="P50" s="142">
        <v>7.1499999999999994E-2</v>
      </c>
      <c r="Q50" s="64">
        <f>C50*(1+P51)</f>
        <v>218.53346999999999</v>
      </c>
      <c r="R50" s="121"/>
      <c r="S50" s="64"/>
      <c r="U50"/>
    </row>
    <row r="51" spans="1:22">
      <c r="A51" s="14">
        <v>2022</v>
      </c>
      <c r="B51" s="17">
        <v>3839.5</v>
      </c>
      <c r="C51" s="18">
        <v>198.85</v>
      </c>
      <c r="D51" s="18">
        <v>66.98</v>
      </c>
      <c r="E51" s="18">
        <v>109.47</v>
      </c>
      <c r="F51" s="18">
        <v>7.73</v>
      </c>
      <c r="G51" s="18">
        <f t="shared" si="29"/>
        <v>176.45</v>
      </c>
      <c r="H51" s="18">
        <f t="shared" si="31"/>
        <v>168.72</v>
      </c>
      <c r="I51" s="143">
        <f t="shared" si="32"/>
        <v>1.744497981508009E-2</v>
      </c>
      <c r="J51" s="143">
        <f t="shared" si="33"/>
        <v>2.8511524938142987E-2</v>
      </c>
      <c r="K51" s="143">
        <f t="shared" si="34"/>
        <v>4.5956504753223076E-2</v>
      </c>
      <c r="L51" s="38">
        <f t="shared" si="35"/>
        <v>4.3943221773668446E-2</v>
      </c>
      <c r="M51" s="144">
        <v>1008.02</v>
      </c>
      <c r="N51" s="120">
        <f t="shared" si="30"/>
        <v>0.19726791135096525</v>
      </c>
      <c r="O51" s="144">
        <v>1714.63</v>
      </c>
      <c r="P51" s="142">
        <v>6.4199999999999993E-2</v>
      </c>
      <c r="Q51" s="64">
        <f>C51</f>
        <v>198.85</v>
      </c>
      <c r="R51" s="121"/>
      <c r="S51" s="64"/>
      <c r="U51"/>
    </row>
    <row r="52" spans="1:22" s="107" customFormat="1">
      <c r="A52" s="145" t="s">
        <v>135</v>
      </c>
      <c r="B52" s="146">
        <f>D27</f>
        <v>4288.05</v>
      </c>
      <c r="C52" s="146">
        <f>B81*B73</f>
        <v>209.11180095229204</v>
      </c>
      <c r="D52" s="146">
        <f>C81*E55</f>
        <v>69.227897021753336</v>
      </c>
      <c r="E52" s="146">
        <f>D81*E55</f>
        <v>97.587108579964536</v>
      </c>
      <c r="F52" s="146">
        <f>F53</f>
        <v>8.0351915343522631</v>
      </c>
      <c r="G52" s="146">
        <f t="shared" si="29"/>
        <v>166.81500560171787</v>
      </c>
      <c r="H52" s="146">
        <f t="shared" si="31"/>
        <v>158.77981406736561</v>
      </c>
      <c r="I52" s="147">
        <f t="shared" si="25"/>
        <v>1.6144377286121506E-2</v>
      </c>
      <c r="J52" s="147">
        <f t="shared" si="26"/>
        <v>2.2757922267689166E-2</v>
      </c>
      <c r="K52" s="147">
        <f t="shared" si="27"/>
        <v>3.8902299553810672E-2</v>
      </c>
      <c r="L52" s="148">
        <f t="shared" si="28"/>
        <v>3.702844278106962E-2</v>
      </c>
      <c r="M52" s="149">
        <f>M49</f>
        <v>914.5</v>
      </c>
      <c r="N52" s="150">
        <f t="shared" si="21"/>
        <v>0.22866243953230403</v>
      </c>
      <c r="O52" s="149">
        <f>O49</f>
        <v>1364.13</v>
      </c>
      <c r="P52" s="151">
        <v>7.1099999999999997E-2</v>
      </c>
      <c r="Q52" s="152">
        <f>C52</f>
        <v>209.11180095229204</v>
      </c>
      <c r="R52" s="106" t="s">
        <v>43</v>
      </c>
      <c r="U52" s="108"/>
      <c r="V52" s="109"/>
    </row>
    <row r="53" spans="1:22" s="79" customFormat="1">
      <c r="A53" s="114" t="s">
        <v>150</v>
      </c>
      <c r="B53" s="115"/>
      <c r="C53" s="116">
        <f>B85*F85</f>
        <v>192.13463855247645</v>
      </c>
      <c r="D53" s="116">
        <f>C85*F85</f>
        <v>62.014764373485825</v>
      </c>
      <c r="E53" s="116">
        <f>D85*F85</f>
        <v>88.806775656959758</v>
      </c>
      <c r="F53" s="116">
        <f>E85*F85</f>
        <v>8.0351915343522631</v>
      </c>
      <c r="G53" s="117">
        <f t="shared" si="29"/>
        <v>150.82154003044559</v>
      </c>
      <c r="H53" s="117">
        <f t="shared" si="31"/>
        <v>142.78634849609332</v>
      </c>
      <c r="Q53" s="118" t="s">
        <v>136</v>
      </c>
      <c r="U53" s="119"/>
    </row>
    <row r="54" spans="1:22">
      <c r="B54" s="14" t="s">
        <v>228</v>
      </c>
      <c r="C54" s="14" t="s">
        <v>35</v>
      </c>
      <c r="D54" s="14" t="s">
        <v>33</v>
      </c>
      <c r="E54" s="14" t="s">
        <v>34</v>
      </c>
      <c r="F54" s="14" t="s">
        <v>16</v>
      </c>
      <c r="G54" s="14" t="s">
        <v>12</v>
      </c>
      <c r="M54" s="64"/>
    </row>
    <row r="55" spans="1:22">
      <c r="B55" s="14">
        <v>2023</v>
      </c>
      <c r="C55" s="14">
        <v>32133</v>
      </c>
      <c r="D55" s="14">
        <v>3859.5</v>
      </c>
      <c r="E55" s="14">
        <f t="shared" ref="E55:E62" si="36">D55/C55</f>
        <v>0.12011016711791617</v>
      </c>
      <c r="F55" s="14">
        <v>564.57000000000005</v>
      </c>
      <c r="G55" s="14">
        <v>922.68</v>
      </c>
      <c r="M55" s="64"/>
    </row>
    <row r="56" spans="1:22">
      <c r="B56" s="14">
        <v>2022</v>
      </c>
      <c r="C56" s="14">
        <v>40356</v>
      </c>
      <c r="D56" s="14">
        <v>4766.18</v>
      </c>
      <c r="E56" s="14">
        <f t="shared" si="36"/>
        <v>0.11810337991872337</v>
      </c>
      <c r="F56" s="14">
        <v>511.23</v>
      </c>
      <c r="G56" s="14">
        <v>881.71</v>
      </c>
      <c r="M56" s="64"/>
    </row>
    <row r="57" spans="1:22">
      <c r="B57" s="14">
        <v>2021</v>
      </c>
      <c r="C57" s="14">
        <v>31659</v>
      </c>
      <c r="D57" s="14">
        <v>3756.07</v>
      </c>
      <c r="E57" s="14">
        <f t="shared" si="36"/>
        <v>0.11864146056413659</v>
      </c>
      <c r="F57" s="17">
        <v>480.4</v>
      </c>
      <c r="G57" s="14">
        <v>519.69000000000005</v>
      </c>
      <c r="M57" s="64"/>
    </row>
    <row r="58" spans="1:22">
      <c r="B58" s="122">
        <v>2019</v>
      </c>
      <c r="C58" s="14">
        <v>26760</v>
      </c>
      <c r="D58" s="14">
        <v>3230</v>
      </c>
      <c r="E58" s="14">
        <f t="shared" si="36"/>
        <v>0.12070254110612855</v>
      </c>
      <c r="F58" s="139">
        <v>485.48</v>
      </c>
      <c r="G58" s="139">
        <v>728.74</v>
      </c>
      <c r="H58" s="77"/>
      <c r="M58" s="64"/>
    </row>
    <row r="59" spans="1:22">
      <c r="B59" s="122">
        <v>2018</v>
      </c>
      <c r="C59" s="14">
        <v>21033</v>
      </c>
      <c r="D59" s="14">
        <v>2506.85</v>
      </c>
      <c r="E59" s="14">
        <f t="shared" si="36"/>
        <v>0.11918651642656777</v>
      </c>
      <c r="F59" s="14">
        <v>456.31</v>
      </c>
      <c r="G59" s="14">
        <v>806.41</v>
      </c>
      <c r="M59" s="64"/>
    </row>
    <row r="60" spans="1:22">
      <c r="B60" s="122">
        <v>2017</v>
      </c>
      <c r="C60" s="14">
        <v>22821</v>
      </c>
      <c r="D60" s="14">
        <v>2673.61</v>
      </c>
      <c r="E60" s="14">
        <f t="shared" si="36"/>
        <v>0.11715568993470926</v>
      </c>
      <c r="F60" s="14">
        <v>419.77</v>
      </c>
      <c r="G60" s="14">
        <v>519.4</v>
      </c>
      <c r="H60" s="32"/>
      <c r="M60" s="64"/>
    </row>
    <row r="61" spans="1:22">
      <c r="B61" s="122">
        <v>2016</v>
      </c>
      <c r="C61" s="14">
        <v>19268</v>
      </c>
      <c r="D61" s="14">
        <v>2238.8200000000002</v>
      </c>
      <c r="E61" s="14">
        <f t="shared" si="36"/>
        <v>0.11619368901806104</v>
      </c>
      <c r="F61" s="17">
        <v>397.21</v>
      </c>
      <c r="G61" s="17">
        <v>536.38</v>
      </c>
      <c r="H61" s="32"/>
      <c r="M61" s="64"/>
    </row>
    <row r="62" spans="1:22">
      <c r="B62" s="122">
        <v>2015</v>
      </c>
      <c r="C62" s="14">
        <v>17956</v>
      </c>
      <c r="D62" s="14">
        <v>2043.94</v>
      </c>
      <c r="E62" s="14">
        <f t="shared" si="36"/>
        <v>0.11383047449320562</v>
      </c>
      <c r="F62" s="17">
        <v>382.46</v>
      </c>
      <c r="G62" s="17">
        <v>572.16</v>
      </c>
      <c r="M62" s="64"/>
    </row>
    <row r="63" spans="1:22">
      <c r="B63" s="122">
        <v>2014</v>
      </c>
      <c r="C63" s="14">
        <v>18245</v>
      </c>
      <c r="D63" s="14">
        <v>2058.9</v>
      </c>
      <c r="E63" s="14">
        <f t="shared" ref="E63:E71" si="37">D63/C63</f>
        <v>0.11284735543984654</v>
      </c>
      <c r="F63" s="17">
        <f>81.96+86.65+89.02+92.8</f>
        <v>350.43</v>
      </c>
      <c r="G63" s="17">
        <f>159.28+116.17+145.19+132.63</f>
        <v>553.27</v>
      </c>
    </row>
    <row r="64" spans="1:22">
      <c r="B64" s="14">
        <v>2013</v>
      </c>
      <c r="C64" s="14">
        <v>16495</v>
      </c>
      <c r="D64" s="14">
        <v>1848.36</v>
      </c>
      <c r="E64" s="14">
        <f t="shared" si="37"/>
        <v>0.11205577447711428</v>
      </c>
      <c r="F64" s="17">
        <f>70.86+76.67+79.26+84.98</f>
        <v>311.77000000000004</v>
      </c>
      <c r="G64" s="17">
        <f>99.97+118.05+128.16+129.41</f>
        <v>475.58999999999992</v>
      </c>
    </row>
    <row r="65" spans="1:12">
      <c r="B65" s="14">
        <v>2012</v>
      </c>
      <c r="C65" s="14">
        <v>12742</v>
      </c>
      <c r="D65" s="14">
        <v>1426.19</v>
      </c>
      <c r="E65" s="14">
        <f t="shared" si="37"/>
        <v>0.11192826871762675</v>
      </c>
      <c r="F65" s="17">
        <f>64.07+67.31+69.48+79.83</f>
        <v>280.69</v>
      </c>
      <c r="G65" s="17">
        <f>84.29+111.75+103.72+99.15</f>
        <v>398.90999999999997</v>
      </c>
    </row>
    <row r="66" spans="1:12">
      <c r="B66" s="14">
        <v>2011</v>
      </c>
      <c r="C66" s="14">
        <v>11385</v>
      </c>
      <c r="D66" s="14">
        <v>1257.5999999999999</v>
      </c>
      <c r="E66" s="14">
        <f t="shared" si="37"/>
        <v>0.11046113306982872</v>
      </c>
      <c r="F66" s="17">
        <f>56.08+59.03+59.2+65.89</f>
        <v>240.2</v>
      </c>
      <c r="G66" s="17">
        <f>89.84+109.24+118.41+87.59</f>
        <v>405.08000000000004</v>
      </c>
    </row>
    <row r="67" spans="1:12">
      <c r="B67" s="14">
        <v>2010</v>
      </c>
      <c r="C67" s="14">
        <v>11430</v>
      </c>
      <c r="D67" s="17">
        <f>B39</f>
        <v>1257.6400000000001</v>
      </c>
      <c r="E67" s="14">
        <f t="shared" si="37"/>
        <v>0.11002974628171479</v>
      </c>
      <c r="F67" s="17">
        <v>205.83</v>
      </c>
      <c r="G67" s="17">
        <v>298.82</v>
      </c>
    </row>
    <row r="68" spans="1:12">
      <c r="B68" s="14">
        <v>2009</v>
      </c>
      <c r="C68" s="14">
        <v>9928</v>
      </c>
      <c r="D68" s="17">
        <f>B38</f>
        <v>1115</v>
      </c>
      <c r="E68" s="14">
        <f t="shared" si="37"/>
        <v>0.11230862207896858</v>
      </c>
      <c r="F68" s="14">
        <f>51.73+47.63+47.21+49.04</f>
        <v>195.60999999999999</v>
      </c>
      <c r="G68" s="14">
        <f>30.78+24.2+34.85+47.82</f>
        <v>137.65</v>
      </c>
      <c r="K68"/>
    </row>
    <row r="69" spans="1:12">
      <c r="B69" s="14">
        <v>2008</v>
      </c>
      <c r="C69" s="14">
        <v>7852</v>
      </c>
      <c r="D69" s="17">
        <f>B37</f>
        <v>903.25</v>
      </c>
      <c r="E69" s="14">
        <f t="shared" si="37"/>
        <v>0.11503438614365767</v>
      </c>
      <c r="F69" s="14">
        <f>62.19+61.44+61.94+61.72</f>
        <v>247.29</v>
      </c>
      <c r="G69" s="14">
        <f>48.12+89.71+87.91+113.9</f>
        <v>339.64</v>
      </c>
      <c r="K69"/>
    </row>
    <row r="70" spans="1:12">
      <c r="B70" s="14">
        <v>2007</v>
      </c>
      <c r="C70" s="14">
        <v>12868</v>
      </c>
      <c r="D70" s="17">
        <f>B36</f>
        <v>1468.36</v>
      </c>
      <c r="E70" s="14">
        <f t="shared" si="37"/>
        <v>0.11410941871308672</v>
      </c>
      <c r="F70" s="14">
        <f>58.53+59.76+61.21+67.09</f>
        <v>246.59</v>
      </c>
      <c r="G70" s="14">
        <f>117.7+157.76+171.95+141.71</f>
        <v>589.12</v>
      </c>
      <c r="K70"/>
    </row>
    <row r="71" spans="1:12">
      <c r="B71" s="29">
        <v>2006</v>
      </c>
      <c r="C71" s="29">
        <v>12729</v>
      </c>
      <c r="D71" s="31">
        <f>B35</f>
        <v>1418.3</v>
      </c>
      <c r="E71" s="14">
        <f t="shared" si="37"/>
        <v>0.11142273548589834</v>
      </c>
      <c r="F71" s="29"/>
      <c r="G71" s="29"/>
      <c r="K71"/>
    </row>
    <row r="72" spans="1:12" ht="15" thickBot="1">
      <c r="B72" s="29" t="s">
        <v>15</v>
      </c>
      <c r="C72" s="29"/>
      <c r="D72" s="29"/>
      <c r="E72" s="65"/>
      <c r="F72" s="37"/>
      <c r="G72" s="37"/>
      <c r="K72"/>
    </row>
    <row r="73" spans="1:12" ht="15" thickBot="1">
      <c r="A73" s="10" t="s">
        <v>32</v>
      </c>
      <c r="B73" s="30">
        <f>E55</f>
        <v>0.12011016711791617</v>
      </c>
      <c r="K73"/>
    </row>
    <row r="74" spans="1:12">
      <c r="K74"/>
    </row>
    <row r="75" spans="1:12">
      <c r="A75" s="77" t="s">
        <v>133</v>
      </c>
      <c r="K75"/>
    </row>
    <row r="76" spans="1:12">
      <c r="A76" s="21" t="s">
        <v>20</v>
      </c>
      <c r="B76" s="19" t="s">
        <v>45</v>
      </c>
      <c r="C76" s="19" t="s">
        <v>18</v>
      </c>
      <c r="D76" s="19" t="s">
        <v>19</v>
      </c>
      <c r="E76" s="14" t="s">
        <v>128</v>
      </c>
      <c r="K76"/>
    </row>
    <row r="77" spans="1:12">
      <c r="A77" s="21" t="s">
        <v>24</v>
      </c>
      <c r="B77" s="175">
        <v>457.43</v>
      </c>
      <c r="C77" s="176">
        <v>143.19999999999999</v>
      </c>
      <c r="D77" s="175">
        <v>174.92</v>
      </c>
      <c r="E77" s="74"/>
      <c r="F77" s="32" t="s">
        <v>293</v>
      </c>
      <c r="L77"/>
    </row>
    <row r="78" spans="1:12">
      <c r="A78" s="21" t="s">
        <v>23</v>
      </c>
      <c r="B78" s="175">
        <v>439.08</v>
      </c>
      <c r="C78" s="176">
        <v>146.76</v>
      </c>
      <c r="D78" s="175">
        <v>215.53</v>
      </c>
      <c r="K78"/>
    </row>
    <row r="79" spans="1:12">
      <c r="A79" s="21" t="s">
        <v>22</v>
      </c>
      <c r="B79" s="175">
        <v>421.55</v>
      </c>
      <c r="C79" s="176">
        <v>146.07</v>
      </c>
      <c r="D79" s="175">
        <v>211.19</v>
      </c>
      <c r="K79"/>
    </row>
    <row r="80" spans="1:12">
      <c r="A80" s="21" t="s">
        <v>21</v>
      </c>
      <c r="B80" s="175">
        <v>422.94</v>
      </c>
      <c r="C80" s="176">
        <v>140.34</v>
      </c>
      <c r="D80" s="175">
        <v>210.84</v>
      </c>
      <c r="K80"/>
    </row>
    <row r="81" spans="1:8">
      <c r="A81" s="21" t="s">
        <v>25</v>
      </c>
      <c r="B81" s="20">
        <f>SUM(B77:B80)</f>
        <v>1741</v>
      </c>
      <c r="C81" s="20">
        <f>SUM(C77:C80)</f>
        <v>576.37</v>
      </c>
      <c r="D81" s="20">
        <f>SUM(D77:D80)</f>
        <v>812.48</v>
      </c>
      <c r="E81" s="14">
        <f>E85</f>
        <v>71.328399999999988</v>
      </c>
    </row>
    <row r="83" spans="1:8" customFormat="1">
      <c r="A83" s="76" t="s">
        <v>155</v>
      </c>
    </row>
    <row r="84" spans="1:8" customFormat="1">
      <c r="A84" s="75" t="s">
        <v>134</v>
      </c>
      <c r="B84" t="s">
        <v>45</v>
      </c>
      <c r="C84" t="s">
        <v>18</v>
      </c>
      <c r="D84" t="s">
        <v>19</v>
      </c>
      <c r="E84" t="s">
        <v>128</v>
      </c>
      <c r="F84" t="s">
        <v>156</v>
      </c>
    </row>
    <row r="85" spans="1:8">
      <c r="A85" s="99">
        <v>43799</v>
      </c>
      <c r="B85" s="79">
        <f>'S&amp;P 500 Monthly Data (Cap IQ)'!G102/1000</f>
        <v>1705.5793000000001</v>
      </c>
      <c r="C85" s="79">
        <f>'S&amp;P 500 Monthly Data (Cap IQ)'!D102/1000</f>
        <v>550.50509999999997</v>
      </c>
      <c r="D85" s="78">
        <f>'S&amp;P 500 Monthly Data (Cap IQ)'!E102/1000</f>
        <v>788.33780000000002</v>
      </c>
      <c r="E85" s="79">
        <f>'S&amp;P 500 Monthly Data (Cap IQ)'!F102/1000</f>
        <v>71.328399999999988</v>
      </c>
      <c r="F85" s="80">
        <f>'S&amp;P 500 Monthly Data (Cap IQ)'!J102*1000</f>
        <v>0.11265066277040091</v>
      </c>
      <c r="H85" s="10" t="s">
        <v>296</v>
      </c>
    </row>
  </sheetData>
  <mergeCells count="1">
    <mergeCell ref="J10:L12"/>
  </mergeCells>
  <phoneticPr fontId="12" type="noConversion"/>
  <dataValidations count="1">
    <dataValidation allowBlank="1" showInputMessage="1" showErrorMessage="1" sqref="C2:C15 C24:C28"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A2" sqref="A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8" t="s">
        <v>294</v>
      </c>
      <c r="B1" s="218"/>
      <c r="C1" s="218"/>
      <c r="D1" s="218"/>
      <c r="E1" s="159"/>
      <c r="F1" s="219" t="s">
        <v>295</v>
      </c>
      <c r="G1" s="219"/>
      <c r="H1" s="219"/>
      <c r="I1" s="219"/>
      <c r="K1" s="219" t="s">
        <v>282</v>
      </c>
      <c r="L1" s="219"/>
      <c r="M1" s="219"/>
      <c r="N1" s="219"/>
    </row>
    <row r="2" spans="1:14">
      <c r="A2" t="s">
        <v>7</v>
      </c>
      <c r="B2" t="s">
        <v>42</v>
      </c>
      <c r="D2" t="s">
        <v>41</v>
      </c>
      <c r="F2" t="s">
        <v>7</v>
      </c>
      <c r="G2" t="s">
        <v>42</v>
      </c>
      <c r="I2" t="s">
        <v>41</v>
      </c>
      <c r="K2" t="s">
        <v>7</v>
      </c>
      <c r="L2" t="s">
        <v>42</v>
      </c>
      <c r="N2" t="s">
        <v>41</v>
      </c>
    </row>
    <row r="3" spans="1:14">
      <c r="A3">
        <v>2021</v>
      </c>
      <c r="C3" s="167">
        <v>208.53</v>
      </c>
      <c r="F3">
        <v>2021</v>
      </c>
      <c r="H3" s="113">
        <f>C3</f>
        <v>208.53</v>
      </c>
      <c r="K3">
        <v>2021</v>
      </c>
      <c r="M3" s="113">
        <v>208.49</v>
      </c>
    </row>
    <row r="4" spans="1:14">
      <c r="A4">
        <v>2022</v>
      </c>
      <c r="C4" s="124">
        <f>H4</f>
        <v>218.09</v>
      </c>
      <c r="D4" t="s">
        <v>181</v>
      </c>
      <c r="F4">
        <v>2022</v>
      </c>
      <c r="H4" s="124">
        <v>218.09</v>
      </c>
      <c r="I4" t="s">
        <v>196</v>
      </c>
      <c r="K4" t="s">
        <v>281</v>
      </c>
      <c r="M4" s="124">
        <v>220.87</v>
      </c>
      <c r="N4" t="s">
        <v>196</v>
      </c>
    </row>
    <row r="5" spans="1:14">
      <c r="A5">
        <v>2023</v>
      </c>
      <c r="B5" s="27">
        <f>C5/C4-1</f>
        <v>3.1684167086982518E-2</v>
      </c>
      <c r="C5" s="124">
        <v>225</v>
      </c>
      <c r="D5" t="s">
        <v>181</v>
      </c>
      <c r="F5">
        <v>2023</v>
      </c>
      <c r="G5" s="27">
        <f>H5/H4-1</f>
        <v>1.2655325782933602E-2</v>
      </c>
      <c r="H5" s="124">
        <v>220.85</v>
      </c>
      <c r="I5" t="s">
        <v>196</v>
      </c>
      <c r="K5">
        <v>2023</v>
      </c>
      <c r="L5" s="27">
        <f>M5/M4-1</f>
        <v>4.8535337528863076E-2</v>
      </c>
      <c r="M5" s="124">
        <v>231.59</v>
      </c>
      <c r="N5" t="s">
        <v>196</v>
      </c>
    </row>
    <row r="6" spans="1:14">
      <c r="A6">
        <v>2024</v>
      </c>
      <c r="B6" s="27">
        <f>C6/C5-1</f>
        <v>0.11111111111111116</v>
      </c>
      <c r="C6" s="165">
        <v>250</v>
      </c>
      <c r="D6" t="s">
        <v>181</v>
      </c>
      <c r="F6">
        <v>2024</v>
      </c>
      <c r="G6" s="27">
        <f>H6/H5-1</f>
        <v>0.11378763866877972</v>
      </c>
      <c r="H6" s="124">
        <v>245.98</v>
      </c>
      <c r="I6" t="s">
        <v>196</v>
      </c>
      <c r="K6">
        <v>2024</v>
      </c>
      <c r="L6" s="27">
        <f>L5-1*(L5-$L$10)/5</f>
        <v>4.7494270023090458E-2</v>
      </c>
      <c r="M6" s="124"/>
      <c r="N6" t="s">
        <v>196</v>
      </c>
    </row>
    <row r="7" spans="1:14">
      <c r="A7">
        <v>2025</v>
      </c>
      <c r="B7" s="27">
        <f>C7/C6-1</f>
        <v>8.0000000000000071E-2</v>
      </c>
      <c r="C7" s="124">
        <v>270</v>
      </c>
      <c r="D7" s="164"/>
      <c r="F7">
        <v>2025</v>
      </c>
      <c r="G7" s="27">
        <f>H7/H6-1</f>
        <v>0.11809903244166176</v>
      </c>
      <c r="H7" s="124">
        <v>275.02999999999997</v>
      </c>
      <c r="I7" t="s">
        <v>196</v>
      </c>
      <c r="K7">
        <v>2025</v>
      </c>
      <c r="L7" s="27">
        <f>L5-2*(L5-$L$10)/5</f>
        <v>4.6453202517317847E-2</v>
      </c>
      <c r="M7" s="138"/>
      <c r="N7" t="s">
        <v>196</v>
      </c>
    </row>
    <row r="8" spans="1:14">
      <c r="A8">
        <v>2026</v>
      </c>
      <c r="B8" s="39">
        <f>(B5+B6+B7)/3-1*((B5+B6+B7)/3-$B10)/3</f>
        <v>6.3953395155131945E-2</v>
      </c>
      <c r="F8">
        <v>2026</v>
      </c>
      <c r="G8" s="39">
        <f>(G5+G6+G7)/3-1*((G5+G6+G7)/3-$G10)/3</f>
        <v>6.8785999309638912E-2</v>
      </c>
      <c r="K8">
        <v>2026</v>
      </c>
      <c r="L8" s="39">
        <f>L5-3*(L5-$L$10)/5</f>
        <v>4.5412135011545229E-2</v>
      </c>
    </row>
    <row r="9" spans="1:14">
      <c r="A9">
        <v>2027</v>
      </c>
      <c r="B9" s="27">
        <f>(B5+B6+B7)/3-2*((B5+B6+B7)/3-$B10)/3</f>
        <v>5.3641697577565969E-2</v>
      </c>
      <c r="F9">
        <v>2027</v>
      </c>
      <c r="G9" s="27">
        <f>(G5+G6+G7)/3-2*((G5+G6+G7)/3-$G10)/3</f>
        <v>5.605799965481946E-2</v>
      </c>
      <c r="K9">
        <v>2027</v>
      </c>
      <c r="L9" s="27">
        <f>L5-4*(L5-$L$10)/5</f>
        <v>4.4371067505772618E-2</v>
      </c>
    </row>
    <row r="10" spans="1:14" ht="15" thickBot="1">
      <c r="A10">
        <v>2028</v>
      </c>
      <c r="B10" s="27">
        <f>'Impl premium calculator'!B9</f>
        <v>4.333E-2</v>
      </c>
      <c r="F10">
        <v>2028</v>
      </c>
      <c r="G10" s="27">
        <f>'Impl premium calculator'!B9</f>
        <v>4.333E-2</v>
      </c>
      <c r="K10">
        <v>2028</v>
      </c>
      <c r="L10" s="27">
        <f>G10</f>
        <v>4.333E-2</v>
      </c>
    </row>
    <row r="11" spans="1:14" ht="15" thickBot="1">
      <c r="A11" t="s">
        <v>31</v>
      </c>
      <c r="B11" s="153">
        <f>((1+B5)*(1+B6)*(1+B7)*(1+B8)*(1+B9))^(1/5)-1</f>
        <v>6.7747868567814118E-2</v>
      </c>
      <c r="F11" t="s">
        <v>292</v>
      </c>
      <c r="G11" s="153">
        <f>((1+G5)*(1+G6)*(1+G7)*(1+G8)*(1+G9))^(1/5)-1</f>
        <v>7.3160226894865676E-2</v>
      </c>
      <c r="K11" t="s">
        <v>231</v>
      </c>
      <c r="L11" s="153">
        <f>((1+L5)*(1+L6)*(1+L7)*(1+L8)*(1+L9))^(1/5)-1</f>
        <v>4.6452166806560724E-2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7" t="s">
        <v>249</v>
      </c>
      <c r="H25" s="217"/>
      <c r="J25" s="161"/>
    </row>
    <row r="26" spans="1:11">
      <c r="G26" s="217" t="s">
        <v>202</v>
      </c>
      <c r="H26" s="217"/>
    </row>
    <row r="27" spans="1:11" ht="16">
      <c r="G27" s="168" t="s">
        <v>232</v>
      </c>
      <c r="H27" s="168" t="s">
        <v>233</v>
      </c>
      <c r="I27" s="168" t="s">
        <v>234</v>
      </c>
      <c r="J27" s="168" t="s">
        <v>252</v>
      </c>
      <c r="K27" s="168" t="s">
        <v>235</v>
      </c>
    </row>
    <row r="28" spans="1:11" ht="16">
      <c r="G28" s="169" t="s">
        <v>250</v>
      </c>
      <c r="H28" s="168" t="s">
        <v>251</v>
      </c>
      <c r="I28" s="179">
        <v>4500</v>
      </c>
      <c r="J28" s="170">
        <v>195</v>
      </c>
      <c r="K28" s="177">
        <f>I28/J28</f>
        <v>23.076923076923077</v>
      </c>
    </row>
    <row r="29" spans="1:11" ht="16">
      <c r="G29" s="169" t="s">
        <v>203</v>
      </c>
      <c r="H29" s="168" t="s">
        <v>204</v>
      </c>
      <c r="I29" s="179">
        <v>4300</v>
      </c>
      <c r="J29" s="170">
        <v>220</v>
      </c>
      <c r="K29" s="177">
        <f t="shared" ref="K29:K44" si="0">I29/J29</f>
        <v>19.545454545454547</v>
      </c>
    </row>
    <row r="30" spans="1:11" ht="16">
      <c r="G30" s="169" t="s">
        <v>253</v>
      </c>
      <c r="H30" s="168" t="s">
        <v>254</v>
      </c>
      <c r="I30" s="179">
        <v>4225</v>
      </c>
      <c r="J30" s="170">
        <v>225</v>
      </c>
      <c r="K30" s="177">
        <f t="shared" si="0"/>
        <v>18.777777777777779</v>
      </c>
    </row>
    <row r="31" spans="1:11" ht="16">
      <c r="G31" s="169" t="s">
        <v>255</v>
      </c>
      <c r="H31" s="168" t="s">
        <v>256</v>
      </c>
      <c r="I31" s="179">
        <v>4200</v>
      </c>
      <c r="J31" s="170">
        <v>232</v>
      </c>
      <c r="K31" s="177">
        <f t="shared" si="0"/>
        <v>18.103448275862068</v>
      </c>
    </row>
    <row r="32" spans="1:11" ht="16">
      <c r="G32" s="169" t="s">
        <v>257</v>
      </c>
      <c r="H32" s="168" t="s">
        <v>206</v>
      </c>
      <c r="I32" s="179">
        <v>4200</v>
      </c>
      <c r="J32" s="170">
        <v>205</v>
      </c>
      <c r="K32" s="177">
        <f t="shared" si="0"/>
        <v>20.487804878048781</v>
      </c>
    </row>
    <row r="33" spans="7:11" ht="16">
      <c r="G33" s="169" t="s">
        <v>258</v>
      </c>
      <c r="H33" s="168" t="s">
        <v>259</v>
      </c>
      <c r="I33" s="179">
        <v>4100</v>
      </c>
      <c r="J33" s="170">
        <v>212</v>
      </c>
      <c r="K33" s="177">
        <f t="shared" si="0"/>
        <v>19.339622641509433</v>
      </c>
    </row>
    <row r="34" spans="7:11" ht="16">
      <c r="G34" s="169" t="s">
        <v>260</v>
      </c>
      <c r="H34" s="168" t="s">
        <v>208</v>
      </c>
      <c r="I34" s="179">
        <v>4100</v>
      </c>
      <c r="J34" s="170">
        <v>199</v>
      </c>
      <c r="K34" s="177">
        <f t="shared" si="0"/>
        <v>20.603015075376884</v>
      </c>
    </row>
    <row r="35" spans="7:11" ht="16">
      <c r="G35" s="169" t="s">
        <v>261</v>
      </c>
      <c r="H35" s="168" t="s">
        <v>205</v>
      </c>
      <c r="I35" s="179">
        <v>4050</v>
      </c>
      <c r="J35" s="170">
        <v>230</v>
      </c>
      <c r="K35" s="177">
        <f t="shared" si="0"/>
        <v>17.608695652173914</v>
      </c>
    </row>
    <row r="36" spans="7:11" ht="16">
      <c r="G36" s="169" t="s">
        <v>262</v>
      </c>
      <c r="H36" s="168" t="s">
        <v>263</v>
      </c>
      <c r="I36" s="179">
        <v>4000</v>
      </c>
      <c r="J36" s="170">
        <v>200</v>
      </c>
      <c r="K36" s="177">
        <f t="shared" si="0"/>
        <v>20</v>
      </c>
    </row>
    <row r="37" spans="7:11" ht="16">
      <c r="G37" s="169" t="s">
        <v>264</v>
      </c>
      <c r="H37" s="168" t="s">
        <v>265</v>
      </c>
      <c r="I37" s="179">
        <v>4000</v>
      </c>
      <c r="J37" s="170">
        <v>224</v>
      </c>
      <c r="K37" s="177">
        <f t="shared" si="0"/>
        <v>17.857142857142858</v>
      </c>
    </row>
    <row r="38" spans="7:11" ht="16">
      <c r="G38" s="169" t="s">
        <v>266</v>
      </c>
      <c r="H38" s="168" t="s">
        <v>267</v>
      </c>
      <c r="I38" s="179">
        <v>4000</v>
      </c>
      <c r="J38" s="170">
        <v>225</v>
      </c>
      <c r="K38" s="177">
        <f t="shared" si="0"/>
        <v>17.777777777777779</v>
      </c>
    </row>
    <row r="39" spans="7:11" ht="16">
      <c r="G39" s="169" t="s">
        <v>268</v>
      </c>
      <c r="H39" s="168" t="s">
        <v>236</v>
      </c>
      <c r="I39" s="179">
        <v>3900</v>
      </c>
      <c r="J39" s="170">
        <v>215</v>
      </c>
      <c r="K39" s="177">
        <f t="shared" si="0"/>
        <v>18.13953488372093</v>
      </c>
    </row>
    <row r="40" spans="7:11" ht="16">
      <c r="G40" s="169" t="s">
        <v>269</v>
      </c>
      <c r="H40" s="168" t="s">
        <v>207</v>
      </c>
      <c r="I40" s="179">
        <v>3900</v>
      </c>
      <c r="J40" s="170">
        <v>314</v>
      </c>
      <c r="K40" s="177">
        <f t="shared" si="0"/>
        <v>12.420382165605096</v>
      </c>
    </row>
    <row r="41" spans="7:11" ht="16">
      <c r="G41" s="169" t="s">
        <v>209</v>
      </c>
      <c r="H41" s="168" t="s">
        <v>237</v>
      </c>
      <c r="I41" s="179">
        <v>3900</v>
      </c>
      <c r="J41" s="170">
        <v>198</v>
      </c>
      <c r="K41" s="177">
        <f t="shared" si="0"/>
        <v>19.696969696969695</v>
      </c>
    </row>
    <row r="42" spans="7:11" ht="16">
      <c r="G42" s="169" t="s">
        <v>270</v>
      </c>
      <c r="H42" s="168" t="s">
        <v>271</v>
      </c>
      <c r="I42" s="179">
        <v>3725</v>
      </c>
      <c r="J42" s="170">
        <v>207</v>
      </c>
      <c r="K42" s="177">
        <f t="shared" si="0"/>
        <v>17.995169082125603</v>
      </c>
    </row>
    <row r="43" spans="7:11" ht="16">
      <c r="G43" s="169" t="s">
        <v>272</v>
      </c>
      <c r="H43" s="168" t="s">
        <v>273</v>
      </c>
      <c r="I43" s="179">
        <v>3650</v>
      </c>
      <c r="J43" s="170">
        <v>220</v>
      </c>
      <c r="K43" s="177">
        <f t="shared" si="0"/>
        <v>16.59090909090909</v>
      </c>
    </row>
    <row r="44" spans="7:11" ht="16">
      <c r="G44" s="169" t="s">
        <v>274</v>
      </c>
      <c r="H44" s="168" t="s">
        <v>275</v>
      </c>
      <c r="I44" s="179">
        <v>3400</v>
      </c>
      <c r="J44" s="170">
        <v>219</v>
      </c>
      <c r="K44" s="177">
        <f t="shared" si="0"/>
        <v>15.525114155251142</v>
      </c>
    </row>
    <row r="45" spans="7:11" ht="16">
      <c r="G45" s="169" t="s">
        <v>276</v>
      </c>
      <c r="H45" s="168" t="s">
        <v>277</v>
      </c>
      <c r="I45" s="179" t="s">
        <v>280</v>
      </c>
      <c r="J45" s="170">
        <v>222</v>
      </c>
      <c r="K45" s="177"/>
    </row>
    <row r="46" spans="7:11" ht="16">
      <c r="G46" s="169" t="s">
        <v>278</v>
      </c>
      <c r="H46" s="168" t="s">
        <v>279</v>
      </c>
      <c r="I46" s="179" t="s">
        <v>280</v>
      </c>
      <c r="J46" s="170">
        <v>220</v>
      </c>
      <c r="K46" s="177"/>
    </row>
    <row r="47" spans="7:11">
      <c r="G47" s="138" t="s">
        <v>170</v>
      </c>
      <c r="H47" s="138"/>
      <c r="I47" s="14"/>
      <c r="J47" s="178">
        <f>AVERAGE(J28:J46)</f>
        <v>220.10526315789474</v>
      </c>
    </row>
    <row r="48" spans="7:11">
      <c r="G48" s="138" t="s">
        <v>210</v>
      </c>
      <c r="H48" s="138"/>
      <c r="I48" s="14"/>
      <c r="J48" s="178">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5"/>
  <sheetViews>
    <sheetView topLeftCell="A142" workbookViewId="0">
      <selection activeCell="A185" sqref="A185:XFD185"/>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284</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284</v>
      </c>
    </row>
    <row r="178" spans="1:15">
      <c r="A178" s="59">
        <v>43585</v>
      </c>
      <c r="B178" s="61">
        <v>4169</v>
      </c>
      <c r="C178" s="37">
        <v>3.4200000000000001E-2</v>
      </c>
      <c r="D178" s="64">
        <v>187.83</v>
      </c>
      <c r="E178" s="64">
        <v>176.45</v>
      </c>
      <c r="F178" s="186">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2"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1">
        <v>0.40731155152887893</v>
      </c>
      <c r="K2" s="181">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1">
        <v>-0.1145794661190966</v>
      </c>
      <c r="K3" s="181">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1">
        <v>-0.29673636363636363</v>
      </c>
      <c r="K4" s="181">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1">
        <v>-0.46147548891786189</v>
      </c>
      <c r="K5" s="181">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1">
        <v>-9.7123645320196961E-2</v>
      </c>
      <c r="K6" s="181">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1">
        <v>0.49022225433526023</v>
      </c>
      <c r="K7" s="181">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1">
        <v>-1.4668990304246137E-2</v>
      </c>
      <c r="K8" s="181">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1">
        <v>0.46572921052631583</v>
      </c>
      <c r="K9" s="181">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1">
        <v>0.31770910275502612</v>
      </c>
      <c r="K10" s="181">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1">
        <v>-0.35612562087698868</v>
      </c>
      <c r="K11" s="181">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1">
        <v>0.29217654028436019</v>
      </c>
      <c r="K12" s="181">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1">
        <v>-1.1433980213089777E-2</v>
      </c>
      <c r="K13" s="181">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1">
        <v>-0.10708706527554848</v>
      </c>
      <c r="K14" s="181">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1">
        <v>-0.12900622243226217</v>
      </c>
      <c r="K15" s="181">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1">
        <v>0.18831262945914842</v>
      </c>
      <c r="K16" s="181">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1">
        <v>0.24681310133060394</v>
      </c>
      <c r="K17" s="181">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1">
        <v>0.1865067694944301</v>
      </c>
      <c r="K18" s="181">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1">
        <v>0.35441084337349399</v>
      </c>
      <c r="K19" s="181">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1">
        <v>-8.8091474654377805E-2</v>
      </c>
      <c r="K20" s="181">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1">
        <v>4.5991666666666667E-2</v>
      </c>
      <c r="K21" s="181">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1">
        <v>4.6595751633986833E-2</v>
      </c>
      <c r="K22" s="181">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1">
        <v>0.17188223684210527</v>
      </c>
      <c r="K23" s="181">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1">
        <v>0.29602205677982929</v>
      </c>
      <c r="K24" s="181">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1">
        <v>0.22160963044542339</v>
      </c>
      <c r="K25" s="181">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1">
        <v>0.16428488641144307</v>
      </c>
      <c r="K26" s="181">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1">
        <v>-3.0990380755237797E-2</v>
      </c>
      <c r="K27" s="181">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1">
        <v>0.51624987908101572</v>
      </c>
      <c r="K28" s="181">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1">
        <v>0.30872331851028351</v>
      </c>
      <c r="K29" s="181">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1">
        <v>4.8120118733509347E-2</v>
      </c>
      <c r="K30" s="181">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1">
        <v>-0.1368236018855796</v>
      </c>
      <c r="K31" s="181">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1">
        <v>0.41949121655413851</v>
      </c>
      <c r="K32" s="181">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1">
        <v>8.6706238302239919E-2</v>
      </c>
      <c r="K33" s="181">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1">
        <v>-2.5467980185896383E-2</v>
      </c>
      <c r="K34" s="181">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1">
        <v>0.24283546291516087</v>
      </c>
      <c r="K35" s="181">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1">
        <v>-0.11584793850454221</v>
      </c>
      <c r="K36" s="181">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1">
        <v>0.19452760433174848</v>
      </c>
      <c r="K37" s="181">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1">
        <v>0.12868789211765758</v>
      </c>
      <c r="K38" s="181">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1">
        <v>8.4500758112094482E-2</v>
      </c>
      <c r="K39" s="181">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1">
        <v>-0.14833454235637789</v>
      </c>
      <c r="K40" s="181">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1">
        <v>0.19496299846466661</v>
      </c>
      <c r="K41" s="181">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1">
        <v>5.4765293182682022E-2</v>
      </c>
      <c r="K42" s="181">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1">
        <v>-0.14908037743115732</v>
      </c>
      <c r="K43" s="181">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1">
        <v>-2.8305217611702474E-2</v>
      </c>
      <c r="K44" s="181">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1">
        <v>9.888650298426474E-2</v>
      </c>
      <c r="K45" s="181">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1">
        <v>0.14682862915074923</v>
      </c>
      <c r="K46" s="181">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1">
        <v>-0.21339714104193139</v>
      </c>
      <c r="K47" s="181">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1">
        <v>-0.3373178575089697</v>
      </c>
      <c r="K48" s="181">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1">
        <v>0.31220137106184354</v>
      </c>
      <c r="K49" s="181">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1">
        <v>0.18856832335439994</v>
      </c>
      <c r="K50" s="181">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1">
        <v>-0.122488707426019</v>
      </c>
      <c r="K51" s="181">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1">
        <v>-6.7904942166140403E-3</v>
      </c>
      <c r="K52" s="181">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1">
        <v>8.4503235008497199E-2</v>
      </c>
      <c r="K53" s="181">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1">
        <v>0.20301078840096343</v>
      </c>
      <c r="K54" s="181">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1">
        <v>-0.18727390247495579</v>
      </c>
      <c r="K55" s="181">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1">
        <v>9.8048884128926872E-2</v>
      </c>
      <c r="K56" s="181">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1">
        <v>0.13726322525597284</v>
      </c>
      <c r="K57" s="181">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1">
        <v>-3.3763580003637904E-2</v>
      </c>
      <c r="K58" s="181">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1">
        <v>0.23755982819102281</v>
      </c>
      <c r="K59" s="181">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1">
        <v>0.12516245424712855</v>
      </c>
      <c r="K60" s="181">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1">
        <v>3.7721641821870933E-4</v>
      </c>
      <c r="K61" s="181">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1">
        <v>9.8696928120446878E-2</v>
      </c>
      <c r="K62" s="181">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1">
        <v>0.23363516971530057</v>
      </c>
      <c r="K63" s="181">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1">
        <v>-0.10557784946236545</v>
      </c>
      <c r="K64" s="181">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1">
        <v>0.24859843134879758</v>
      </c>
      <c r="K65" s="181">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1">
        <v>4.0620613057133971E-2</v>
      </c>
      <c r="K66" s="181">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1">
        <v>6.9695514791948798E-2</v>
      </c>
      <c r="K67" s="181">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1">
        <v>-2.9207459892092776E-2</v>
      </c>
      <c r="K68" s="181">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1">
        <v>0.31705198902606307</v>
      </c>
      <c r="K69" s="181">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1">
        <v>0.17675132685532455</v>
      </c>
      <c r="K70" s="181">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1">
        <v>0.28042819770319766</v>
      </c>
      <c r="K71" s="181">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1">
        <v>0.23561286611776916</v>
      </c>
      <c r="K72" s="181">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1">
        <v>0.16247017658751142</v>
      </c>
      <c r="K73" s="181">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1">
        <v>-0.14848485621915944</v>
      </c>
      <c r="K74" s="181">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1">
        <v>-0.1523809247533352</v>
      </c>
      <c r="K75" s="181">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1">
        <v>-0.235685479579127</v>
      </c>
      <c r="K76" s="181">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1">
        <v>0.27344966716676899</v>
      </c>
      <c r="K77" s="181">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1">
        <v>9.3711092774295263E-2</v>
      </c>
      <c r="K78" s="181">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1">
        <v>1.6878108566021871E-2</v>
      </c>
      <c r="K79" s="181">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1">
        <v>0.10885891312649036</v>
      </c>
      <c r="K80" s="181">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1">
        <v>1.131401913088436E-2</v>
      </c>
      <c r="K81" s="181">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1">
        <v>-0.3791734411179819</v>
      </c>
      <c r="K82" s="181">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1">
        <v>0.25785233877663982</v>
      </c>
      <c r="K83" s="181">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1">
        <v>0.14684425612052748</v>
      </c>
      <c r="K84" s="181">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1">
        <v>2.0458747336280499E-2</v>
      </c>
      <c r="K85" s="181">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1">
        <v>0.15804751908396961</v>
      </c>
      <c r="K86" s="181">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1">
        <v>0.3208675252479215</v>
      </c>
      <c r="K87" s="181">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1">
        <v>0.13491921649462238</v>
      </c>
      <c r="K88" s="181">
        <v>2.7782411974574817E-2</v>
      </c>
      <c r="L88" s="70">
        <v>3.1395138274317683E-2</v>
      </c>
      <c r="M88" s="70">
        <v>4.5975029375833421E-2</v>
      </c>
    </row>
    <row r="89" spans="1:13" ht="16">
      <c r="A89" s="171">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1">
        <v>1.3263916411676138E-2</v>
      </c>
      <c r="K89" s="181">
        <v>9.4591970188391376E-4</v>
      </c>
      <c r="L89" s="70">
        <v>2.0764100090708622E-2</v>
      </c>
      <c r="M89" s="70">
        <v>4.5434457313765497E-2</v>
      </c>
    </row>
    <row r="90" spans="1:13" ht="16">
      <c r="A90" s="172">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1">
        <v>0.11455580874798171</v>
      </c>
      <c r="K90" s="181">
        <v>0.11082530404923392</v>
      </c>
      <c r="L90" s="70">
        <v>1.4079750530049492E-2</v>
      </c>
      <c r="M90" s="70">
        <v>4.6176501247687796E-2</v>
      </c>
    </row>
    <row r="91" spans="1:13" ht="16">
      <c r="A91" s="172">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1">
        <v>0.20674648101165946</v>
      </c>
      <c r="K91" s="181">
        <v>0.18803765163720335</v>
      </c>
      <c r="L91" s="70">
        <v>0.11881579488250443</v>
      </c>
      <c r="M91" s="70">
        <v>4.7686840373502015E-2</v>
      </c>
    </row>
    <row r="92" spans="1:13" ht="16">
      <c r="A92" s="172">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1">
        <v>-6.1660359557552107E-2</v>
      </c>
      <c r="K92" s="181">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1">
        <v>0.29661679996808754</v>
      </c>
      <c r="K93" s="181">
        <v>0.21576049255260363</v>
      </c>
      <c r="L93" s="70">
        <v>0.15882222434440268</v>
      </c>
      <c r="M93" s="70">
        <v>4.8253684406804442E-2</v>
      </c>
    </row>
    <row r="94" spans="1:13" s="74" customFormat="1" ht="16">
      <c r="A94" s="172">
        <v>2020</v>
      </c>
      <c r="B94" s="70">
        <v>0.18023201827422478</v>
      </c>
      <c r="C94" s="173">
        <v>8.9999999999999998E-4</v>
      </c>
      <c r="D94" s="173">
        <v>0.1133189764661412</v>
      </c>
      <c r="E94" s="173">
        <v>0.10411537157111345</v>
      </c>
      <c r="F94" s="141">
        <v>592914.79859087302</v>
      </c>
      <c r="G94" s="141">
        <v>2081.8152316441997</v>
      </c>
      <c r="H94" s="141">
        <v>8920.9008833408589</v>
      </c>
      <c r="I94" s="141">
        <v>53736.047840649575</v>
      </c>
      <c r="J94" s="181">
        <v>0.17933201827422476</v>
      </c>
      <c r="K94" s="181">
        <v>6.6913041808083579E-2</v>
      </c>
      <c r="L94" s="70">
        <v>7.6116646703111329E-2</v>
      </c>
      <c r="M94" s="70">
        <v>4.8442663414424603E-2</v>
      </c>
    </row>
    <row r="95" spans="1:13" ht="16">
      <c r="A95" s="172">
        <v>2021</v>
      </c>
      <c r="B95" s="70">
        <v>0.28468851751964158</v>
      </c>
      <c r="C95" s="173">
        <v>5.9999999999999995E-4</v>
      </c>
      <c r="D95" s="173">
        <v>-4.416034448604475E-2</v>
      </c>
      <c r="E95" s="173">
        <v>9.3344457198752777E-3</v>
      </c>
      <c r="F95" s="141">
        <v>761710.83361716557</v>
      </c>
      <c r="G95" s="141">
        <v>2083.0643207831858</v>
      </c>
      <c r="H95" s="141">
        <v>8526.9508272066651</v>
      </c>
      <c r="I95" s="141">
        <v>54237.644062418738</v>
      </c>
      <c r="J95" s="181">
        <v>0.28408851751964159</v>
      </c>
      <c r="K95" s="181">
        <v>0.3288488620056863</v>
      </c>
      <c r="L95" s="70">
        <v>0.27535407179976629</v>
      </c>
      <c r="M95" s="70">
        <v>5.1322006296357525E-2</v>
      </c>
    </row>
    <row r="96" spans="1:13" ht="16">
      <c r="A96" s="172">
        <v>2022</v>
      </c>
      <c r="B96" s="173">
        <v>-0.18008971545346592</v>
      </c>
      <c r="C96" s="173">
        <v>4.4200000000000003E-2</v>
      </c>
      <c r="D96" s="173">
        <v>-0.1782817153825067</v>
      </c>
      <c r="E96" s="180">
        <v>-0.14488298214231426</v>
      </c>
      <c r="F96" s="141">
        <v>624534.54633322789</v>
      </c>
      <c r="G96" s="141">
        <v>2175.1357637618025</v>
      </c>
      <c r="H96" s="141">
        <v>7006.751406749976</v>
      </c>
      <c r="I96" s="141">
        <v>46379.532446282123</v>
      </c>
      <c r="J96" s="173">
        <v>-0.22428971545346593</v>
      </c>
      <c r="K96" s="183">
        <v>-1.8080000709592148E-3</v>
      </c>
      <c r="L96" s="183">
        <v>-3.520673331115165E-2</v>
      </c>
      <c r="M96" s="184">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2"/>
  <sheetViews>
    <sheetView topLeftCell="A65" workbookViewId="0">
      <selection activeCell="G102" sqref="G102"/>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7" t="s">
        <v>142</v>
      </c>
      <c r="D2" s="217"/>
      <c r="E2" s="217"/>
      <c r="F2" s="217"/>
      <c r="G2" s="217"/>
      <c r="H2" s="217"/>
      <c r="I2" s="217"/>
      <c r="K2" s="217" t="s">
        <v>144</v>
      </c>
      <c r="L2" s="217"/>
      <c r="M2" s="217"/>
      <c r="N2" s="217"/>
      <c r="O2" s="217"/>
      <c r="P2" s="217"/>
      <c r="Q2" s="217"/>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4">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4">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4">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4">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4">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4">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4">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4">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4">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4">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4">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4">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4">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4">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4">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4">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4">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4">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D100+E100</f>
        <v>1353285.7</v>
      </c>
      <c r="I100" s="90">
        <f>D100+E100-F100</f>
        <v>1282109.8</v>
      </c>
      <c r="J100" s="91">
        <f>B100/C100</f>
        <v>1.1222785540047046E-4</v>
      </c>
      <c r="K100" s="92">
        <f t="shared" ref="K100:Q100" si="324">$J100*C100</f>
        <v>4288.05</v>
      </c>
      <c r="L100" s="93">
        <f t="shared" si="324"/>
        <v>61.572331457776826</v>
      </c>
      <c r="M100" s="93">
        <f t="shared" si="324"/>
        <v>90.304020397347614</v>
      </c>
      <c r="N100" s="93">
        <f t="shared" si="324"/>
        <v>7.9879186131983451</v>
      </c>
      <c r="O100" s="93">
        <f t="shared" si="324"/>
        <v>186.04038524421284</v>
      </c>
      <c r="P100" s="93">
        <f t="shared" si="324"/>
        <v>151.87635185512445</v>
      </c>
      <c r="Q100" s="93">
        <f t="shared" si="324"/>
        <v>143.88843324192612</v>
      </c>
      <c r="R100" s="94">
        <f>L100/O100</f>
        <v>0.33096217994255178</v>
      </c>
      <c r="S100" s="174">
        <f>L100/K100</f>
        <v>1.4359051656994864E-2</v>
      </c>
      <c r="T100" s="94">
        <f>P100/O100</f>
        <v>0.81636227346959267</v>
      </c>
      <c r="U100" s="94">
        <f>Q100/O100</f>
        <v>0.77342579705500825</v>
      </c>
    </row>
    <row r="101" spans="1:21" ht="16">
      <c r="A101" s="59">
        <v>43769</v>
      </c>
      <c r="B101" s="88">
        <v>4193.8</v>
      </c>
      <c r="C101">
        <v>37271953.200000003</v>
      </c>
      <c r="D101">
        <f>460126.5+6693.5</f>
        <v>466820</v>
      </c>
      <c r="E101">
        <v>730155</v>
      </c>
      <c r="F101">
        <v>57360.6</v>
      </c>
      <c r="G101">
        <v>1692011.3</v>
      </c>
      <c r="H101" s="89">
        <f>D101+E101</f>
        <v>1196975</v>
      </c>
      <c r="I101" s="90">
        <f>D101+E101-F101</f>
        <v>1139614.3999999999</v>
      </c>
      <c r="J101" s="91">
        <f>B101/C101</f>
        <v>1.1251892213687368E-4</v>
      </c>
      <c r="K101" s="92">
        <f t="shared" ref="K101:Q101" si="325">$J101*C101</f>
        <v>4193.8</v>
      </c>
      <c r="L101" s="93">
        <f t="shared" si="325"/>
        <v>52.526083231935374</v>
      </c>
      <c r="M101" s="93">
        <f t="shared" si="325"/>
        <v>82.156253592848998</v>
      </c>
      <c r="N101" s="93">
        <f t="shared" si="325"/>
        <v>6.4541528851243557</v>
      </c>
      <c r="O101" s="93">
        <f t="shared" si="325"/>
        <v>190.38328771941042</v>
      </c>
      <c r="P101" s="93">
        <f t="shared" si="325"/>
        <v>134.68233682478436</v>
      </c>
      <c r="Q101" s="93">
        <f t="shared" si="325"/>
        <v>128.22818393966</v>
      </c>
      <c r="R101" s="94">
        <f>L101/O101</f>
        <v>0.27589650258245912</v>
      </c>
      <c r="S101" s="174">
        <f>L101/K101</f>
        <v>1.2524699134898034E-2</v>
      </c>
      <c r="T101" s="94">
        <f>P101/O101</f>
        <v>0.70742730855284464</v>
      </c>
      <c r="U101" s="94">
        <f>Q101/O101</f>
        <v>0.67352647112935937</v>
      </c>
    </row>
    <row r="102" spans="1:21" ht="16">
      <c r="A102" s="59">
        <v>43799</v>
      </c>
      <c r="B102" s="88">
        <v>4567.8</v>
      </c>
      <c r="C102">
        <v>40548363.299999997</v>
      </c>
      <c r="D102">
        <f>547206.1+3299</f>
        <v>550505.1</v>
      </c>
      <c r="E102">
        <v>788337.8</v>
      </c>
      <c r="F102">
        <v>71328.399999999994</v>
      </c>
      <c r="G102">
        <v>1705579.3</v>
      </c>
      <c r="H102" s="89">
        <f>D102+E102</f>
        <v>1338842.8999999999</v>
      </c>
      <c r="I102" s="90">
        <f>D102+E102-F102</f>
        <v>1267514.5</v>
      </c>
      <c r="J102" s="91">
        <f>B102/C102</f>
        <v>1.1265066277040091E-4</v>
      </c>
      <c r="K102" s="92">
        <f t="shared" ref="K102:Q102" si="326">$J102*C102</f>
        <v>4567.8</v>
      </c>
      <c r="L102" s="93">
        <f t="shared" si="326"/>
        <v>62.014764373485832</v>
      </c>
      <c r="M102" s="93">
        <f t="shared" si="326"/>
        <v>88.806775656959772</v>
      </c>
      <c r="N102" s="93">
        <f t="shared" si="326"/>
        <v>8.0351915343522631</v>
      </c>
      <c r="O102" s="93">
        <f t="shared" si="326"/>
        <v>192.13463855247645</v>
      </c>
      <c r="P102" s="93">
        <f t="shared" si="326"/>
        <v>150.82154003044559</v>
      </c>
      <c r="Q102" s="93">
        <f t="shared" si="326"/>
        <v>142.78634849609332</v>
      </c>
      <c r="R102" s="94">
        <f>L102/O102</f>
        <v>0.32276722636115485</v>
      </c>
      <c r="S102" s="174">
        <f>L102/K102</f>
        <v>1.3576506058383868E-2</v>
      </c>
      <c r="T102" s="94">
        <f>P102/O102</f>
        <v>0.78497839414444115</v>
      </c>
      <c r="U102" s="94">
        <f>Q102/O102</f>
        <v>0.74315776463750471</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2023-12-01T15:33:52Z</dcterms:modified>
</cp:coreProperties>
</file>