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3E65D7A5-597E-4A4A-AEEB-6E44F6B76B87}" xr6:coauthVersionLast="47" xr6:coauthVersionMax="47" xr10:uidLastSave="{00000000-0000-0000-0000-000000000000}"/>
  <bookViews>
    <workbookView xWindow="1380" yWindow="600" windowWidth="33800" windowHeight="2330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B216" i="4" l="1"/>
  <c r="P214" i="4"/>
  <c r="F91" i="2"/>
  <c r="E91" i="2"/>
  <c r="D91" i="2"/>
  <c r="C91" i="2"/>
  <c r="B91" i="2"/>
  <c r="H131" i="8"/>
  <c r="I131" i="8"/>
  <c r="J131" i="8"/>
  <c r="K131" i="8" s="1"/>
  <c r="P213" i="4"/>
  <c r="H130" i="8"/>
  <c r="I130" i="8"/>
  <c r="J130" i="8"/>
  <c r="K130" i="8" s="1"/>
  <c r="P212" i="4"/>
  <c r="H129" i="8"/>
  <c r="I129" i="8"/>
  <c r="Q129" i="8" s="1"/>
  <c r="J129" i="8"/>
  <c r="K129" i="8" s="1"/>
  <c r="O129" i="8"/>
  <c r="P129" i="8"/>
  <c r="P211" i="4"/>
  <c r="H128" i="8"/>
  <c r="I128" i="8"/>
  <c r="J128" i="8"/>
  <c r="K128" i="8" s="1"/>
  <c r="P210" i="4"/>
  <c r="D210" i="4"/>
  <c r="H127" i="8"/>
  <c r="I127" i="8"/>
  <c r="Q127" i="8" s="1"/>
  <c r="J127" i="8"/>
  <c r="L127" i="8" s="1"/>
  <c r="Q131" i="8" l="1"/>
  <c r="P131" i="8"/>
  <c r="O131" i="8"/>
  <c r="N131" i="8"/>
  <c r="M131" i="8"/>
  <c r="L131" i="8"/>
  <c r="Q130" i="8"/>
  <c r="P130" i="8"/>
  <c r="O130" i="8"/>
  <c r="N130" i="8"/>
  <c r="M130" i="8"/>
  <c r="L130" i="8"/>
  <c r="T129" i="8"/>
  <c r="U129" i="8"/>
  <c r="N129" i="8"/>
  <c r="M129" i="8"/>
  <c r="L129" i="8"/>
  <c r="Q128" i="8"/>
  <c r="P128" i="8"/>
  <c r="O128" i="8"/>
  <c r="N128" i="8"/>
  <c r="M128" i="8"/>
  <c r="L128" i="8"/>
  <c r="P127" i="8"/>
  <c r="O127" i="8"/>
  <c r="U127" i="8" s="1"/>
  <c r="N127" i="8"/>
  <c r="M127" i="8"/>
  <c r="K127" i="8"/>
  <c r="S127" i="8" s="1"/>
  <c r="R131" i="8" l="1"/>
  <c r="S131" i="8"/>
  <c r="T131" i="8"/>
  <c r="U131" i="8"/>
  <c r="T130" i="8"/>
  <c r="R130" i="8"/>
  <c r="S130" i="8"/>
  <c r="U130" i="8"/>
  <c r="S129" i="8"/>
  <c r="R129" i="8"/>
  <c r="T128" i="8"/>
  <c r="U128" i="8"/>
  <c r="R128" i="8"/>
  <c r="S128" i="8"/>
  <c r="R127" i="8"/>
  <c r="T127" i="8"/>
  <c r="C44" i="1" l="1"/>
  <c r="H45" i="1"/>
  <c r="H44" i="1" s="1"/>
  <c r="G29" i="1" l="1"/>
  <c r="J46" i="3"/>
  <c r="J45" i="3"/>
  <c r="J44" i="3"/>
  <c r="J43" i="3"/>
  <c r="G7" i="3"/>
  <c r="P209" i="4"/>
  <c r="H126" i="8"/>
  <c r="I126" i="8"/>
  <c r="J126" i="8"/>
  <c r="K126" i="8" s="1"/>
  <c r="N126" i="8"/>
  <c r="O126" i="8"/>
  <c r="P126" i="8"/>
  <c r="Q126" i="8"/>
  <c r="P208" i="4"/>
  <c r="H125" i="8"/>
  <c r="I125" i="8"/>
  <c r="J125" i="8"/>
  <c r="K125" i="8" s="1"/>
  <c r="P207" i="4"/>
  <c r="H124" i="8"/>
  <c r="I124" i="8"/>
  <c r="J124" i="8"/>
  <c r="K124" i="8" s="1"/>
  <c r="L124" i="8"/>
  <c r="M124" i="8"/>
  <c r="N124" i="8"/>
  <c r="O124" i="8"/>
  <c r="P124" i="8"/>
  <c r="Q124" i="8"/>
  <c r="U124" i="8" s="1"/>
  <c r="R124" i="8"/>
  <c r="U126" i="8" l="1"/>
  <c r="T126" i="8"/>
  <c r="L126" i="8"/>
  <c r="M126" i="8"/>
  <c r="Q125" i="8"/>
  <c r="P125" i="8"/>
  <c r="O125" i="8"/>
  <c r="N125" i="8"/>
  <c r="M125" i="8"/>
  <c r="L125" i="8"/>
  <c r="T124" i="8"/>
  <c r="S124" i="8"/>
  <c r="P206" i="4"/>
  <c r="H123" i="8"/>
  <c r="I123" i="8"/>
  <c r="J123" i="8"/>
  <c r="K123" i="8" s="1"/>
  <c r="N123" i="8"/>
  <c r="O123" i="8"/>
  <c r="P123" i="8"/>
  <c r="Q123" i="8"/>
  <c r="P205" i="4"/>
  <c r="H122" i="8"/>
  <c r="I122" i="8"/>
  <c r="J122" i="8"/>
  <c r="K122" i="8"/>
  <c r="L122" i="8"/>
  <c r="S122" i="8" s="1"/>
  <c r="M122" i="8"/>
  <c r="N122" i="8"/>
  <c r="O122" i="8"/>
  <c r="P122" i="8"/>
  <c r="T122" i="8" s="1"/>
  <c r="Q122" i="8"/>
  <c r="U122" i="8" s="1"/>
  <c r="R122" i="8"/>
  <c r="Q54" i="2"/>
  <c r="Q53" i="2"/>
  <c r="Q52" i="2"/>
  <c r="Q51" i="2"/>
  <c r="Q50" i="2"/>
  <c r="Q49" i="2"/>
  <c r="Q48" i="2"/>
  <c r="Q47" i="2"/>
  <c r="Q46" i="2"/>
  <c r="Q45" i="2"/>
  <c r="Q44" i="2"/>
  <c r="Q43" i="2"/>
  <c r="Q42" i="2"/>
  <c r="Q41" i="2"/>
  <c r="Q40" i="2"/>
  <c r="Q39" i="2"/>
  <c r="Q38" i="2"/>
  <c r="Q37" i="2"/>
  <c r="Q36" i="2"/>
  <c r="Q35" i="2"/>
  <c r="Q34" i="2"/>
  <c r="Q33" i="2"/>
  <c r="Q32" i="2"/>
  <c r="G10" i="1"/>
  <c r="P204" i="4"/>
  <c r="H121" i="8"/>
  <c r="I121" i="8"/>
  <c r="J121" i="8"/>
  <c r="K121" i="8" s="1"/>
  <c r="L121" i="8"/>
  <c r="M121" i="8"/>
  <c r="N121" i="8"/>
  <c r="O121" i="8"/>
  <c r="P121" i="8"/>
  <c r="T121" i="8" s="1"/>
  <c r="Q121" i="8"/>
  <c r="U121" i="8" s="1"/>
  <c r="R121" i="8"/>
  <c r="R126" i="8" l="1"/>
  <c r="S126" i="8"/>
  <c r="T125" i="8"/>
  <c r="U125" i="8"/>
  <c r="R125" i="8"/>
  <c r="S125" i="8"/>
  <c r="U123" i="8"/>
  <c r="T123" i="8"/>
  <c r="M123" i="8"/>
  <c r="L123" i="8"/>
  <c r="R123" i="8" s="1"/>
  <c r="S121" i="8"/>
  <c r="P203" i="4"/>
  <c r="H120" i="8"/>
  <c r="I120" i="8"/>
  <c r="J120" i="8"/>
  <c r="K120" i="8" s="1"/>
  <c r="C43" i="1"/>
  <c r="P202" i="4"/>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P201" i="4"/>
  <c r="H118" i="8"/>
  <c r="I118" i="8"/>
  <c r="J118" i="8"/>
  <c r="K118" i="8" s="1"/>
  <c r="E59" i="2"/>
  <c r="B79" i="2" s="1"/>
  <c r="P200" i="4"/>
  <c r="H117" i="8"/>
  <c r="I117" i="8"/>
  <c r="J117" i="8"/>
  <c r="K117" i="8" s="1"/>
  <c r="P199" i="4"/>
  <c r="H116" i="8"/>
  <c r="I116" i="8"/>
  <c r="Q116" i="8" s="1"/>
  <c r="J116" i="8"/>
  <c r="K116" i="8" s="1"/>
  <c r="M116" i="8"/>
  <c r="P116" i="8"/>
  <c r="G26" i="1"/>
  <c r="G25" i="1"/>
  <c r="G24" i="1"/>
  <c r="S123" i="8" l="1"/>
  <c r="Q120" i="8"/>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G22" i="1"/>
  <c r="I46" i="3"/>
  <c r="I45" i="3"/>
  <c r="I44" i="3"/>
  <c r="I43" i="3"/>
  <c r="H46" i="3"/>
  <c r="H45" i="3"/>
  <c r="H44" i="3"/>
  <c r="H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G9" i="3" l="1"/>
  <c r="G8" i="3"/>
  <c r="I102" i="8"/>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P176" i="4"/>
  <c r="D93" i="8"/>
  <c r="H93" i="8" s="1"/>
  <c r="I93" i="8"/>
  <c r="J93" i="8"/>
  <c r="P175" i="4"/>
  <c r="D92" i="8"/>
  <c r="H92" i="8" s="1"/>
  <c r="J92" i="8"/>
  <c r="P174" i="4"/>
  <c r="D91" i="8"/>
  <c r="H91" i="8" s="1"/>
  <c r="J91" i="8"/>
  <c r="N91" i="8" s="1"/>
  <c r="J42" i="3"/>
  <c r="J41" i="3"/>
  <c r="J40" i="3"/>
  <c r="J39" i="3"/>
  <c r="J38" i="3"/>
  <c r="J37" i="3"/>
  <c r="J36" i="3"/>
  <c r="J35" i="3"/>
  <c r="J34" i="3"/>
  <c r="J33" i="3"/>
  <c r="J32" i="3"/>
  <c r="J31" i="3"/>
  <c r="J30" i="3"/>
  <c r="J29" i="3"/>
  <c r="J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B33" i="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11" i="3" s="1"/>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7" i="1"/>
  <c r="H47"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F31" i="4"/>
  <c r="F32" i="4" s="1"/>
  <c r="F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M10" i="8" l="1"/>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5"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8"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H56" i="2"/>
  <c r="L56" i="2" s="1"/>
  <c r="G57" i="2"/>
  <c r="H57" i="2" s="1"/>
  <c r="G11" i="1" l="1"/>
  <c r="B35" i="1" s="1"/>
  <c r="B34" i="1" s="1"/>
  <c r="B7" i="1" l="1"/>
  <c r="G19" i="1" s="1"/>
  <c r="H34" i="1"/>
  <c r="C34" i="1" s="1"/>
  <c r="H49" i="1"/>
  <c r="B50" i="1"/>
  <c r="B49" i="1" s="1"/>
  <c r="G18" i="1" l="1"/>
  <c r="C49" i="1"/>
  <c r="D34" i="1"/>
  <c r="E34" i="1" s="1"/>
  <c r="D49" i="1" l="1"/>
  <c r="F34" i="1"/>
  <c r="E49" i="1" l="1"/>
  <c r="F49" i="1" s="1"/>
  <c r="G49" i="1" s="1"/>
  <c r="G34" i="1"/>
  <c r="G16" i="1" l="1"/>
  <c r="G17" i="1" l="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<sst xmlns="http://schemas.openxmlformats.org/spreadsheetml/2006/main" count="443" uniqueCount="306">
  <si>
    <t>Implied Risk Premium Calculator</t>
  </si>
  <si>
    <t>Expected Terminal Value =</t>
  </si>
  <si>
    <t>Present Value =</t>
  </si>
  <si>
    <t>Intrinsic Value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</si>
  <si>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</si>
  <si>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</si>
  <si>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</si>
  <si>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</si>
  <si>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</si>
  <si>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</si>
  <si>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</si>
  <si>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</si>
  <si>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</si>
  <si>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</si>
  <si>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</si>
  <si>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</si>
  <si>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</si>
  <si>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</si>
  <si>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</si>
  <si>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</si>
  <si>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</si>
  <si>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</si>
  <si>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</si>
  <si>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</si>
  <si>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</si>
  <si>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</si>
  <si>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</si>
  <si>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</si>
  <si>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</si>
  <si>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</si>
  <si>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</si>
  <si>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</si>
  <si>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</si>
  <si>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</si>
  <si>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</si>
  <si>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</si>
  <si>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</si>
  <si>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</si>
  <si>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</si>
  <si>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</si>
  <si>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</si>
  <si>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</si>
  <si>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</si>
  <si>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</si>
  <si>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</si>
  <si>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</si>
  <si>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</si>
  <si>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</si>
  <si>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</si>
  <si>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</si>
  <si>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</si>
  <si>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</si>
  <si>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</si>
  <si>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</si>
  <si>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</si>
  <si>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</si>
  <si>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</si>
  <si>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</si>
  <si>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</si>
  <si>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</si>
  <si>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</si>
  <si>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</si>
  <si>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</si>
  <si>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</si>
  <si>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</si>
  <si>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</si>
  <si>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</si>
  <si>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</si>
  <si>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</si>
  <si>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</si>
  <si>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</si>
  <si>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</si>
  <si>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</si>
  <si>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</si>
  <si>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</si>
  <si>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</si>
  <si>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</si>
  <si>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</si>
  <si>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</si>
  <si>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</si>
  <si>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</si>
  <si>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</si>
  <si>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</si>
  <si>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</si>
  <si>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</si>
  <si>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</si>
  <si>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</si>
  <si>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</si>
  <si>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</si>
  <si>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</si>
  <si>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</si>
  <si>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</si>
  <si>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</si>
  <si>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</si>
  <si>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</si>
  <si>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</si>
  <si>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</si>
  <si>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</si>
  <si>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</si>
  <si>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</si>
  <si>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</si>
  <si>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</si>
  <si>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</si>
  <si>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</si>
  <si>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</si>
  <si>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</si>
  <si>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</si>
  <si>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</si>
  <si>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</si>
  <si>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</si>
  <si>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</si>
  <si>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</si>
  <si>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</si>
  <si>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</si>
  <si>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</si>
  <si>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</si>
  <si>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</si>
  <si>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</si>
  <si>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</si>
  <si>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</si>
  <si>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</si>
  <si>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</si>
  <si>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</si>
  <si>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</si>
  <si>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</si>
  <si>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</si>
  <si>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</si>
  <si>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</si>
  <si>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</si>
  <si>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</si>
  <si>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</si>
  <si>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</si>
  <si>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</si>
  <si>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</si>
  <si>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</si>
  <si>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</si>
  <si>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</si>
  <si>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</si>
  <si>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</si>
  <si>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</si>
  <si>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</si>
  <si>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</si>
  <si>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</si>
  <si>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</si>
  <si>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</si>
  <si>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</si>
  <si>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</si>
  <si>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</si>
  <si>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</si>
  <si>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</si>
  <si>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</si>
  <si>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</si>
  <si>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</si>
  <si>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</si>
  <si>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</si>
  <si>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</si>
  <si>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</si>
  <si>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</si>
  <si>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</si>
  <si>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</si>
  <si>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</si>
  <si>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</si>
  <si>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</si>
  <si>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</si>
  <si>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</si>
  <si>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</si>
  <si>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</si>
  <si>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</si>
  <si>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</si>
  <si>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</si>
  <si>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</si>
  <si>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</si>
  <si>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</si>
  <si>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</si>
  <si>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</si>
  <si>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</si>
  <si>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</si>
  <si>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</si>
  <si>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</si>
  <si>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</si>
  <si>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</si>
  <si>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</si>
  <si>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</si>
  <si>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</si>
  <si>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</si>
  <si>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</si>
  <si>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</si>
  <si>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</si>
  <si>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</si>
  <si>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</si>
  <si>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</si>
  <si>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</si>
  <si>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</si>
  <si>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</si>
  <si>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</si>
  <si>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</si>
  <si>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</si>
  <si>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</si>
  <si>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</si>
  <si>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</si>
  <si>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</si>
  <si>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</si>
  <si>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</si>
  <si>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</si>
  <si>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</si>
  <si>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</si>
  <si>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</si>
  <si>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</si>
  <si>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</si>
  <si>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</si>
  <si>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</si>
  <si>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</si>
  <si>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</si>
  <si>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</si>
  <si>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</si>
  <si>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</si>
  <si>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IMPLIED P/E </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</si>
  <si>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</si>
  <si>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</si>
  <si>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</si>
  <si>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</si>
  <si>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</si>
  <si>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</si>
  <si>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</si>
  <si>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</si>
  <si>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</si>
  <si>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</si>
  <si>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</si>
  <si>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</si>
  <si>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Bank of America</t>
  </si>
  <si>
    <t>Goldman Sachs</t>
  </si>
  <si>
    <t>Morgan Stanley</t>
  </si>
  <si>
    <t>Barclays</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</si>
  <si>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</si>
  <si>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</si>
  <si>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</si>
  <si>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</si>
  <si>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</si>
  <si>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</si>
  <si>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</si>
  <si>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</si>
  <si>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</si>
  <si>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</si>
  <si>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</si>
  <si>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</si>
  <si>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</si>
  <si>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</si>
  <si>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</si>
  <si>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</si>
  <si>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</si>
  <si>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</si>
  <si>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</si>
  <si>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</si>
  <si>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</si>
  <si>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</si>
  <si>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</si>
  <si>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</si>
  <si>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</si>
  <si>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</si>
  <si>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</si>
  <si>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</si>
  <si>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</si>
  <si>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</si>
  <si>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</si>
  <si>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</si>
  <si>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Normally this would be updated this month but S&amp;P</t>
  </si>
  <si>
    <t>has not updated the buybacks for the last quarter.</t>
  </si>
  <si>
    <t>5648</t>
  </si>
  <si>
    <t>US T. Bond (10-year)</t>
  </si>
  <si>
    <t>US Small cap (bottom decile) Cum Value</t>
  </si>
  <si>
    <t>Hisotircal ERP</t>
  </si>
  <si>
    <t>CFRA</t>
  </si>
  <si>
    <t>JP Morgan Chase</t>
  </si>
  <si>
    <t>Oppenheimer</t>
  </si>
  <si>
    <t>RBC</t>
  </si>
  <si>
    <t>Well Fargo</t>
  </si>
  <si>
    <t>Updated April 1, 2025</t>
  </si>
  <si>
    <t>Buybacks Yield</t>
  </si>
  <si>
    <t>Enter current 10-year US treasury rate rate  =</t>
  </si>
  <si>
    <t>Default spread for Aa1 rating (US sovereign rating)</t>
  </si>
  <si>
    <t xml:space="preserve">Implied expected return on S&amp;P 500 </t>
  </si>
  <si>
    <t>1. In the set cell box, enter B54</t>
  </si>
  <si>
    <t>3. In "By changing cell" enter C45</t>
  </si>
  <si>
    <t>4. Click on OK and the answer should show up in C45</t>
  </si>
  <si>
    <t>$ Riskfree Rate</t>
  </si>
  <si>
    <t>ERP (T12m) with adj riskfree rate</t>
  </si>
  <si>
    <r>
      <t xml:space="preserve">Implied Equity Risk Premium (with </t>
    </r>
    <r>
      <rPr>
        <b/>
        <sz val="10"/>
        <rFont val="Times"/>
      </rPr>
      <t>default-risk adjusted US dollar riskfree rate</t>
    </r>
    <r>
      <rPr>
        <sz val="10"/>
        <rFont val="Times"/>
        <family val="1"/>
      </rPr>
      <t>)</t>
    </r>
  </si>
  <si>
    <r>
      <t xml:space="preserve">Implied Equity Risk Premium (with </t>
    </r>
    <r>
      <rPr>
        <b/>
        <sz val="10"/>
        <rFont val="Times"/>
      </rPr>
      <t>US treasury rate as riskfree rate</t>
    </r>
    <r>
      <rPr>
        <sz val="10"/>
        <rFont val="Times"/>
        <family val="1"/>
      </rPr>
      <t xml:space="preserve">) </t>
    </r>
  </si>
  <si>
    <t>175.51*</t>
  </si>
  <si>
    <r>
      <t>Updated growth,</t>
    </r>
    <r>
      <rPr>
        <b/>
        <sz val="10"/>
        <color rgb="FFFF0000"/>
        <rFont val="Geneva"/>
        <family val="2"/>
      </rPr>
      <t xml:space="preserve"> fixed error on normalized earnings</t>
    </r>
  </si>
  <si>
    <r>
      <rPr>
        <b/>
        <sz val="12"/>
        <rFont val="Calibri (Body)"/>
      </rPr>
      <t>May 2025 Rating effect</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</si>
  <si>
    <t>Updated January 1, 2026</t>
  </si>
  <si>
    <t>On 12/31/25</t>
  </si>
  <si>
    <t>Top Down Estimates (Yardeni on 12/25/25)</t>
  </si>
  <si>
    <t>2026 S&amp;P</t>
  </si>
  <si>
    <t>2026 EPS</t>
  </si>
  <si>
    <t>Societe Generale</t>
  </si>
  <si>
    <t>HSBC</t>
  </si>
  <si>
    <t>Capital Economics</t>
  </si>
  <si>
    <t>Earnings on index</t>
  </si>
  <si>
    <t>Growth Rate</t>
  </si>
  <si>
    <t>US 10-year treasury rate =</t>
  </si>
  <si>
    <t>Default-risk-adjusted US dollar riskfree rate</t>
  </si>
  <si>
    <t>Updated May 1, 2026</t>
  </si>
  <si>
    <t>Top-down Estimates (Analyst Consensus on 4/30/26)</t>
  </si>
  <si>
    <t>6,36%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</si>
</sst>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7">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
      <sz val="12"/>
      <name val="Times"/>
    </font>
    <font>
      <sz val="12"/>
      <color theme="0"/>
      <name val="Times"/>
    </font>
    <font>
      <sz val="12"/>
      <color theme="0"/>
      <name val="Times"/>
      <family val="1"/>
    </font>
    <font>
      <b/>
      <sz val="10"/>
      <name val="Times"/>
    </font>
    <font>
      <b/>
      <sz val="12"/>
      <color theme="0"/>
      <name val="Times"/>
      <family val="1"/>
    </font>
    <font>
      <sz val="12"/>
      <name val="Times New Roman"/>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
      <left/>
      <right/>
      <top style="medium">
        <color theme="0"/>
      </top>
      <bottom/>
      <diagonal/>
    </border>
    <border>
      <left style="thin">
        <color theme="1"/>
      </left>
      <right/>
      <top style="medium">
        <color theme="0"/>
      </top>
      <bottom/>
      <diagonal/>
    </border>
    <border>
      <left style="thin">
        <color theme="1"/>
      </left>
      <right/>
      <top/>
      <bottom style="thin">
        <color theme="1"/>
      </bottom>
      <diagonal/>
    </border>
    <border>
      <left/>
      <right/>
      <top/>
      <bottom style="thin">
        <color theme="1"/>
      </bottom>
      <diagonal/>
    </border>
    <border>
      <left/>
      <right style="thin">
        <color theme="1"/>
      </right>
      <top style="medium">
        <color theme="0"/>
      </top>
      <bottom/>
      <diagonal/>
    </border>
    <border>
      <left/>
      <right style="thin">
        <color theme="1"/>
      </right>
      <top/>
      <bottom style="thin">
        <color theme="1"/>
      </bottom>
      <diagonal/>
    </border>
    <border>
      <left/>
      <right style="thin">
        <color theme="0"/>
      </right>
      <top style="thin">
        <color theme="0"/>
      </top>
      <bottom style="thin">
        <color theme="0"/>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51">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7" xfId="0" applyFont="1" applyBorder="1" applyAlignment="1">
      <alignment horizontal="center" vertical="center"/>
    </xf>
    <xf numFmtId="1" fontId="26" fillId="0" borderId="7" xfId="0" applyNumberFormat="1" applyFont="1" applyBorder="1" applyAlignment="1">
      <alignment horizontal="center" vertical="center"/>
    </xf>
    <xf numFmtId="1" fontId="26" fillId="0" borderId="7" xfId="0" applyNumberFormat="1" applyFont="1" applyBorder="1" applyAlignment="1">
      <alignment horizontal="center"/>
    </xf>
    <xf numFmtId="0" fontId="26" fillId="0" borderId="7"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2" xfId="0" applyFont="1" applyBorder="1" applyAlignment="1">
      <alignment horizontal="center" vertical="center"/>
    </xf>
    <xf numFmtId="0" fontId="27" fillId="0" borderId="3" xfId="0" applyFont="1" applyBorder="1" applyAlignment="1">
      <alignment horizontal="center" vertical="center"/>
    </xf>
    <xf numFmtId="10" fontId="27" fillId="0" borderId="13" xfId="0" applyNumberFormat="1" applyFont="1" applyBorder="1" applyAlignment="1">
      <alignment horizontal="center" vertical="center"/>
    </xf>
    <xf numFmtId="0" fontId="26" fillId="0" borderId="14" xfId="0" applyFont="1" applyBorder="1" applyAlignment="1">
      <alignment horizontal="center"/>
    </xf>
    <xf numFmtId="10" fontId="26" fillId="0" borderId="6" xfId="0" applyNumberFormat="1" applyFont="1" applyBorder="1" applyAlignment="1">
      <alignment horizontal="center"/>
    </xf>
    <xf numFmtId="10" fontId="26" fillId="0" borderId="10" xfId="0" applyNumberFormat="1" applyFont="1" applyBorder="1" applyAlignment="1">
      <alignment horizontal="center"/>
    </xf>
    <xf numFmtId="10" fontId="26" fillId="0" borderId="6"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6"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6" xfId="0" applyFont="1" applyFill="1" applyBorder="1" applyAlignment="1">
      <alignment horizontal="center"/>
    </xf>
    <xf numFmtId="44" fontId="6" fillId="7" borderId="6" xfId="2" applyFont="1" applyFill="1" applyBorder="1" applyAlignment="1">
      <alignment horizontal="center"/>
    </xf>
    <xf numFmtId="0" fontId="6" fillId="0" borderId="6"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6"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6" xfId="2" applyNumberFormat="1" applyFont="1" applyFill="1" applyBorder="1" applyAlignment="1">
      <alignment horizontal="center"/>
    </xf>
    <xf numFmtId="0" fontId="0" fillId="9" borderId="1" xfId="0" applyFill="1" applyBorder="1"/>
    <xf numFmtId="0" fontId="25" fillId="0" borderId="13" xfId="0" applyFont="1" applyBorder="1" applyAlignment="1">
      <alignment horizontal="center" wrapText="1"/>
    </xf>
    <xf numFmtId="0" fontId="49" fillId="8" borderId="19" xfId="0" applyFont="1" applyFill="1" applyBorder="1" applyAlignment="1">
      <alignment horizontal="center" wrapText="1"/>
    </xf>
    <xf numFmtId="0" fontId="25" fillId="0" borderId="12" xfId="0" applyFont="1" applyBorder="1" applyAlignment="1">
      <alignment horizontal="center" wrapText="1"/>
    </xf>
    <xf numFmtId="0" fontId="50" fillId="0" borderId="19"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19" xfId="0" applyNumberFormat="1" applyFont="1" applyFill="1" applyBorder="1" applyAlignment="1">
      <alignment horizontal="center"/>
    </xf>
    <xf numFmtId="44" fontId="22" fillId="0" borderId="7" xfId="2" applyFont="1" applyBorder="1" applyAlignment="1">
      <alignment horizontal="center"/>
    </xf>
    <xf numFmtId="44" fontId="22" fillId="0" borderId="14" xfId="2" applyFont="1" applyBorder="1" applyAlignment="1">
      <alignment horizontal="center"/>
    </xf>
    <xf numFmtId="44" fontId="22" fillId="0" borderId="20" xfId="2" applyFont="1" applyBorder="1" applyAlignment="1">
      <alignment horizontal="center"/>
    </xf>
    <xf numFmtId="0" fontId="22" fillId="0" borderId="10" xfId="0" applyFont="1" applyBorder="1" applyAlignment="1">
      <alignment horizontal="center"/>
    </xf>
    <xf numFmtId="10" fontId="22" fillId="0" borderId="3" xfId="2" applyNumberFormat="1" applyFont="1" applyBorder="1" applyAlignment="1">
      <alignment horizontal="center"/>
    </xf>
    <xf numFmtId="10" fontId="22" fillId="0" borderId="6" xfId="2" applyNumberFormat="1" applyFont="1" applyBorder="1" applyAlignment="1">
      <alignment horizontal="center"/>
    </xf>
    <xf numFmtId="10" fontId="22" fillId="0" borderId="13" xfId="2" applyNumberFormat="1" applyFont="1" applyBorder="1" applyAlignment="1">
      <alignment horizontal="center"/>
    </xf>
    <xf numFmtId="10" fontId="22" fillId="0" borderId="5" xfId="2" applyNumberFormat="1" applyFont="1" applyBorder="1" applyAlignment="1">
      <alignment horizontal="center"/>
    </xf>
    <xf numFmtId="10" fontId="22" fillId="0" borderId="10" xfId="2" applyNumberFormat="1" applyFont="1" applyBorder="1" applyAlignment="1">
      <alignment horizontal="center"/>
    </xf>
    <xf numFmtId="1" fontId="0" fillId="0" borderId="0" xfId="4" applyNumberFormat="1" applyFont="1" applyAlignment="1">
      <alignment horizontal="center"/>
    </xf>
    <xf numFmtId="1" fontId="26" fillId="0" borderId="14" xfId="0" applyNumberFormat="1" applyFont="1" applyBorder="1" applyAlignment="1">
      <alignment horizontal="center"/>
    </xf>
    <xf numFmtId="1" fontId="0" fillId="0" borderId="0" xfId="0" applyNumberFormat="1" applyAlignment="1">
      <alignment horizontal="center" wrapText="1"/>
    </xf>
    <xf numFmtId="0" fontId="9" fillId="0" borderId="0" xfId="0" applyFont="1" applyAlignment="1">
      <alignment horizontal="center"/>
    </xf>
    <xf numFmtId="2" fontId="23" fillId="0" borderId="0" xfId="0" applyNumberFormat="1" applyFont="1"/>
    <xf numFmtId="0" fontId="45" fillId="0" borderId="0" xfId="0" applyFont="1" applyAlignment="1">
      <alignment horizontal="left"/>
    </xf>
    <xf numFmtId="10" fontId="51" fillId="0" borderId="21" xfId="0" applyNumberFormat="1" applyFont="1" applyBorder="1" applyAlignment="1">
      <alignment horizontal="center"/>
    </xf>
    <xf numFmtId="10" fontId="52" fillId="8" borderId="19" xfId="0" applyNumberFormat="1" applyFont="1" applyFill="1" applyBorder="1" applyAlignment="1">
      <alignment horizontal="center"/>
    </xf>
    <xf numFmtId="10" fontId="53" fillId="8" borderId="19" xfId="0" applyNumberFormat="1" applyFont="1" applyFill="1" applyBorder="1" applyAlignment="1">
      <alignment horizontal="center"/>
    </xf>
    <xf numFmtId="10" fontId="0" fillId="0" borderId="0" xfId="4" applyNumberFormat="1" applyFont="1" applyAlignment="1">
      <alignment horizontal="center" wrapText="1"/>
    </xf>
    <xf numFmtId="10" fontId="47" fillId="0" borderId="18" xfId="4" applyNumberFormat="1" applyFont="1" applyBorder="1" applyAlignment="1">
      <alignment horizontal="center"/>
    </xf>
    <xf numFmtId="10" fontId="47" fillId="0" borderId="0" xfId="4" applyNumberFormat="1" applyFont="1" applyAlignment="1">
      <alignment horizontal="center"/>
    </xf>
    <xf numFmtId="17" fontId="0" fillId="0" borderId="0" xfId="0" applyNumberFormat="1" applyAlignment="1">
      <alignment horizontal="center"/>
    </xf>
    <xf numFmtId="14" fontId="46" fillId="2" borderId="3" xfId="0" applyNumberFormat="1" applyFont="1" applyFill="1" applyBorder="1" applyAlignment="1">
      <alignment horizontal="center" vertical="top" wrapText="1"/>
    </xf>
    <xf numFmtId="0" fontId="0" fillId="0" borderId="7" xfId="0" applyBorder="1"/>
    <xf numFmtId="0" fontId="0" fillId="2" borderId="7" xfId="0" applyFill="1" applyBorder="1"/>
    <xf numFmtId="10" fontId="0" fillId="7" borderId="1" xfId="0" applyNumberFormat="1" applyFill="1" applyBorder="1" applyAlignment="1">
      <alignment horizontal="center"/>
    </xf>
    <xf numFmtId="10" fontId="55" fillId="8" borderId="28" xfId="0" applyNumberFormat="1" applyFont="1" applyFill="1" applyBorder="1"/>
    <xf numFmtId="0" fontId="56" fillId="0" borderId="5" xfId="0" applyFont="1" applyBorder="1" applyAlignment="1">
      <alignment horizontal="left"/>
    </xf>
    <xf numFmtId="0" fontId="9" fillId="0" borderId="4" xfId="0" applyFont="1" applyBorder="1" applyAlignment="1">
      <alignment horizontal="center"/>
    </xf>
    <xf numFmtId="0" fontId="9" fillId="0" borderId="7" xfId="0" applyFont="1" applyBorder="1"/>
    <xf numFmtId="0" fontId="7" fillId="0" borderId="4" xfId="0" applyFont="1" applyBorder="1"/>
    <xf numFmtId="0" fontId="7" fillId="0" borderId="7" xfId="0" applyFont="1" applyBorder="1"/>
    <xf numFmtId="0" fontId="9" fillId="0" borderId="8" xfId="0" applyFont="1" applyBorder="1" applyAlignment="1">
      <alignment horizontal="center"/>
    </xf>
    <xf numFmtId="0" fontId="9" fillId="0" borderId="15" xfId="0" applyFont="1" applyBorder="1" applyAlignment="1">
      <alignment horizontal="center"/>
    </xf>
    <xf numFmtId="0" fontId="9" fillId="0" borderId="11" xfId="0" applyFont="1" applyBorder="1" applyAlignment="1">
      <alignment horizontal="center"/>
    </xf>
    <xf numFmtId="0" fontId="9" fillId="0" borderId="16" xfId="0" applyFont="1" applyBorder="1" applyAlignment="1">
      <alignment horizontal="center"/>
    </xf>
    <xf numFmtId="0" fontId="9" fillId="0" borderId="17" xfId="0" applyFont="1" applyBorder="1" applyAlignment="1">
      <alignment horizontal="center"/>
    </xf>
    <xf numFmtId="0" fontId="9" fillId="0" borderId="0" xfId="0" applyFont="1" applyAlignment="1">
      <alignment horizontal="center"/>
    </xf>
    <xf numFmtId="0" fontId="33" fillId="7" borderId="23" xfId="0" applyFont="1" applyFill="1" applyBorder="1" applyAlignment="1">
      <alignment horizontal="left" vertical="top" wrapText="1"/>
    </xf>
    <xf numFmtId="0" fontId="16" fillId="7" borderId="22" xfId="0" applyFont="1" applyFill="1" applyBorder="1" applyAlignment="1">
      <alignment horizontal="left" vertical="top" wrapText="1"/>
    </xf>
    <xf numFmtId="0" fontId="16" fillId="7" borderId="26" xfId="0" applyFont="1" applyFill="1" applyBorder="1" applyAlignment="1">
      <alignment horizontal="left" vertical="top" wrapText="1"/>
    </xf>
    <xf numFmtId="0" fontId="16" fillId="7" borderId="24" xfId="0" applyFont="1" applyFill="1" applyBorder="1" applyAlignment="1">
      <alignment horizontal="left" vertical="top" wrapText="1"/>
    </xf>
    <xf numFmtId="0" fontId="16" fillId="7" borderId="25" xfId="0" applyFont="1" applyFill="1" applyBorder="1" applyAlignment="1">
      <alignment horizontal="left" vertical="top" wrapText="1"/>
    </xf>
    <xf numFmtId="0" fontId="16" fillId="7" borderId="27"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1" defaultTableStyle="TableStyleMedium9" defaultPivotStyle="PivotStyleMedium4">
    <tableStyle name="Table Style 1" pivot="0" count="0" xr9:uid="{D6C8AF58-2351-6F4B-84F3-39B05716F92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18</xdr:row>
      <xdr:rowOff>39687</xdr:rowOff>
    </xdr:from>
    <xdr:to>
      <xdr:col>5</xdr:col>
      <xdr:colOff>771525</xdr:colOff>
      <xdr:row>39</xdr:row>
      <xdr:rowOff>195151</xdr:rowOff>
    </xdr:to>
    <xdr:pic>
      <xdr:nvPicPr>
        <xdr:cNvPr id="4" name="Picture 3">
          <a:extLst>
            <a:ext uri="{FF2B5EF4-FFF2-40B4-BE49-F238E27FC236}">
              <a16:creationId xmlns:a16="http://schemas.microsoft.com/office/drawing/2014/main" id="{5EB3BA0C-5A8E-62B0-5491-71E1365103FA}"/>
            </a:ext>
          </a:extLst>
        </xdr:cNvPr>
        <xdr:cNvPicPr>
          <a:picLocks noChangeAspect="1"/>
        </xdr:cNvPicPr>
      </xdr:nvPicPr>
      <xdr:blipFill>
        <a:blip xmlns:r="http://schemas.openxmlformats.org/officeDocument/2006/relationships" r:embed="rId2"/>
        <a:stretch>
          <a:fillRect/>
        </a:stretch>
      </xdr:blipFill>
      <xdr:spPr>
        <a:xfrm>
          <a:off x="0" y="3246437"/>
          <a:ext cx="7772400" cy="42988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82">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1"/>
    <tableColumn id="8" xr3:uid="{00000000-0010-0000-0000-000008000000}" name="Return on Equity" dataDxfId="80"/>
    <tableColumn id="9" xr3:uid="{00000000-0010-0000-0000-000009000000}" name="Net Profit Margin" dataDxfId="79"/>
    <tableColumn id="10" xr3:uid="{00000000-0010-0000-0000-00000A000000}" name="Column1" dataDxfId="78"/>
    <tableColumn id="5" xr3:uid="{7DF5D73E-55E3-8645-8627-1D880972964D}" name="Column2" dataDxfId="7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6" headerRowBorderDxfId="75" tableBorderDxfId="74" totalsRowBorderDxfId="73">
  <autoFilter ref="A1:E66" xr:uid="{00000000-0009-0000-0100-0000A8000000}"/>
  <tableColumns count="5">
    <tableColumn id="1" xr3:uid="{00000000-0010-0000-0200-000001000000}" name="Year" dataDxfId="72"/>
    <tableColumn id="2" xr3:uid="{00000000-0010-0000-0200-000002000000}" name="Earnings Yield" dataDxfId="71"/>
    <tableColumn id="3" xr3:uid="{00000000-0010-0000-0200-000003000000}" name="Dividend Yield" dataDxfId="70" dataCellStyle="Percent"/>
    <tableColumn id="4" xr3:uid="{00000000-0010-0000-0200-000004000000}" name="T.Bond Rate" dataDxfId="69"/>
    <tableColumn id="5" xr3:uid="{00000000-0010-0000-0200-000005000000}" name="Implied ERP" dataDxfId="6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7" dataDxfId="66" totalsRowDxfId="65">
  <autoFilter ref="A1:P193" xr:uid="{00000000-0009-0000-0100-0000A7000000}"/>
  <tableColumns count="16">
    <tableColumn id="1" xr3:uid="{00000000-0010-0000-0100-000001000000}" name="Start of month" totalsRowLabel="1-Sep-24" dataDxfId="64" totalsRowDxfId="63"/>
    <tableColumn id="2" xr3:uid="{00000000-0010-0000-0100-000002000000}" name="S&amp;P 500" totalsRowLabel="5648" dataDxfId="62" totalsRowDxfId="61"/>
    <tableColumn id="3" xr3:uid="{00000000-0010-0000-0100-000003000000}" name="T.Bond Rate" totalsRowLabel="3.90%" dataDxfId="60" totalsRowDxfId="59"/>
    <tableColumn id="15" xr3:uid="{128366A2-48BE-8A43-A349-9166AF59DE8B}" name="$ Riskfree Rate" dataDxfId="58" totalsRowDxfId="57"/>
    <tableColumn id="4" xr3:uid="{00000000-0010-0000-0100-000004000000}" name="Ten-year average CF" totalsRowLabel="242.42" dataDxfId="56" totalsRowDxfId="55"/>
    <tableColumn id="5" xr3:uid="{00000000-0010-0000-0100-000005000000}" name="CF (Trailing 12 month)" totalsRowLabel="167.90" dataDxfId="54" totalsRowDxfId="53"/>
    <tableColumn id="6" xr3:uid="{00000000-0010-0000-0100-000006000000}" name="Normalized CF" totalsRowLabel="159.65" dataDxfId="52" totalsRowDxfId="51"/>
    <tableColumn id="7" xr3:uid="{00000000-0010-0000-0100-000007000000}" name="Expected growth rate" totalsRowLabel="8.82%" dataDxfId="50" totalsRowDxfId="49"/>
    <tableColumn id="8" xr3:uid="{00000000-0010-0000-0100-000008000000}" name="ERP (T12 m with sustainable payout)" totalsRowLabel="4.05%" dataDxfId="48" totalsRowDxfId="47"/>
    <tableColumn id="9" xr3:uid="{00000000-0010-0000-0100-000009000000}" name="ERP (T12m)" totalsRowLabel="4.06%" dataDxfId="46" totalsRowDxfId="45"/>
    <tableColumn id="16" xr3:uid="{9290281E-9607-8940-AAC2-D1370902185C}" name="ERP (T12m) with adj riskfree rate"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dataCellStyle="Percent" totalsRowCellStyle="Percent">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31" totalsRowShown="0" dataDxfId="16" dataCellStyle="Percent">
  <autoFilter ref="A3:U131"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abSelected="1" zoomScale="125" workbookViewId="0">
      <selection activeCell="B6" sqref="B6"/>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41" t="s">
        <v>290</v>
      </c>
      <c r="C1" s="242"/>
      <c r="D1" s="242"/>
      <c r="E1" s="242"/>
      <c r="F1" s="242"/>
      <c r="G1" s="242"/>
      <c r="H1" s="242"/>
      <c r="I1" s="242"/>
      <c r="J1" s="243"/>
      <c r="M1" s="59"/>
    </row>
    <row r="2" spans="1:13" s="49" customFormat="1" ht="33" customHeight="1">
      <c r="A2" s="4" t="s">
        <v>49</v>
      </c>
      <c r="B2" s="244"/>
      <c r="C2" s="245"/>
      <c r="D2" s="245"/>
      <c r="E2" s="245"/>
      <c r="F2" s="245"/>
      <c r="G2" s="245"/>
      <c r="H2" s="245"/>
      <c r="I2" s="245"/>
      <c r="J2" s="246"/>
    </row>
    <row r="3" spans="1:13" s="49" customFormat="1" ht="16" customHeight="1">
      <c r="A3" s="189" t="s">
        <v>241</v>
      </c>
      <c r="B3" s="225" t="s">
        <v>246</v>
      </c>
      <c r="C3" s="193"/>
      <c r="D3" s="192"/>
      <c r="E3" s="192"/>
      <c r="F3" s="192"/>
      <c r="G3" s="192"/>
      <c r="H3" s="192"/>
      <c r="I3" s="192"/>
      <c r="J3" s="192"/>
    </row>
    <row r="4" spans="1:13" s="49" customFormat="1" ht="17" customHeight="1">
      <c r="A4" s="2" t="s">
        <v>167</v>
      </c>
      <c r="B4" s="191" t="s">
        <v>217</v>
      </c>
      <c r="D4" s="67" t="s">
        <v>165</v>
      </c>
      <c r="H4"/>
    </row>
    <row r="5" spans="1:13" s="4" customFormat="1" ht="13">
      <c r="A5" s="2" t="s">
        <v>38</v>
      </c>
      <c r="B5" s="22">
        <v>7209.01</v>
      </c>
      <c r="D5" s="2" t="s">
        <v>15</v>
      </c>
      <c r="G5" s="51">
        <f>'Buyback &amp; Dividend computation'!G56</f>
        <v>198.98589863079704</v>
      </c>
      <c r="H5" s="33" t="s">
        <v>36</v>
      </c>
      <c r="I5" s="56" t="s">
        <v>179</v>
      </c>
    </row>
    <row r="6" spans="1:13" s="4" customFormat="1" ht="13">
      <c r="A6" s="2" t="s">
        <v>50</v>
      </c>
      <c r="B6" s="55" t="s">
        <v>123</v>
      </c>
      <c r="D6" s="2" t="s">
        <v>26</v>
      </c>
      <c r="G6" s="51">
        <f>'Buyback &amp; Dividend computation'!D26*'Buyback &amp; Dividend computation'!D29</f>
        <v>292.878744325036</v>
      </c>
      <c r="H6" s="33" t="s">
        <v>34</v>
      </c>
      <c r="I6" s="56" t="s">
        <v>180</v>
      </c>
    </row>
    <row r="7" spans="1:13" s="4" customFormat="1" ht="13">
      <c r="A7" s="151" t="s">
        <v>24</v>
      </c>
      <c r="B7" s="26">
        <f>IF(B6="C",G5/B5,IF(B6="A10",G6/B5,IF(B6="A5",G7/B5,IF(B6="P10",G8/B5,IF(B6="p5",G9/B5,IF(B6="NC",G11/B5,G10/B5))))))</f>
        <v>2.625398286448825E-2</v>
      </c>
      <c r="C7" s="2"/>
      <c r="D7" s="50" t="s">
        <v>28</v>
      </c>
      <c r="G7" s="51">
        <f>'Buyback &amp; Dividend computation'!D27*'Buyback &amp; Dividend computation'!D29</f>
        <v>246.58342150892437</v>
      </c>
      <c r="H7" s="33" t="s">
        <v>37</v>
      </c>
      <c r="I7" s="56" t="s">
        <v>181</v>
      </c>
    </row>
    <row r="8" spans="1:13" s="4" customFormat="1" ht="13">
      <c r="A8" s="2" t="s">
        <v>66</v>
      </c>
      <c r="B8" s="54" t="s">
        <v>63</v>
      </c>
      <c r="C8" s="2"/>
      <c r="D8" s="2" t="s">
        <v>51</v>
      </c>
      <c r="G8" s="51">
        <f>'Buyback &amp; Dividend computation'!E26*'Buyback &amp; Dividend computation'!C56</f>
        <v>230.36973439327068</v>
      </c>
      <c r="H8" s="33" t="s">
        <v>53</v>
      </c>
      <c r="I8" s="56" t="s">
        <v>182</v>
      </c>
    </row>
    <row r="9" spans="1:13" s="4" customFormat="1" ht="13">
      <c r="A9" s="2" t="s">
        <v>67</v>
      </c>
      <c r="B9" s="26">
        <f>IF(B8="H",G15,IF(B8="BU",G16,IF(B8="TD",G17,IF(B8="FC",G18,G19))))</f>
        <v>0.12239693569012045</v>
      </c>
      <c r="D9" s="2" t="s">
        <v>52</v>
      </c>
      <c r="G9" s="51">
        <f>'Buyback &amp; Dividend computation'!E27*'Buyback &amp; Dividend computation'!C56</f>
        <v>210.63818676684392</v>
      </c>
      <c r="H9" s="33" t="s">
        <v>54</v>
      </c>
      <c r="I9" s="56" t="s">
        <v>183</v>
      </c>
    </row>
    <row r="10" spans="1:13" s="4" customFormat="1" ht="13">
      <c r="A10" s="2" t="s">
        <v>278</v>
      </c>
      <c r="B10" s="24">
        <v>4.3999999999999997E-2</v>
      </c>
      <c r="D10" s="2" t="s">
        <v>99</v>
      </c>
      <c r="G10" s="51">
        <f>'Buyback &amp; Dividend computation'!E26*AVERAGE('Buyback &amp; Dividend computation'!Q46:Q55)</f>
        <v>169.70618983898203</v>
      </c>
      <c r="H10" s="33" t="s">
        <v>91</v>
      </c>
      <c r="I10" s="56" t="s">
        <v>184</v>
      </c>
    </row>
    <row r="11" spans="1:13" s="4" customFormat="1" ht="13">
      <c r="A11" s="2" t="s">
        <v>86</v>
      </c>
      <c r="B11" s="54" t="s">
        <v>84</v>
      </c>
      <c r="D11" s="2" t="s">
        <v>122</v>
      </c>
      <c r="G11" s="51">
        <f>'Buyback &amp; Dividend computation'!H56</f>
        <v>189.26522500992445</v>
      </c>
      <c r="H11" s="33" t="s">
        <v>123</v>
      </c>
      <c r="I11" s="56" t="s">
        <v>185</v>
      </c>
    </row>
    <row r="12" spans="1:13" s="4" customFormat="1" ht="13">
      <c r="A12" s="2" t="s">
        <v>279</v>
      </c>
      <c r="B12" s="54">
        <v>2.5999999999999999E-3</v>
      </c>
      <c r="D12" s="2"/>
      <c r="G12" s="216"/>
      <c r="I12" s="56"/>
    </row>
    <row r="13" spans="1:13" s="4" customFormat="1" ht="16">
      <c r="A13" s="2" t="s">
        <v>85</v>
      </c>
      <c r="B13" s="25">
        <v>4.2500000000000003E-2</v>
      </c>
      <c r="D13" s="67"/>
      <c r="E13" s="2"/>
      <c r="F13" s="2"/>
      <c r="G13" s="2"/>
      <c r="H13" s="2"/>
    </row>
    <row r="14" spans="1:13" s="4" customFormat="1" ht="16">
      <c r="A14" s="2" t="s">
        <v>235</v>
      </c>
      <c r="B14" s="169" t="s">
        <v>160</v>
      </c>
      <c r="D14" s="67" t="s">
        <v>55</v>
      </c>
      <c r="E14" s="2"/>
      <c r="F14" s="2"/>
      <c r="G14" s="2"/>
      <c r="H14" s="2"/>
    </row>
    <row r="15" spans="1:13" s="2" customFormat="1" ht="13">
      <c r="A15" s="2" t="s">
        <v>234</v>
      </c>
      <c r="B15" s="23">
        <v>0.03</v>
      </c>
      <c r="D15" s="2" t="s">
        <v>56</v>
      </c>
      <c r="E15" s="4"/>
      <c r="F15" s="4"/>
      <c r="G15" s="52">
        <f>('Buyback &amp; Dividend computation'!C56/'Buyback &amp; Dividend computation'!C42)^(1/10)-1</f>
        <v>0.10237601709565469</v>
      </c>
      <c r="H15" s="33" t="s">
        <v>61</v>
      </c>
    </row>
    <row r="16" spans="1:13" s="4" customFormat="1" ht="13">
      <c r="A16" s="2" t="s">
        <v>158</v>
      </c>
      <c r="B16" s="55" t="s">
        <v>160</v>
      </c>
      <c r="D16" s="2" t="s">
        <v>57</v>
      </c>
      <c r="G16" s="53">
        <f>'Expected growth rate'!L11</f>
        <v>0</v>
      </c>
      <c r="H16" s="33" t="s">
        <v>62</v>
      </c>
    </row>
    <row r="17" spans="1:9" s="4" customFormat="1" ht="13">
      <c r="A17" s="4" t="s">
        <v>89</v>
      </c>
      <c r="D17" s="2" t="s">
        <v>58</v>
      </c>
      <c r="G17" s="53">
        <f>'Expected growth rate'!G11</f>
        <v>0.12239693569012045</v>
      </c>
      <c r="H17" s="33" t="s">
        <v>63</v>
      </c>
    </row>
    <row r="18" spans="1:9" s="4" customFormat="1">
      <c r="A18" s="2" t="s">
        <v>169</v>
      </c>
      <c r="B18"/>
      <c r="D18" s="2" t="s">
        <v>59</v>
      </c>
      <c r="G18" s="52">
        <f>(1-((B7*B5)/B33))*'Buyback &amp; Dividend computation'!$F18</f>
        <v>4.8954746161947019E-2</v>
      </c>
      <c r="H18" s="33" t="s">
        <v>64</v>
      </c>
    </row>
    <row r="19" spans="1:9" s="4" customFormat="1">
      <c r="A19" s="2" t="s">
        <v>170</v>
      </c>
      <c r="B19"/>
      <c r="D19" s="2" t="s">
        <v>60</v>
      </c>
      <c r="G19" s="52">
        <f>(1-((B7*B5)/B33))*'Buyback &amp; Dividend computation'!$F26</f>
        <v>5.4445200223122277E-2</v>
      </c>
      <c r="H19" s="33" t="s">
        <v>65</v>
      </c>
    </row>
    <row r="20" spans="1:9" s="4" customFormat="1" ht="13">
      <c r="A20" s="2" t="s">
        <v>171</v>
      </c>
    </row>
    <row r="21" spans="1:9" s="4" customFormat="1" ht="16">
      <c r="A21" s="2" t="s">
        <v>219</v>
      </c>
      <c r="D21" s="67" t="s">
        <v>88</v>
      </c>
    </row>
    <row r="22" spans="1:9" s="4" customFormat="1" ht="13">
      <c r="A22" s="56" t="s">
        <v>90</v>
      </c>
      <c r="D22" s="2" t="s">
        <v>68</v>
      </c>
      <c r="G22" s="60">
        <f>'Historical ERP'!K98</f>
        <v>5.4394706565341622E-2</v>
      </c>
      <c r="H22" s="33" t="s">
        <v>82</v>
      </c>
      <c r="I22" s="66"/>
    </row>
    <row r="23" spans="1:9" s="4" customFormat="1" ht="16">
      <c r="A23" s="2" t="s">
        <v>281</v>
      </c>
      <c r="D23" s="2" t="s">
        <v>69</v>
      </c>
      <c r="E23" s="8"/>
      <c r="F23" s="8"/>
      <c r="G23" s="60">
        <v>3.2000000000000001E-2</v>
      </c>
      <c r="H23" s="33" t="s">
        <v>83</v>
      </c>
    </row>
    <row r="24" spans="1:9" s="8" customFormat="1" ht="16">
      <c r="A24" s="2" t="s">
        <v>94</v>
      </c>
      <c r="B24" s="4"/>
      <c r="C24" s="66"/>
      <c r="D24" s="2" t="s">
        <v>70</v>
      </c>
      <c r="E24" s="4"/>
      <c r="F24" s="4"/>
      <c r="G24" s="60">
        <f>AVERAGE('Implied ERP- Annual since 1960'!E57:E66)</f>
        <v>5.1879999999999996E-2</v>
      </c>
      <c r="H24" s="33" t="s">
        <v>84</v>
      </c>
    </row>
    <row r="25" spans="1:9" s="4" customFormat="1" ht="13">
      <c r="A25" s="2" t="s">
        <v>282</v>
      </c>
      <c r="D25" s="2" t="s">
        <v>71</v>
      </c>
      <c r="G25" s="60">
        <f>AVERAGE('Implied ERP- Annual since 1960'!E3:E66)</f>
        <v>4.2479687500000009E-2</v>
      </c>
      <c r="H25" s="33" t="s">
        <v>113</v>
      </c>
    </row>
    <row r="26" spans="1:9" s="4" customFormat="1" ht="13">
      <c r="A26" s="2" t="s">
        <v>283</v>
      </c>
      <c r="D26" s="2" t="s">
        <v>111</v>
      </c>
      <c r="G26" s="60">
        <f>MAX('Implied ERP- Annual since 1960'!E3:E66)</f>
        <v>6.4500000000000002E-2</v>
      </c>
      <c r="H26" s="4" t="s">
        <v>112</v>
      </c>
    </row>
    <row r="27" spans="1:9" s="4" customFormat="1" ht="16">
      <c r="A27" s="2"/>
      <c r="D27" s="67" t="s">
        <v>166</v>
      </c>
      <c r="G27" s="135"/>
    </row>
    <row r="28" spans="1:9" s="4" customFormat="1" ht="13">
      <c r="A28" s="2"/>
      <c r="D28" s="2" t="s">
        <v>174</v>
      </c>
      <c r="G28" s="157">
        <f>'Buyback &amp; Dividend computation'!C56</f>
        <v>255.59641893384909</v>
      </c>
      <c r="H28" s="4" t="s">
        <v>218</v>
      </c>
    </row>
    <row r="29" spans="1:9" s="4" customFormat="1" ht="13">
      <c r="D29" s="2" t="s">
        <v>213</v>
      </c>
      <c r="G29" s="152">
        <f>'Expected growth rate'!H5</f>
        <v>271.29000000000002</v>
      </c>
      <c r="H29" s="4" t="s">
        <v>217</v>
      </c>
    </row>
    <row r="30" spans="1:9" s="4" customFormat="1">
      <c r="A30"/>
      <c r="B30"/>
      <c r="D30"/>
      <c r="E30"/>
      <c r="F30"/>
    </row>
    <row r="31" spans="1:9" s="4" customFormat="1" ht="16">
      <c r="A31" s="239" t="s">
        <v>193</v>
      </c>
      <c r="B31" s="240"/>
      <c r="C31" s="240"/>
      <c r="D31" s="240"/>
      <c r="E31" s="240"/>
      <c r="F31" s="240"/>
      <c r="G31" s="240"/>
      <c r="H31" s="8"/>
    </row>
    <row r="32" spans="1:9" s="4" customFormat="1" ht="13">
      <c r="A32" s="9"/>
      <c r="B32" s="96" t="s">
        <v>239</v>
      </c>
      <c r="C32" s="9">
        <v>1</v>
      </c>
      <c r="D32" s="9">
        <v>2</v>
      </c>
      <c r="E32" s="9">
        <v>3</v>
      </c>
      <c r="F32" s="9">
        <v>4</v>
      </c>
      <c r="G32" s="9">
        <v>5</v>
      </c>
      <c r="H32" s="96" t="s">
        <v>157</v>
      </c>
    </row>
    <row r="33" spans="1:14" s="4" customFormat="1" ht="13">
      <c r="A33" s="9" t="s">
        <v>155</v>
      </c>
      <c r="B33" s="171">
        <f>IF(B4="Estimated",G29,G28)</f>
        <v>271.29000000000002</v>
      </c>
      <c r="C33" s="171">
        <f>B33*(1+$B$9)</f>
        <v>304.49506468337279</v>
      </c>
      <c r="D33" s="171">
        <f>C33*(1+$B$9)</f>
        <v>341.76432753338264</v>
      </c>
      <c r="E33" s="171">
        <f>D33*(1+$B$9)</f>
        <v>383.59523395166332</v>
      </c>
      <c r="F33" s="171">
        <f>E33*(1+$B$9)</f>
        <v>430.54611513268173</v>
      </c>
      <c r="G33" s="171">
        <f>F33*(1+$B$9)</f>
        <v>483.24364029820777</v>
      </c>
      <c r="H33" s="172">
        <f>IF(B14="No",G33*(1+B10),G33*(1+B15))</f>
        <v>504.50636047132895</v>
      </c>
    </row>
    <row r="34" spans="1:14" s="4" customFormat="1" ht="13">
      <c r="A34" s="9" t="s">
        <v>156</v>
      </c>
      <c r="B34" s="173">
        <f>B35/G28</f>
        <v>0.74048465076072989</v>
      </c>
      <c r="C34" s="173">
        <f>IF($B$16="Yes",B34-($B$34-$H$34)/5,$B$34)</f>
        <v>0.74048465076072989</v>
      </c>
      <c r="D34" s="173">
        <f>IF($B$16="Yes",C34-($B$34-$H$34)/5,$B$34)</f>
        <v>0.74048465076072989</v>
      </c>
      <c r="E34" s="173">
        <f>IF($B$16="Yes",D34-($B$34-$H$34)/5,$B$34)</f>
        <v>0.74048465076072989</v>
      </c>
      <c r="F34" s="173">
        <f>IF($B$16="Yes",E34-($B$34-$H$34)/5,$B$34)</f>
        <v>0.74048465076072989</v>
      </c>
      <c r="G34" s="173">
        <f>IF($B$16="Yes",F34-($B$34-$H$34)/5,$B$34)</f>
        <v>0.74048465076072989</v>
      </c>
      <c r="H34" s="174">
        <f>IF($B$16="Yes",IF(B14="No",1-B10/'Buyback &amp; Dividend computation'!F26,1-B15/'Buyback &amp; Dividend computation'!F26),$B$34)</f>
        <v>0.74048465076072989</v>
      </c>
      <c r="I34" s="56"/>
    </row>
    <row r="35" spans="1:14" s="4" customFormat="1" ht="16">
      <c r="A35" s="3" t="s">
        <v>173</v>
      </c>
      <c r="B35" s="172">
        <f>IF(B6="C",G5,IF(B6="A10",G6,IF(B6="A5",G7,IF(B6="P10",G8,IF(B6="P5",G9,IF(B6="NORM",G10,G11))))))</f>
        <v>189.26522500992445</v>
      </c>
      <c r="C35" s="175">
        <f>C33*C34</f>
        <v>225.47392163043315</v>
      </c>
      <c r="D35" s="175">
        <f>D33*D34</f>
        <v>253.07123871603255</v>
      </c>
      <c r="E35" s="175">
        <f>E33*E34</f>
        <v>284.04638284617789</v>
      </c>
      <c r="F35" s="175">
        <f>F33*F34</f>
        <v>318.81278970041285</v>
      </c>
      <c r="G35" s="175">
        <f>G33*G34</f>
        <v>357.83449821856215</v>
      </c>
      <c r="H35" s="172">
        <f>H34*H33</f>
        <v>373.57921614017891</v>
      </c>
      <c r="J35" s="8"/>
      <c r="K35" s="8"/>
      <c r="L35" s="8"/>
      <c r="M35" s="8"/>
    </row>
    <row r="36" spans="1:14" s="8" customFormat="1" ht="15" customHeight="1">
      <c r="A36" s="3" t="s">
        <v>1</v>
      </c>
      <c r="B36" s="176"/>
      <c r="C36" s="175"/>
      <c r="D36" s="175"/>
      <c r="E36" s="175"/>
      <c r="F36" s="175"/>
      <c r="G36" s="175">
        <f>IF(B14="No",H35/(B10+B13-B10),H35/(B10+B13-B15))</f>
        <v>8790.0992032983286</v>
      </c>
      <c r="H36" s="177"/>
      <c r="I36" s="4"/>
      <c r="J36" s="4"/>
      <c r="K36" s="4"/>
      <c r="L36" s="4"/>
      <c r="M36" s="4"/>
      <c r="N36" s="4"/>
    </row>
    <row r="37" spans="1:14" s="8" customFormat="1" ht="15" customHeight="1">
      <c r="A37" s="180" t="s">
        <v>240</v>
      </c>
      <c r="B37" s="178"/>
      <c r="C37" s="194">
        <f>VLOOKUP(B3,Answers!G2:H13,2)/12</f>
        <v>0.66666666666666663</v>
      </c>
      <c r="D37" s="194">
        <f>1+C37</f>
        <v>1.6666666666666665</v>
      </c>
      <c r="E37" s="194">
        <f t="shared" ref="E37:G37" si="0">1+D37</f>
        <v>2.6666666666666665</v>
      </c>
      <c r="F37" s="194">
        <f t="shared" si="0"/>
        <v>3.6666666666666665</v>
      </c>
      <c r="G37" s="194">
        <f t="shared" si="0"/>
        <v>4.6666666666666661</v>
      </c>
      <c r="H37" s="177"/>
      <c r="I37" s="4"/>
      <c r="J37" s="4"/>
      <c r="K37" s="4"/>
      <c r="L37" s="4"/>
      <c r="M37" s="4"/>
      <c r="N37" s="4"/>
    </row>
    <row r="38" spans="1:14" s="4" customFormat="1" ht="13">
      <c r="A38" s="180" t="s">
        <v>2</v>
      </c>
      <c r="B38" s="178"/>
      <c r="C38" s="179">
        <f>C35*C37/(1+$B$10+$B$13)^C37</f>
        <v>142.22804452402127</v>
      </c>
      <c r="D38" s="179">
        <f>D35/(1+$B$10+$B$13)^D37</f>
        <v>220.39068754205184</v>
      </c>
      <c r="E38" s="179">
        <f>E35/(1+$B$10+$B$13)^E37</f>
        <v>227.67218808268544</v>
      </c>
      <c r="F38" s="179">
        <f>F35/(1+$B$10+$B$13)^F37</f>
        <v>235.19426253646654</v>
      </c>
      <c r="G38" s="175">
        <f>(G35+G36)/(1+$B$10+$B$13)^G37</f>
        <v>6211.3251661841832</v>
      </c>
      <c r="H38" s="177"/>
    </row>
    <row r="39" spans="1:14" s="4" customFormat="1" ht="13">
      <c r="A39" s="3" t="s">
        <v>3</v>
      </c>
      <c r="B39" s="97"/>
      <c r="C39" s="181">
        <f>SUM(C38:G38)</f>
        <v>7036.8103488694087</v>
      </c>
      <c r="D39" s="100"/>
      <c r="E39" s="100"/>
      <c r="F39" s="100"/>
      <c r="G39" s="100"/>
      <c r="H39" s="99"/>
    </row>
    <row r="40" spans="1:14" s="4" customFormat="1" ht="13">
      <c r="A40" s="3" t="s">
        <v>95</v>
      </c>
      <c r="B40" s="97"/>
      <c r="C40" s="182">
        <f>C39/'Buyback &amp; Dividend computation'!C56</f>
        <v>27.530942640830212</v>
      </c>
    </row>
    <row r="41" spans="1:14" s="4" customFormat="1" thickBot="1">
      <c r="A41" s="180" t="s">
        <v>98</v>
      </c>
      <c r="B41" s="98"/>
      <c r="C41" s="183">
        <f>C39/AVERAGE('Buyback &amp; Dividend computation'!Q38:Q47)</f>
        <v>56.394551963422614</v>
      </c>
      <c r="L41" s="32"/>
    </row>
    <row r="42" spans="1:14" s="4" customFormat="1" ht="20" customHeight="1" thickBot="1">
      <c r="A42" s="235" t="s">
        <v>87</v>
      </c>
      <c r="B42" s="236"/>
      <c r="C42" s="237">
        <v>-4.2534788807143958E+27</v>
      </c>
      <c r="D42" s="236"/>
      <c r="E42" s="236"/>
      <c r="F42" s="238"/>
      <c r="G42" s="8"/>
      <c r="H42" s="8"/>
    </row>
    <row r="43" spans="1:14" s="4" customFormat="1" ht="20" customHeight="1">
      <c r="A43" s="217" t="s">
        <v>280</v>
      </c>
      <c r="B43" s="215"/>
      <c r="C43" s="218">
        <f>C45+B10</f>
        <v>8.5504317569951915E-2</v>
      </c>
      <c r="D43" s="215"/>
      <c r="E43" s="215"/>
      <c r="F43" s="215"/>
      <c r="G43" s="8"/>
      <c r="H43" s="8"/>
    </row>
    <row r="44" spans="1:14" s="4" customFormat="1" ht="20" customHeight="1">
      <c r="A44" s="2" t="s">
        <v>286</v>
      </c>
      <c r="B44" s="215"/>
      <c r="C44" s="219">
        <f>C45+B12</f>
        <v>4.4104317569951916E-2</v>
      </c>
      <c r="D44" s="215"/>
      <c r="E44" s="230" t="s">
        <v>302</v>
      </c>
      <c r="F44" s="231"/>
      <c r="G44" s="232"/>
      <c r="H44" s="229">
        <f>H45-B12</f>
        <v>4.1399999999999999E-2</v>
      </c>
    </row>
    <row r="45" spans="1:14" s="4" customFormat="1" ht="16">
      <c r="A45" s="2" t="s">
        <v>287</v>
      </c>
      <c r="C45" s="220">
        <v>4.1504317569951918E-2</v>
      </c>
      <c r="E45" s="230" t="s">
        <v>301</v>
      </c>
      <c r="F45" s="233"/>
      <c r="G45" s="234"/>
      <c r="H45" s="229">
        <f>B10</f>
        <v>4.3999999999999997E-2</v>
      </c>
    </row>
    <row r="46" spans="1:14" s="4" customFormat="1" ht="13"/>
    <row r="47" spans="1:14" s="4" customFormat="1">
      <c r="A47" s="6" t="s">
        <v>201</v>
      </c>
      <c r="B47" s="105" t="str">
        <f>B32</f>
        <v>Most recent year</v>
      </c>
      <c r="C47" s="7">
        <v>1</v>
      </c>
      <c r="D47" s="7">
        <v>2</v>
      </c>
      <c r="E47" s="7">
        <v>3</v>
      </c>
      <c r="F47" s="7">
        <v>4</v>
      </c>
      <c r="G47" s="7">
        <v>5</v>
      </c>
      <c r="H47" s="96" t="str">
        <f>H32</f>
        <v>Terminal Year</v>
      </c>
      <c r="J47"/>
      <c r="K47"/>
      <c r="L47"/>
      <c r="M47"/>
      <c r="N47"/>
    </row>
    <row r="48" spans="1:14" s="4" customFormat="1">
      <c r="A48" s="9" t="s">
        <v>155</v>
      </c>
      <c r="B48" s="172">
        <f>B33</f>
        <v>271.29000000000002</v>
      </c>
      <c r="C48" s="184">
        <f>C33</f>
        <v>304.49506468337279</v>
      </c>
      <c r="D48" s="184">
        <f>D33</f>
        <v>341.76432753338264</v>
      </c>
      <c r="E48" s="184">
        <f>E33</f>
        <v>383.59523395166332</v>
      </c>
      <c r="F48" s="184">
        <f>F33</f>
        <v>430.54611513268173</v>
      </c>
      <c r="G48" s="184">
        <f>G33</f>
        <v>483.24364029820777</v>
      </c>
      <c r="H48" s="172">
        <f>IF(B14="No",G48*(1+B10),G48*(1+B15))</f>
        <v>504.50636047132895</v>
      </c>
      <c r="J48"/>
      <c r="K48"/>
      <c r="L48"/>
      <c r="M48"/>
      <c r="N48"/>
    </row>
    <row r="49" spans="1:14" s="4" customFormat="1">
      <c r="A49" s="9" t="s">
        <v>156</v>
      </c>
      <c r="B49" s="174">
        <f>B50/G28</f>
        <v>0.74048465076072989</v>
      </c>
      <c r="C49" s="174">
        <f>IF($B$16="Yes",B49-($B$49-$H$49)/5,$B$49)</f>
        <v>0.74048465076072989</v>
      </c>
      <c r="D49" s="174">
        <f>IF($B$16="Yes",C49-($B$49-$H$49)/5,$B$49)</f>
        <v>0.74048465076072989</v>
      </c>
      <c r="E49" s="174">
        <f>IF($B$16="Yes",D49-($B$49-$H$49)/5,$B$49)</f>
        <v>0.74048465076072989</v>
      </c>
      <c r="F49" s="174">
        <f>IF($B$16="Yes",E49-($B$49-$H$49)/5,$B$49)</f>
        <v>0.74048465076072989</v>
      </c>
      <c r="G49" s="174">
        <f>IF($B$16="Yes",F49-($B$49-$H$49)/5,$B$49)</f>
        <v>0.74048465076072989</v>
      </c>
      <c r="H49" s="174">
        <f>IF($B$16="Yes",IF(B14="No",1-B10/'Buyback &amp; Dividend computation'!F26,1-B15/'Buyback &amp; Dividend computation'!F26),$B$34)</f>
        <v>0.74048465076072989</v>
      </c>
      <c r="J49"/>
      <c r="K49"/>
      <c r="L49"/>
      <c r="M49"/>
      <c r="N49"/>
    </row>
    <row r="50" spans="1:14">
      <c r="A50" s="3" t="s">
        <v>173</v>
      </c>
      <c r="B50" s="172">
        <f>B35</f>
        <v>189.26522500992445</v>
      </c>
      <c r="C50" s="185">
        <f t="shared" ref="C50:H50" si="1">C48*C49</f>
        <v>225.47392163043315</v>
      </c>
      <c r="D50" s="185">
        <f t="shared" si="1"/>
        <v>253.07123871603255</v>
      </c>
      <c r="E50" s="185">
        <f t="shared" si="1"/>
        <v>284.04638284617789</v>
      </c>
      <c r="F50" s="185">
        <f t="shared" si="1"/>
        <v>318.81278970041285</v>
      </c>
      <c r="G50" s="185">
        <f t="shared" si="1"/>
        <v>357.83449821856215</v>
      </c>
      <c r="H50" s="172">
        <f t="shared" si="1"/>
        <v>373.57921614017891</v>
      </c>
      <c r="I50" s="4"/>
    </row>
    <row r="51" spans="1:14">
      <c r="A51" s="3" t="s">
        <v>1</v>
      </c>
      <c r="B51" s="186"/>
      <c r="C51" s="185"/>
      <c r="D51" s="185"/>
      <c r="E51" s="185"/>
      <c r="F51" s="185"/>
      <c r="G51" s="185">
        <f>IF(B14="No",H50/(B10+C45-B10),H50/(B10+C45-B15))</f>
        <v>9000.9723810190026</v>
      </c>
      <c r="H51" s="187"/>
      <c r="I51" s="4"/>
    </row>
    <row r="52" spans="1:14">
      <c r="A52" s="3" t="s">
        <v>240</v>
      </c>
      <c r="B52" s="186"/>
      <c r="C52" s="190">
        <f>C37</f>
        <v>0.66666666666666663</v>
      </c>
      <c r="D52" s="190">
        <f t="shared" ref="D52:G52" si="2">D37</f>
        <v>1.6666666666666665</v>
      </c>
      <c r="E52" s="190">
        <f t="shared" si="2"/>
        <v>2.6666666666666665</v>
      </c>
      <c r="F52" s="190">
        <f t="shared" si="2"/>
        <v>3.6666666666666665</v>
      </c>
      <c r="G52" s="190">
        <f t="shared" si="2"/>
        <v>4.6666666666666661</v>
      </c>
      <c r="H52" s="187"/>
      <c r="I52" s="4"/>
    </row>
    <row r="53" spans="1:14" ht="15" thickBot="1">
      <c r="A53" s="3" t="s">
        <v>2</v>
      </c>
      <c r="B53" s="186"/>
      <c r="C53" s="185">
        <f>C50*C52/(1+$B$10+$C$45)^C52</f>
        <v>142.31500399665768</v>
      </c>
      <c r="D53" s="185">
        <f>D50/(1+$B$10+$C$45)^D52</f>
        <v>220.72771402627191</v>
      </c>
      <c r="E53" s="185">
        <f>E50/(1+$B$10+$C$45)^E52</f>
        <v>228.22950202499558</v>
      </c>
      <c r="F53" s="185">
        <f>F50/(1+$B$10+$C$45)^F52</f>
        <v>235.98625040975895</v>
      </c>
      <c r="G53" s="185">
        <f>(G50+G51)/(1+$B$10+$C$45)^G52</f>
        <v>6381.7515823142776</v>
      </c>
      <c r="H53" s="187"/>
      <c r="I53" s="4"/>
    </row>
    <row r="54" spans="1:14" ht="15" thickBot="1">
      <c r="A54" s="3" t="s">
        <v>3</v>
      </c>
      <c r="B54" s="188">
        <f>SUM(C53:G53)</f>
        <v>7209.0100527719615</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1"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ignoredErrors>
    <ignoredError sqref="B49" formula="1"/>
    <ignoredError sqref="G24" formulaRange="1"/>
  </ignoredErrors>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topLeftCell="A33" workbookViewId="0">
      <selection activeCell="H92" sqref="H92"/>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277</v>
      </c>
      <c r="D1" s="43" t="s">
        <v>126</v>
      </c>
      <c r="E1" s="14" t="s">
        <v>44</v>
      </c>
      <c r="F1" s="14" t="s">
        <v>47</v>
      </c>
      <c r="G1" s="14" t="s">
        <v>48</v>
      </c>
      <c r="H1" t="s">
        <v>168</v>
      </c>
      <c r="I1" s="10" t="s">
        <v>186</v>
      </c>
    </row>
    <row r="2" spans="1:12">
      <c r="A2" s="14">
        <v>2001</v>
      </c>
      <c r="B2" s="11">
        <f t="shared" ref="B2:B14" si="0">I32</f>
        <v>1.3709726589378883E-2</v>
      </c>
      <c r="C2" s="11">
        <f t="shared" ref="C2:C14" si="1">J32</f>
        <v>1.2490273410621118E-2</v>
      </c>
      <c r="D2" s="44">
        <f t="shared" ref="D2:D14" si="2">K32</f>
        <v>2.6200000000000001E-2</v>
      </c>
      <c r="E2" s="47">
        <f>(D32+E32)/C32</f>
        <v>0.77425889317889307</v>
      </c>
      <c r="F2" s="47">
        <f t="shared" ref="F2:F14" si="3">C32/M32</f>
        <v>0.11924493554327809</v>
      </c>
      <c r="G2" s="47">
        <f t="shared" ref="G2:G15" si="4">C32/O32</f>
        <v>5.2722288568016501E-2</v>
      </c>
      <c r="H2"/>
      <c r="J2" s="31"/>
    </row>
    <row r="3" spans="1:12">
      <c r="A3" s="14">
        <v>2002</v>
      </c>
      <c r="B3" s="11">
        <f t="shared" si="0"/>
        <v>1.8140074106067151E-2</v>
      </c>
      <c r="C3" s="11">
        <f t="shared" si="1"/>
        <v>1.5759925893932849E-2</v>
      </c>
      <c r="D3" s="44">
        <f t="shared" si="2"/>
        <v>3.39E-2</v>
      </c>
      <c r="E3" s="47">
        <f t="shared" ref="E3:E13" si="5">(D33+E33)/C33</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47" t="s">
        <v>236</v>
      </c>
      <c r="K10" s="247"/>
      <c r="L10" s="247"/>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47"/>
      <c r="K11" s="247"/>
      <c r="L11" s="247"/>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47"/>
      <c r="K12" s="247"/>
      <c r="L12" s="247"/>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(D44+E44)/C44</f>
        <v>0.83997331300038114</v>
      </c>
      <c r="F14" s="47">
        <f t="shared" si="3"/>
        <v>0.15730842466677661</v>
      </c>
      <c r="G14" s="47">
        <f t="shared" si="4"/>
        <v>9.3946150195646533E-2</v>
      </c>
      <c r="H14"/>
    </row>
    <row r="15" spans="1:12">
      <c r="A15" s="10">
        <v>2014</v>
      </c>
      <c r="B15" s="34">
        <f t="shared" ref="B15:D16" si="7">I45</f>
        <v>1.9206906001644285E-2</v>
      </c>
      <c r="C15" s="34">
        <f t="shared" si="7"/>
        <v>3.0324472458207727E-2</v>
      </c>
      <c r="D15" s="36">
        <f t="shared" si="7"/>
        <v>4.9531378459852012E-2</v>
      </c>
      <c r="E15" s="47">
        <f t="shared" si="6"/>
        <v>0.87792833256705682</v>
      </c>
      <c r="F15" s="47">
        <f t="shared" ref="F15:F21" si="8">C45/M45</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C46/O46</f>
        <v>8.9146771002457562E-2</v>
      </c>
      <c r="H16"/>
    </row>
    <row r="17" spans="1:19">
      <c r="A17" s="10">
        <v>2016</v>
      </c>
      <c r="B17" s="34">
        <f t="shared" ref="B17:D17" si="10">I47</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9">
      <c r="A18" s="10">
        <v>2017</v>
      </c>
      <c r="B18" s="34">
        <f t="shared" ref="B18:D18" si="11">I48</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9">
      <c r="A19" s="10">
        <v>2018</v>
      </c>
      <c r="B19" s="34">
        <f t="shared" ref="B19:D20" si="12">I49</f>
        <v>2.1696551449029659E-2</v>
      </c>
      <c r="C19" s="34">
        <f t="shared" si="12"/>
        <v>3.8338951273510585E-2</v>
      </c>
      <c r="D19" s="36">
        <f t="shared" si="12"/>
        <v>6.003550272254024E-2</v>
      </c>
      <c r="E19" s="47">
        <f t="shared" ref="E19:E24" si="13">(D49+E49)/C49</f>
        <v>0.98507658070428061</v>
      </c>
      <c r="F19" s="47">
        <f t="shared" si="8"/>
        <v>0.18484731161980353</v>
      </c>
      <c r="G19" s="47">
        <f t="shared" si="9"/>
        <v>0.11522826177133849</v>
      </c>
      <c r="H19"/>
      <c r="I19" s="31"/>
    </row>
    <row r="20" spans="1:19">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9">
      <c r="A21" s="10">
        <v>2020</v>
      </c>
      <c r="B21" s="34">
        <f t="shared" ref="B21:D23" si="14">I51</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9">
      <c r="A22" s="10">
        <v>2021</v>
      </c>
      <c r="B22" s="34">
        <f t="shared" si="14"/>
        <v>1.2725075427281386E-2</v>
      </c>
      <c r="C22" s="34">
        <f t="shared" si="14"/>
        <v>2.1948394731210318E-2</v>
      </c>
      <c r="D22" s="36">
        <f t="shared" si="14"/>
        <v>3.4673470158491704E-2</v>
      </c>
      <c r="E22" s="47">
        <f t="shared" si="13"/>
        <v>0.80477233990747499</v>
      </c>
      <c r="F22" s="47">
        <f t="shared" ref="F22" si="15">C52/M52</f>
        <v>0.22139684319475592</v>
      </c>
      <c r="G22" s="47">
        <f t="shared" ref="G22" si="16">C52/O52</f>
        <v>0.13589438157633513</v>
      </c>
      <c r="H22"/>
      <c r="I22" s="31"/>
    </row>
    <row r="23" spans="1:19">
      <c r="A23" s="10">
        <v>2022</v>
      </c>
      <c r="B23" s="34">
        <f t="shared" si="14"/>
        <v>1.744497981508009E-2</v>
      </c>
      <c r="C23" s="34">
        <f t="shared" si="14"/>
        <v>2.8511524938142987E-2</v>
      </c>
      <c r="D23" s="36">
        <f t="shared" si="14"/>
        <v>4.5956504753223076E-2</v>
      </c>
      <c r="E23" s="47">
        <f t="shared" si="13"/>
        <v>0.88735227558461149</v>
      </c>
      <c r="F23" s="47">
        <f t="shared" ref="F23" si="17">C53/M53</f>
        <v>0.19726791135096525</v>
      </c>
      <c r="G23" s="47">
        <f t="shared" ref="G23" si="18">C53/O53</f>
        <v>0.11597254218111194</v>
      </c>
      <c r="H23"/>
      <c r="I23" s="31"/>
      <c r="O23" s="36"/>
    </row>
    <row r="24" spans="1:19">
      <c r="A24" s="10">
        <v>2023</v>
      </c>
      <c r="B24" s="34">
        <f t="shared" ref="B24" si="19">I54</f>
        <v>1.4691606264113437E-2</v>
      </c>
      <c r="C24" s="34">
        <f t="shared" ref="C24" si="20">J54</f>
        <v>1.985998209414621E-2</v>
      </c>
      <c r="D24" s="36">
        <f t="shared" ref="D24" si="21">K54</f>
        <v>3.4551588358259645E-2</v>
      </c>
      <c r="E24" s="47">
        <f t="shared" si="13"/>
        <v>0.78029262749183192</v>
      </c>
      <c r="F24" s="47">
        <f t="shared" ref="F24" si="22">C54/M54</f>
        <v>0.20612750839384714</v>
      </c>
      <c r="G24" s="47">
        <f t="shared" ref="G24" si="23">C54/O54</f>
        <v>0.11352409007100968</v>
      </c>
      <c r="H24"/>
      <c r="I24" s="31"/>
    </row>
    <row r="25" spans="1:19" ht="15" thickBot="1">
      <c r="A25" s="10">
        <v>2024</v>
      </c>
      <c r="B25" s="34">
        <f t="shared" ref="B25" si="24">I55</f>
        <v>1.3322128530319265E-2</v>
      </c>
      <c r="C25" s="34">
        <f t="shared" ref="C25" si="25">J55</f>
        <v>1.9942877006382437E-2</v>
      </c>
      <c r="D25" s="36">
        <f t="shared" ref="D25" si="26">K55</f>
        <v>3.3265005536701704E-2</v>
      </c>
      <c r="E25" s="47">
        <f t="shared" ref="E25" si="27">(D55+E55)/C55</f>
        <v>0.79907889639736562</v>
      </c>
      <c r="F25" s="47">
        <f t="shared" ref="F25" si="28">C55/M55</f>
        <v>0.21002531187850298</v>
      </c>
      <c r="G25" s="47">
        <f t="shared" ref="G25" si="29">C55/O55</f>
        <v>0.12408802008225178</v>
      </c>
      <c r="H25"/>
      <c r="I25" s="31"/>
    </row>
    <row r="26" spans="1:19" ht="15" thickBot="1">
      <c r="A26" s="13" t="s">
        <v>25</v>
      </c>
      <c r="B26" s="12"/>
      <c r="C26" s="12"/>
      <c r="D26" s="45">
        <f>AVERAGE(D16:D25)</f>
        <v>4.2767946146302985E-2</v>
      </c>
      <c r="E26" s="45">
        <f t="shared" ref="E26:G26" si="30">AVERAGE(E16:E25)</f>
        <v>0.90130266830104788</v>
      </c>
      <c r="F26" s="45">
        <f t="shared" si="30"/>
        <v>0.18007289102978902</v>
      </c>
      <c r="G26" s="45">
        <f t="shared" si="30"/>
        <v>0.11026293819535075</v>
      </c>
      <c r="H26" t="s">
        <v>276</v>
      </c>
    </row>
    <row r="27" spans="1:19" ht="15" thickBot="1">
      <c r="A27" s="15" t="s">
        <v>27</v>
      </c>
      <c r="B27" s="12"/>
      <c r="C27" s="12"/>
      <c r="D27" s="46">
        <f>AVERAGE(D21:D25)</f>
        <v>3.6007619863191689E-2</v>
      </c>
      <c r="E27" s="46">
        <f t="shared" ref="E27:G27" si="31">AVERAGE(E21:E25)</f>
        <v>0.82410460852880407</v>
      </c>
      <c r="F27" s="46">
        <f t="shared" si="31"/>
        <v>0.19752885121293082</v>
      </c>
      <c r="G27" s="46">
        <f t="shared" si="31"/>
        <v>0.11838652247639372</v>
      </c>
      <c r="H27" t="s">
        <v>276</v>
      </c>
    </row>
    <row r="28" spans="1:19" ht="15" thickBot="1"/>
    <row r="29" spans="1:19" ht="15" thickBot="1">
      <c r="A29" s="31" t="s">
        <v>35</v>
      </c>
      <c r="D29" s="76">
        <v>6848.09</v>
      </c>
      <c r="E29" s="31" t="s">
        <v>187</v>
      </c>
      <c r="J29" s="39" t="s">
        <v>41</v>
      </c>
      <c r="M29" s="10" t="s">
        <v>42</v>
      </c>
      <c r="N29" s="40">
        <v>44561</v>
      </c>
    </row>
    <row r="31" spans="1:19" s="93" customFormat="1" ht="45">
      <c r="A31" s="92" t="s">
        <v>6</v>
      </c>
      <c r="B31" s="92" t="s">
        <v>12</v>
      </c>
      <c r="C31" s="92" t="s">
        <v>43</v>
      </c>
      <c r="D31" s="92" t="s">
        <v>9</v>
      </c>
      <c r="E31" s="92" t="s">
        <v>10</v>
      </c>
      <c r="F31" s="92" t="s">
        <v>125</v>
      </c>
      <c r="G31" s="92" t="s">
        <v>11</v>
      </c>
      <c r="H31" s="92" t="s">
        <v>153</v>
      </c>
      <c r="I31" s="92" t="s">
        <v>7</v>
      </c>
      <c r="J31" s="92" t="s">
        <v>8</v>
      </c>
      <c r="K31" s="92" t="s">
        <v>126</v>
      </c>
      <c r="L31" s="92" t="s">
        <v>127</v>
      </c>
      <c r="M31" s="92" t="s">
        <v>45</v>
      </c>
      <c r="N31" s="92" t="s">
        <v>47</v>
      </c>
      <c r="O31" s="92" t="s">
        <v>46</v>
      </c>
      <c r="P31" s="93" t="s">
        <v>92</v>
      </c>
      <c r="Q31" s="93" t="s">
        <v>93</v>
      </c>
    </row>
    <row r="32" spans="1:19" ht="16">
      <c r="A32" s="14">
        <v>2001</v>
      </c>
      <c r="B32" s="16">
        <v>1148.0899999999999</v>
      </c>
      <c r="C32" s="41">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7">
        <f>C32/M32</f>
        <v>0.11924493554327809</v>
      </c>
      <c r="O32" s="14">
        <v>736.88</v>
      </c>
      <c r="P32" s="137">
        <v>1.6E-2</v>
      </c>
      <c r="Q32" s="61">
        <f>C32*(1+P33)*(1+P34)*(1+P35)*(1+P36)*(1+P37)*(1+P38)*(1+P39)*(1+P40)*(1+P41)*(1+P42)*(1+P43)*(1+P44)*(1+P45)*(1+P46)*(1+P47)*(1+P48)*(1+P49)*(1+P50)*(1+P51)*(1+P52)*(1+P53)*(1+P54)*(1+P55)</f>
        <v>69.920215671780213</v>
      </c>
      <c r="S32"/>
    </row>
    <row r="33" spans="1:21" ht="16">
      <c r="A33" s="14">
        <v>2002</v>
      </c>
      <c r="B33" s="16">
        <v>879.82</v>
      </c>
      <c r="C33" s="42">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7">
        <f t="shared" ref="N33:N56" si="35">C33/M33</f>
        <v>0.13606407187398409</v>
      </c>
      <c r="O33" s="14">
        <v>674.59</v>
      </c>
      <c r="P33" s="137">
        <v>2.4799999999999999E-2</v>
      </c>
      <c r="Q33" s="61">
        <f>C33*(1+P34)*(1+P35)*(1+P36)*(1+P37)*(1+P38)*(1+P39)*(1+P40)*(1+P41)*(1+P42)*(1+P43)*(1+P44)*(1+P45)*(1+P46)*(1+P47)*(1+P48)*(1+P49)*(1+P50)*(1+P51)*(1+P52)*(1+P53)*(1+P54)*(1+P55)</f>
        <v>80.855196017247465</v>
      </c>
      <c r="S33"/>
    </row>
    <row r="34" spans="1:21" ht="16">
      <c r="A34" s="14">
        <v>2003</v>
      </c>
      <c r="B34" s="16">
        <v>1111.9100000000001</v>
      </c>
      <c r="C34" s="42">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7">
        <f t="shared" si="35"/>
        <v>0.1679049490359818</v>
      </c>
      <c r="O34" s="14">
        <v>710.81</v>
      </c>
      <c r="P34" s="137">
        <v>2.0400000000000001E-2</v>
      </c>
      <c r="Q34" s="61">
        <f>C34*(1+P35)*(1+P36)*(1+P37)*(1+P38)*(1+P39)*(1+P40)*(1+P41)*(1+P42)*(1+P43)*(1+P44)*(1+P45)*(1+P46)*(1+P47)*(1+P48)*(1+P49)*(1+P50)*(1+P51)*(1+P52)*(1+P53)*(1+P54)*(1+P55)</f>
        <v>94.126106110056469</v>
      </c>
      <c r="S34"/>
    </row>
    <row r="35" spans="1:21" ht="16">
      <c r="A35" s="14">
        <v>2004</v>
      </c>
      <c r="B35" s="16">
        <v>1211.92</v>
      </c>
      <c r="C35" s="42">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7">
        <f t="shared" si="35"/>
        <v>0.18432878503145683</v>
      </c>
      <c r="O35" s="14">
        <v>788.17</v>
      </c>
      <c r="P35" s="137">
        <v>3.3399999999999999E-2</v>
      </c>
      <c r="Q35" s="61">
        <f>C35*(1+P36)*(1+P37)*(1+P38)*(1+P39)*(1+P40)*(1+P41)*(1+P42)*(1+P43)*(1+P44)*(1+P45)*(1+P46)*(1+P47)*(1+P48)*(1+P49)*(1+P50)*(1+P51)*(1+P52)*(1+P53)*(1+P54)*(1+P55)</f>
        <v>112.71820450082303</v>
      </c>
      <c r="S35"/>
    </row>
    <row r="36" spans="1:21" ht="16">
      <c r="A36" s="14">
        <v>2005</v>
      </c>
      <c r="B36" s="16">
        <v>1248.29</v>
      </c>
      <c r="C36" s="42">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7">
        <f t="shared" si="35"/>
        <v>0.18432790837854129</v>
      </c>
      <c r="O36" s="14">
        <v>874.32</v>
      </c>
      <c r="P36" s="137">
        <v>3.3399999999999999E-2</v>
      </c>
      <c r="Q36" s="61">
        <f>C36*(1+P37)*(1+P38)*(1+P39)*(1+P40)*(1+P41)*(1+P42)*(1+P43)*(1+P44)*(1+P45)*(1+P46)*(1+P47)*(1+P48)*(1+P49)*(1+P50)*(1+P51)*(1+P52)*(1+P53)*(1+P54)*(1+P55)</f>
        <v>123.20908851922505</v>
      </c>
      <c r="S36"/>
    </row>
    <row r="37" spans="1:21" ht="16">
      <c r="A37" s="14">
        <v>2006</v>
      </c>
      <c r="B37" s="16">
        <v>1418.3</v>
      </c>
      <c r="C37" s="42">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7">
        <f t="shared" si="35"/>
        <v>0.19361673950470137</v>
      </c>
      <c r="O37" s="14">
        <v>952.51</v>
      </c>
      <c r="P37" s="137">
        <v>2.52E-2</v>
      </c>
      <c r="Q37" s="61">
        <f>C37*(1+P38)*(1+P39)*(1+P40)*(1+P41)*(1+P42)*(1+P43)*(1+P44)*(1+P45)*(1+P46)*(1+P47)*(1+P48)*(1+P48)*(1+P49)*(1+P50)*(1+P51)*(1+P52)*(1+P53)*(1+P54)*(1+P55)</f>
        <v>140.80677663461466</v>
      </c>
      <c r="S37"/>
    </row>
    <row r="38" spans="1:21" ht="16">
      <c r="A38" s="14">
        <v>2007</v>
      </c>
      <c r="B38" s="20">
        <v>1468.36</v>
      </c>
      <c r="C38" s="42">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7">
        <f t="shared" si="35"/>
        <v>0.1636432125934297</v>
      </c>
      <c r="O38" s="14">
        <v>1025.08</v>
      </c>
      <c r="P38" s="137">
        <v>4.1099999999999998E-2</v>
      </c>
      <c r="Q38" s="61">
        <f>C38*(1+P39)*(1+P40)*(1+P41)*(1+P42)*(1+P43)*(1+P44)*(1+P45)*(1+P46)*(1+P47)*(1+P48)*(1+P49)*(1+P50)*(1+P51)*(1+P52)*(1+P53)*(1+P54)*(1+P55)</f>
        <v>124.63174494830814</v>
      </c>
      <c r="S38"/>
    </row>
    <row r="39" spans="1:21" ht="16">
      <c r="A39" s="14">
        <v>2008</v>
      </c>
      <c r="B39" s="16">
        <v>903.25</v>
      </c>
      <c r="C39" s="41">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7">
        <f t="shared" si="35"/>
        <v>9.3487414792575385E-2</v>
      </c>
      <c r="O39" s="14">
        <v>1042.46</v>
      </c>
      <c r="P39" s="137">
        <v>-2.0000000000000001E-4</v>
      </c>
      <c r="Q39" s="61">
        <f>C39*(1+P40)*(1+P41)*(1+P42)*(1+P43)*(1+P44)*(1+P45)*(1+P46)*(1+P47)*(1+P48)*(1+P49)*(1+P50)*(1+P51)*(1+P52)*(1+P53)*(1+P54)*(1+P55)</f>
        <v>74.77286216136774</v>
      </c>
      <c r="S39"/>
    </row>
    <row r="40" spans="1:21" ht="16">
      <c r="A40" s="14">
        <v>2009</v>
      </c>
      <c r="B40" s="16">
        <v>1115</v>
      </c>
      <c r="C40" s="42">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7">
        <f t="shared" si="35"/>
        <v>0.12597204067616369</v>
      </c>
      <c r="O40" s="14">
        <v>908.4</v>
      </c>
      <c r="P40" s="137">
        <v>2.81E-2</v>
      </c>
      <c r="Q40" s="61">
        <f>C40*(1+P41)*(1+P42)*(1+P43)*(1+P44)*(1+P45)*(1+P46)*(1+P47)*(1+P48)*(1+P49)*(1+P50)*(1+P51)*(1+P52)*(1+P53)*(1+P54)*(1+P55)</f>
        <v>83.526171351246305</v>
      </c>
      <c r="S40"/>
    </row>
    <row r="41" spans="1:21" ht="16">
      <c r="A41" s="14">
        <v>2010</v>
      </c>
      <c r="B41" s="18">
        <v>1257.6400000000001</v>
      </c>
      <c r="C41" s="42">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7">
        <f t="shared" si="35"/>
        <v>0.16310993418746833</v>
      </c>
      <c r="O41" s="14">
        <v>962.71</v>
      </c>
      <c r="P41" s="137">
        <v>1.44E-2</v>
      </c>
      <c r="Q41" s="61">
        <f>C41*(1+P42)*(1+P43)*(1+P44)*(1+P45)*(1+P46)*(1+P47)*(1+P48)*(1+P49)*(1+P50)*(1+P51)*(1+P52)*(1+P53)*(1+P54)*(1+P55)</f>
        <v>121.30955073695557</v>
      </c>
      <c r="S41"/>
    </row>
    <row r="42" spans="1:21" ht="16">
      <c r="A42" s="14">
        <v>2011</v>
      </c>
      <c r="B42" s="18">
        <v>1257.5999999999999</v>
      </c>
      <c r="C42" s="41">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7">
        <f t="shared" si="35"/>
        <v>0.1665227751493594</v>
      </c>
      <c r="O42" s="14">
        <v>1052.83</v>
      </c>
      <c r="P42" s="137">
        <v>3.0599999999999999E-2</v>
      </c>
      <c r="Q42" s="61">
        <f>C42*(1+P43)*(1+P44)*(1+P45)*(1+P46)*(1+P47)*(1+P48)*(1+P49)*(1+P50)*(1+P51)*(1+P52)*(1+P53)*(1+P54)*(1+P55)</f>
        <v>135.51068558029746</v>
      </c>
      <c r="S42"/>
    </row>
    <row r="43" spans="1:21" ht="16">
      <c r="A43" s="14">
        <v>2012</v>
      </c>
      <c r="B43" s="20">
        <v>1426.19</v>
      </c>
      <c r="C43" s="42">
        <v>96.82</v>
      </c>
      <c r="D43" s="17">
        <v>31.25</v>
      </c>
      <c r="E43" s="17">
        <f>G71*E71</f>
        <v>44.649305674148479</v>
      </c>
      <c r="F43" s="17"/>
      <c r="G43" s="17">
        <f t="shared" si="34"/>
        <v>75.899305674148479</v>
      </c>
      <c r="H43" s="17"/>
      <c r="I43" s="37">
        <f t="shared" si="36"/>
        <v>2.1911526514700005E-2</v>
      </c>
      <c r="J43" s="37">
        <f t="shared" si="37"/>
        <v>3.1306702244545591E-2</v>
      </c>
      <c r="K43" s="37">
        <f t="shared" si="38"/>
        <v>5.3218228759245596E-2</v>
      </c>
      <c r="L43" s="37"/>
      <c r="M43" s="14">
        <v>613.14</v>
      </c>
      <c r="N43" s="47">
        <f t="shared" si="35"/>
        <v>0.1579084711485142</v>
      </c>
      <c r="O43" s="14">
        <v>1092.3699999999999</v>
      </c>
      <c r="P43" s="137">
        <v>1.7600000000000001E-2</v>
      </c>
      <c r="Q43" s="61">
        <f>C43*(1+P44)*(1+P45)*(1+P46)*(1+P47)*(1+P48)*(1+P49)*(1+P50)*(1+P51)*(1+P52)*(1+P53)*(1+P54)*(1+P55)</f>
        <v>133.69166153390495</v>
      </c>
      <c r="S43"/>
    </row>
    <row r="44" spans="1:21" ht="16">
      <c r="A44" s="14">
        <v>2013</v>
      </c>
      <c r="B44" s="20">
        <v>1848.36</v>
      </c>
      <c r="C44" s="42">
        <v>104.92</v>
      </c>
      <c r="D44" s="17">
        <v>34.9</v>
      </c>
      <c r="E44" s="17">
        <v>53.23</v>
      </c>
      <c r="F44" s="17"/>
      <c r="G44" s="17">
        <v>88.13</v>
      </c>
      <c r="H44" s="17"/>
      <c r="I44" s="37">
        <f t="shared" si="36"/>
        <v>1.888160315090134E-2</v>
      </c>
      <c r="J44" s="37">
        <f t="shared" si="37"/>
        <v>2.8798502456231469E-2</v>
      </c>
      <c r="K44" s="37">
        <f t="shared" si="38"/>
        <v>4.768010560713281E-2</v>
      </c>
      <c r="L44" s="37"/>
      <c r="M44" s="14">
        <v>666.97</v>
      </c>
      <c r="N44" s="47">
        <f t="shared" si="35"/>
        <v>0.15730842466677661</v>
      </c>
      <c r="O44" s="14">
        <v>1116.81</v>
      </c>
      <c r="P44" s="137">
        <v>1.5100000000000001E-2</v>
      </c>
      <c r="Q44" s="61">
        <f>C44*(1+P45)*(1+P46)*(1+P47)*(1+P48)*(1+P49)*(1+P50)*(1+P51)*(1+P52)*(1+P53)*(1+P54)*(1+P55)</f>
        <v>142.72126836165461</v>
      </c>
      <c r="S44"/>
    </row>
    <row r="45" spans="1:21" ht="16">
      <c r="A45" s="14">
        <v>2014</v>
      </c>
      <c r="B45" s="20">
        <v>2058.9</v>
      </c>
      <c r="C45" s="41">
        <v>116.16</v>
      </c>
      <c r="D45" s="17">
        <f>F69*E69</f>
        <v>39.545098766785422</v>
      </c>
      <c r="E45" s="17">
        <f>G69*E69</f>
        <v>62.435056344203893</v>
      </c>
      <c r="F45" s="17">
        <v>9.58</v>
      </c>
      <c r="G45" s="17">
        <v>101.98</v>
      </c>
      <c r="H45" s="18">
        <f>G45-F45</f>
        <v>92.4</v>
      </c>
      <c r="I45" s="37">
        <f t="shared" ref="I45:I56" si="39">D45/B45</f>
        <v>1.9206906001644285E-2</v>
      </c>
      <c r="J45" s="37">
        <f t="shared" ref="J45:J56" si="40">E45/B45</f>
        <v>3.0324472458207727E-2</v>
      </c>
      <c r="K45" s="37">
        <f t="shared" ref="K45:K56" si="41">I45+J45</f>
        <v>4.9531378459852012E-2</v>
      </c>
      <c r="L45" s="37">
        <f t="shared" ref="L45:L56" si="42">H45/B45</f>
        <v>4.4878333090485209E-2</v>
      </c>
      <c r="M45" s="14">
        <v>715.84</v>
      </c>
      <c r="N45" s="115">
        <f t="shared" si="35"/>
        <v>0.16227089852481</v>
      </c>
      <c r="O45" s="14">
        <v>1163.32</v>
      </c>
      <c r="P45" s="137">
        <v>6.6E-3</v>
      </c>
      <c r="Q45" s="61">
        <f>C45*(1+P46)*(1+P47)*(1+P48)*(1+P49)*(1+P50)*(1+P51)*(1+P52)*(1+P53)*(1+P54)*(1+P55)</f>
        <v>156.97485551602091</v>
      </c>
      <c r="R45" s="116"/>
      <c r="S45" s="61"/>
      <c r="U45"/>
    </row>
    <row r="46" spans="1:21">
      <c r="A46" s="14">
        <v>2015</v>
      </c>
      <c r="B46" s="17">
        <v>2043.94</v>
      </c>
      <c r="C46" s="17">
        <v>100.48</v>
      </c>
      <c r="D46" s="17">
        <v>43.41</v>
      </c>
      <c r="E46" s="17">
        <v>64.94</v>
      </c>
      <c r="F46" s="17">
        <v>9.43</v>
      </c>
      <c r="G46" s="17">
        <f t="shared" ref="G46:G57" si="43">D46+E46</f>
        <v>108.35</v>
      </c>
      <c r="H46" s="17">
        <f>G46-F46</f>
        <v>98.919999999999987</v>
      </c>
      <c r="I46" s="37">
        <f t="shared" si="39"/>
        <v>2.1238392516414375E-2</v>
      </c>
      <c r="J46" s="37">
        <f t="shared" si="40"/>
        <v>3.1771969822988931E-2</v>
      </c>
      <c r="K46" s="37">
        <f t="shared" si="41"/>
        <v>5.3010362339403302E-2</v>
      </c>
      <c r="L46" s="37">
        <f t="shared" si="42"/>
        <v>4.8396723974284954E-2</v>
      </c>
      <c r="M46" s="14">
        <v>726.96</v>
      </c>
      <c r="N46" s="115">
        <f t="shared" si="35"/>
        <v>0.13821943435677342</v>
      </c>
      <c r="O46" s="14">
        <v>1127.1300000000001</v>
      </c>
      <c r="P46" s="137">
        <v>6.6E-3</v>
      </c>
      <c r="Q46" s="61">
        <f>C46*(1+P47)*(1+P48)*(1+P49)*(1+P50)*(1+P51)*(1+P52)*(1+P53)*(1+P54)*(1+P55)</f>
        <v>134.89510451962104</v>
      </c>
      <c r="R46" s="116"/>
      <c r="S46" s="61"/>
      <c r="U46"/>
    </row>
    <row r="47" spans="1:21">
      <c r="A47" s="14">
        <v>2016</v>
      </c>
      <c r="B47" s="17">
        <v>2238.8200000000002</v>
      </c>
      <c r="C47" s="18">
        <v>106.26</v>
      </c>
      <c r="D47" s="18">
        <v>45.7</v>
      </c>
      <c r="E47" s="18">
        <v>62.32</v>
      </c>
      <c r="F47" s="18">
        <f>F56</f>
        <v>9.7206736208725868</v>
      </c>
      <c r="G47" s="18">
        <f t="shared" si="43"/>
        <v>108.02000000000001</v>
      </c>
      <c r="H47" s="18">
        <v>98.66</v>
      </c>
      <c r="I47" s="138">
        <f t="shared" si="39"/>
        <v>2.0412538748090511E-2</v>
      </c>
      <c r="J47" s="138">
        <f t="shared" si="40"/>
        <v>2.7836092227155374E-2</v>
      </c>
      <c r="K47" s="138">
        <f t="shared" si="41"/>
        <v>4.8248630975245885E-2</v>
      </c>
      <c r="L47" s="37">
        <f t="shared" si="42"/>
        <v>4.40678571747617E-2</v>
      </c>
      <c r="M47" s="139">
        <v>740.29</v>
      </c>
      <c r="N47" s="115">
        <f t="shared" ref="N47:N55" si="44">C47/M47</f>
        <v>0.14353834308176527</v>
      </c>
      <c r="O47" s="139">
        <v>1150.68</v>
      </c>
      <c r="P47" s="137">
        <v>2.0799999999999999E-2</v>
      </c>
      <c r="Q47" s="61">
        <f>C47*(1+P48)*(1+P49)*(1+P50)*(1+P51)*(1+P52)*(1+P53)*(1+P54)*(1+P55)</f>
        <v>139.74803589961502</v>
      </c>
      <c r="R47" s="116"/>
      <c r="S47" s="61"/>
      <c r="U47"/>
    </row>
    <row r="48" spans="1:21">
      <c r="A48" s="14">
        <v>2017</v>
      </c>
      <c r="B48" s="17">
        <v>2673.61</v>
      </c>
      <c r="C48" s="18">
        <v>124.51</v>
      </c>
      <c r="D48" s="18">
        <v>48.93</v>
      </c>
      <c r="E48" s="18">
        <v>60.85</v>
      </c>
      <c r="F48" s="18">
        <v>9.41</v>
      </c>
      <c r="G48" s="18">
        <f t="shared" si="43"/>
        <v>109.78</v>
      </c>
      <c r="H48" s="18">
        <v>100.62</v>
      </c>
      <c r="I48" s="138">
        <f t="shared" si="39"/>
        <v>1.830109851474224E-2</v>
      </c>
      <c r="J48" s="138">
        <f t="shared" si="40"/>
        <v>2.2759489977969862E-2</v>
      </c>
      <c r="K48" s="138">
        <f t="shared" si="41"/>
        <v>4.1060588492712102E-2</v>
      </c>
      <c r="L48" s="37">
        <f t="shared" si="42"/>
        <v>3.7634509146808999E-2</v>
      </c>
      <c r="M48" s="139">
        <v>768.99</v>
      </c>
      <c r="N48" s="115">
        <f t="shared" si="44"/>
        <v>0.16191367898152123</v>
      </c>
      <c r="O48" s="139">
        <v>1231.57</v>
      </c>
      <c r="P48" s="137">
        <v>2.1100000000000001E-2</v>
      </c>
      <c r="Q48" s="61">
        <f>C48*(1+P49)*(1+P50)*(1+P51)*(1+P52)*(1+P53)*(1+P54)*(1+P55)</f>
        <v>160.36583803431267</v>
      </c>
      <c r="R48" s="116"/>
      <c r="S48" s="61"/>
      <c r="U48"/>
    </row>
    <row r="49" spans="1:22">
      <c r="A49" s="14">
        <v>2018</v>
      </c>
      <c r="B49" s="17">
        <v>2506.85</v>
      </c>
      <c r="C49" s="18">
        <v>152.78</v>
      </c>
      <c r="D49" s="18">
        <v>54.39</v>
      </c>
      <c r="E49" s="18">
        <v>96.11</v>
      </c>
      <c r="F49" s="18">
        <v>8.81</v>
      </c>
      <c r="G49" s="18">
        <f t="shared" si="43"/>
        <v>150.5</v>
      </c>
      <c r="H49" s="18">
        <f t="shared" ref="H49:H57" si="45">G49-F49</f>
        <v>141.69</v>
      </c>
      <c r="I49" s="138">
        <f t="shared" si="39"/>
        <v>2.1696551449029659E-2</v>
      </c>
      <c r="J49" s="138">
        <f t="shared" si="40"/>
        <v>3.8338951273510585E-2</v>
      </c>
      <c r="K49" s="138">
        <f t="shared" si="41"/>
        <v>6.003550272254024E-2</v>
      </c>
      <c r="L49" s="37">
        <f t="shared" si="42"/>
        <v>5.652113209805134E-2</v>
      </c>
      <c r="M49" s="139">
        <v>826.52</v>
      </c>
      <c r="N49" s="115">
        <f t="shared" si="44"/>
        <v>0.18484731161980353</v>
      </c>
      <c r="O49" s="139">
        <v>1325.89</v>
      </c>
      <c r="P49" s="137">
        <v>2.5399999999999999E-2</v>
      </c>
      <c r="Q49" s="61">
        <f>C49*(1+P50)*(1+P51)*(1+P52)*(1+P53)*(1+P54)*(1+P55)</f>
        <v>191.90258177871411</v>
      </c>
      <c r="R49" s="116"/>
      <c r="S49" s="61"/>
      <c r="U49"/>
    </row>
    <row r="50" spans="1:22">
      <c r="A50" s="14">
        <v>2019</v>
      </c>
      <c r="B50" s="17">
        <v>3230.78</v>
      </c>
      <c r="C50" s="18">
        <v>157.18</v>
      </c>
      <c r="D50" s="18">
        <v>58.5</v>
      </c>
      <c r="E50" s="18">
        <v>87.81</v>
      </c>
      <c r="F50" s="18">
        <v>8.81</v>
      </c>
      <c r="G50" s="18">
        <f t="shared" si="43"/>
        <v>146.31</v>
      </c>
      <c r="H50" s="18">
        <f t="shared" si="45"/>
        <v>137.5</v>
      </c>
      <c r="I50" s="138">
        <f t="shared" ref="I50:I53" si="46">D50/B50</f>
        <v>1.810708250020119E-2</v>
      </c>
      <c r="J50" s="138">
        <f t="shared" ref="J50:J53" si="47">E50/B50</f>
        <v>2.7179195116968657E-2</v>
      </c>
      <c r="K50" s="138">
        <f t="shared" ref="K50:K53" si="48">I50+J50</f>
        <v>4.5286277617169843E-2</v>
      </c>
      <c r="L50" s="37">
        <f t="shared" ref="L50:L55" si="49">H50/B50</f>
        <v>4.2559381944917325E-2</v>
      </c>
      <c r="M50" s="139">
        <v>851.62</v>
      </c>
      <c r="N50" s="115">
        <f t="shared" si="44"/>
        <v>0.18456588619337264</v>
      </c>
      <c r="O50" s="139">
        <v>1392.48</v>
      </c>
      <c r="P50" s="137">
        <v>2.2599999999999999E-2</v>
      </c>
      <c r="Q50" s="61">
        <f>C50*(1+P51)*(1+P52)*(1+P53)*(1+P54)*(1+P55)</f>
        <v>193.06600405375934</v>
      </c>
      <c r="R50" s="116"/>
      <c r="S50" s="61"/>
      <c r="U50"/>
    </row>
    <row r="51" spans="1:22">
      <c r="A51" s="14">
        <v>2020</v>
      </c>
      <c r="B51" s="17">
        <v>3756.07</v>
      </c>
      <c r="C51" s="18">
        <v>139.76</v>
      </c>
      <c r="D51" s="18">
        <v>57</v>
      </c>
      <c r="E51" s="18">
        <v>61.66</v>
      </c>
      <c r="F51" s="18">
        <v>12.44</v>
      </c>
      <c r="G51" s="18">
        <f t="shared" si="43"/>
        <v>118.66</v>
      </c>
      <c r="H51" s="18">
        <f t="shared" si="45"/>
        <v>106.22</v>
      </c>
      <c r="I51" s="138">
        <f t="shared" si="46"/>
        <v>1.5175436027550072E-2</v>
      </c>
      <c r="J51" s="138">
        <f t="shared" si="47"/>
        <v>1.6416094481732233E-2</v>
      </c>
      <c r="K51" s="138">
        <f t="shared" si="48"/>
        <v>3.1591530509282303E-2</v>
      </c>
      <c r="L51" s="37">
        <f t="shared" si="49"/>
        <v>2.827955815519945E-2</v>
      </c>
      <c r="M51" s="139">
        <v>914.5</v>
      </c>
      <c r="N51" s="115">
        <f t="shared" si="44"/>
        <v>0.15282668124658283</v>
      </c>
      <c r="O51" s="139">
        <v>1364.13</v>
      </c>
      <c r="P51" s="137">
        <v>1.2999999999999999E-2</v>
      </c>
      <c r="Q51" s="61">
        <f>C51*(1+P52)*(1+P53)*(1+P54)*(1+P55)</f>
        <v>169.46576253552652</v>
      </c>
      <c r="R51" s="116"/>
      <c r="S51" s="61"/>
      <c r="U51"/>
    </row>
    <row r="52" spans="1:22">
      <c r="A52" s="14">
        <v>2021</v>
      </c>
      <c r="B52" s="17">
        <v>4766.18</v>
      </c>
      <c r="C52" s="18">
        <v>205.35</v>
      </c>
      <c r="D52" s="18">
        <v>60.65</v>
      </c>
      <c r="E52" s="18">
        <v>104.61</v>
      </c>
      <c r="F52" s="18">
        <v>8.68</v>
      </c>
      <c r="G52" s="18">
        <f t="shared" si="43"/>
        <v>165.26</v>
      </c>
      <c r="H52" s="18">
        <f t="shared" si="45"/>
        <v>156.57999999999998</v>
      </c>
      <c r="I52" s="138">
        <f t="shared" si="46"/>
        <v>1.2725075427281386E-2</v>
      </c>
      <c r="J52" s="138">
        <f t="shared" si="47"/>
        <v>2.1948394731210318E-2</v>
      </c>
      <c r="K52" s="138">
        <f t="shared" si="48"/>
        <v>3.4673470158491704E-2</v>
      </c>
      <c r="L52" s="37">
        <f t="shared" si="49"/>
        <v>3.2852305200391084E-2</v>
      </c>
      <c r="M52" s="139">
        <v>927.52</v>
      </c>
      <c r="N52" s="115">
        <f t="shared" si="44"/>
        <v>0.22139684319475592</v>
      </c>
      <c r="O52" s="139">
        <v>1511.1</v>
      </c>
      <c r="P52" s="137">
        <v>7.1499999999999994E-2</v>
      </c>
      <c r="Q52" s="61">
        <f>C52*(1+P53)*(1+P54)*(1+P55)</f>
        <v>232.3815317069805</v>
      </c>
      <c r="R52" s="116"/>
      <c r="S52" s="61"/>
      <c r="U52"/>
    </row>
    <row r="53" spans="1:22">
      <c r="A53" s="14">
        <v>2022</v>
      </c>
      <c r="B53" s="17">
        <v>3839.5</v>
      </c>
      <c r="C53" s="18">
        <v>198.85</v>
      </c>
      <c r="D53" s="18">
        <v>66.98</v>
      </c>
      <c r="E53" s="18">
        <v>109.47</v>
      </c>
      <c r="F53" s="18">
        <v>7.73</v>
      </c>
      <c r="G53" s="18">
        <f>D53+E53</f>
        <v>176.45</v>
      </c>
      <c r="H53" s="18">
        <f>G53-F53</f>
        <v>168.72</v>
      </c>
      <c r="I53" s="138">
        <f t="shared" si="46"/>
        <v>1.744497981508009E-2</v>
      </c>
      <c r="J53" s="138">
        <f t="shared" si="47"/>
        <v>2.8511524938142987E-2</v>
      </c>
      <c r="K53" s="138">
        <f t="shared" si="48"/>
        <v>4.5956504753223076E-2</v>
      </c>
      <c r="L53" s="37">
        <f t="shared" si="49"/>
        <v>4.3943221773668446E-2</v>
      </c>
      <c r="M53" s="139">
        <v>1008.02</v>
      </c>
      <c r="N53" s="115">
        <f t="shared" si="44"/>
        <v>0.19726791135096525</v>
      </c>
      <c r="O53" s="139">
        <v>1714.63</v>
      </c>
      <c r="P53" s="137">
        <v>6.4199999999999993E-2</v>
      </c>
      <c r="Q53" s="61">
        <f>C53*(1+P54)*(1+P55)</f>
        <v>211.4507566275</v>
      </c>
      <c r="R53" s="116"/>
      <c r="S53" s="61"/>
      <c r="U53"/>
    </row>
    <row r="54" spans="1:22">
      <c r="A54" s="14">
        <v>2023</v>
      </c>
      <c r="B54" s="17">
        <v>4769.3900000000003</v>
      </c>
      <c r="C54" s="141">
        <v>211.19</v>
      </c>
      <c r="D54" s="141">
        <v>70.069999999999993</v>
      </c>
      <c r="E54" s="141">
        <v>94.72</v>
      </c>
      <c r="F54" s="18">
        <v>8.0299999999999994</v>
      </c>
      <c r="G54" s="18">
        <f>D54+E54</f>
        <v>164.79</v>
      </c>
      <c r="H54" s="18">
        <f>G54-F54</f>
        <v>156.76</v>
      </c>
      <c r="I54" s="138">
        <f t="shared" ref="I54:I55" si="50">D54/B54</f>
        <v>1.4691606264113437E-2</v>
      </c>
      <c r="J54" s="138">
        <f t="shared" ref="J54:J55" si="51">E54/B54</f>
        <v>1.985998209414621E-2</v>
      </c>
      <c r="K54" s="138">
        <f t="shared" ref="K54:K55" si="52">I54+J54</f>
        <v>3.4551588358259645E-2</v>
      </c>
      <c r="L54" s="37">
        <f t="shared" si="49"/>
        <v>3.2867934893141465E-2</v>
      </c>
      <c r="M54" s="139">
        <v>1024.56</v>
      </c>
      <c r="N54" s="115">
        <f t="shared" si="44"/>
        <v>0.20612750839384714</v>
      </c>
      <c r="O54" s="139">
        <v>1860.31</v>
      </c>
      <c r="P54" s="137">
        <v>3.3500000000000002E-2</v>
      </c>
      <c r="Q54" s="61">
        <f>C54*(1+P55)</f>
        <v>217.29339099999999</v>
      </c>
      <c r="R54" s="116"/>
      <c r="S54" s="61"/>
      <c r="U54"/>
    </row>
    <row r="55" spans="1:22">
      <c r="A55" s="14">
        <v>2024</v>
      </c>
      <c r="B55" s="17">
        <v>5580.94</v>
      </c>
      <c r="C55" s="141">
        <v>232.33</v>
      </c>
      <c r="D55" s="141">
        <v>74.349999999999994</v>
      </c>
      <c r="E55" s="141">
        <v>111.3</v>
      </c>
      <c r="F55" s="18">
        <v>11.86</v>
      </c>
      <c r="G55" s="18">
        <f>D55+E55</f>
        <v>185.64999999999998</v>
      </c>
      <c r="H55" s="18">
        <f>G55-F55</f>
        <v>173.78999999999996</v>
      </c>
      <c r="I55" s="138">
        <f t="shared" si="50"/>
        <v>1.3322128530319265E-2</v>
      </c>
      <c r="J55" s="138">
        <f t="shared" si="51"/>
        <v>1.9942877006382437E-2</v>
      </c>
      <c r="K55" s="138">
        <f t="shared" si="52"/>
        <v>3.3265005536701704E-2</v>
      </c>
      <c r="L55" s="37">
        <f t="shared" si="49"/>
        <v>3.113991549810605E-2</v>
      </c>
      <c r="M55" s="139">
        <v>1106.2</v>
      </c>
      <c r="N55" s="115">
        <f t="shared" si="44"/>
        <v>0.21002531187850298</v>
      </c>
      <c r="O55" s="139">
        <v>1872.3</v>
      </c>
      <c r="P55" s="137">
        <v>2.8899999999999999E-2</v>
      </c>
      <c r="Q55" s="61">
        <v>232.33</v>
      </c>
      <c r="R55" s="116"/>
      <c r="S55" s="61"/>
      <c r="U55"/>
    </row>
    <row r="56" spans="1:22" s="102" customFormat="1">
      <c r="A56" s="140" t="s">
        <v>131</v>
      </c>
      <c r="B56" s="141">
        <f>D29</f>
        <v>6848.09</v>
      </c>
      <c r="C56" s="141">
        <f>B87*B79</f>
        <v>255.59641893384909</v>
      </c>
      <c r="D56" s="141">
        <f>C87*B79</f>
        <v>78.512262336880156</v>
      </c>
      <c r="E56" s="141">
        <f>D87*B79</f>
        <v>120.47363629391688</v>
      </c>
      <c r="F56" s="141">
        <f>F57</f>
        <v>9.7206736208725868</v>
      </c>
      <c r="G56" s="141">
        <f t="shared" si="43"/>
        <v>198.98589863079704</v>
      </c>
      <c r="H56" s="141">
        <f t="shared" si="45"/>
        <v>189.26522500992445</v>
      </c>
      <c r="I56" s="142">
        <f t="shared" si="39"/>
        <v>1.1464840902628346E-2</v>
      </c>
      <c r="J56" s="142">
        <f t="shared" si="40"/>
        <v>1.7592297457235066E-2</v>
      </c>
      <c r="K56" s="142">
        <f t="shared" si="41"/>
        <v>2.9057138359863413E-2</v>
      </c>
      <c r="L56" s="143">
        <f t="shared" si="42"/>
        <v>2.7637666124411982E-2</v>
      </c>
      <c r="M56" s="144">
        <v>1106.21</v>
      </c>
      <c r="N56" s="145">
        <f t="shared" si="35"/>
        <v>0.23105596490164534</v>
      </c>
      <c r="O56" s="144">
        <v>1872.3</v>
      </c>
      <c r="P56" s="146">
        <v>2.7400000000000001E-2</v>
      </c>
      <c r="Q56" s="147">
        <f>C56</f>
        <v>255.59641893384909</v>
      </c>
      <c r="R56" s="101" t="s">
        <v>41</v>
      </c>
      <c r="U56" s="103"/>
      <c r="V56" s="104"/>
    </row>
    <row r="57" spans="1:22" s="74" customFormat="1">
      <c r="A57" s="109" t="s">
        <v>146</v>
      </c>
      <c r="B57" s="110"/>
      <c r="C57" s="111">
        <f>B91*F91</f>
        <v>254.4690108186721</v>
      </c>
      <c r="D57" s="111">
        <f>C91*F91</f>
        <v>0</v>
      </c>
      <c r="E57" s="111">
        <f>D91*F91</f>
        <v>95.032930442886197</v>
      </c>
      <c r="F57" s="111">
        <f>E91*F91</f>
        <v>9.7206736208725868</v>
      </c>
      <c r="G57" s="112">
        <f t="shared" si="43"/>
        <v>95.032930442886197</v>
      </c>
      <c r="H57" s="112">
        <f t="shared" si="45"/>
        <v>85.312256822013609</v>
      </c>
      <c r="Q57" s="113" t="s">
        <v>132</v>
      </c>
      <c r="U57" s="114"/>
    </row>
    <row r="58" spans="1:22">
      <c r="B58" s="14" t="s">
        <v>212</v>
      </c>
      <c r="C58" s="14" t="s">
        <v>33</v>
      </c>
      <c r="D58" s="14" t="s">
        <v>31</v>
      </c>
      <c r="E58" s="14" t="s">
        <v>32</v>
      </c>
      <c r="F58" s="14" t="s">
        <v>14</v>
      </c>
      <c r="G58" s="14" t="s">
        <v>10</v>
      </c>
      <c r="M58" s="61"/>
    </row>
    <row r="59" spans="1:22">
      <c r="B59" s="14">
        <v>2025</v>
      </c>
      <c r="C59" s="14">
        <v>49810</v>
      </c>
      <c r="D59" s="14">
        <v>5881.63</v>
      </c>
      <c r="E59" s="14">
        <f t="shared" ref="E59:E68" si="53">D59/C59</f>
        <v>0.11808130897410159</v>
      </c>
      <c r="F59" s="14">
        <v>629.62</v>
      </c>
      <c r="G59" s="14">
        <v>947.55</v>
      </c>
      <c r="M59" s="61"/>
    </row>
    <row r="60" spans="1:22">
      <c r="B60" s="14">
        <v>2024</v>
      </c>
      <c r="C60" s="14">
        <v>40039</v>
      </c>
      <c r="D60" s="14">
        <v>4769.3500000000004</v>
      </c>
      <c r="E60" s="14">
        <f t="shared" si="53"/>
        <v>0.11911761032992833</v>
      </c>
      <c r="F60" s="14">
        <v>588.24</v>
      </c>
      <c r="G60" s="14">
        <v>795.16</v>
      </c>
      <c r="M60" s="61"/>
    </row>
    <row r="61" spans="1:22">
      <c r="B61" s="14">
        <v>2023</v>
      </c>
      <c r="C61" s="14">
        <v>32133</v>
      </c>
      <c r="D61" s="14">
        <v>3859.5</v>
      </c>
      <c r="E61" s="14">
        <f t="shared" si="53"/>
        <v>0.12011016711791617</v>
      </c>
      <c r="F61" s="14">
        <v>564.57000000000005</v>
      </c>
      <c r="G61" s="14">
        <v>922.68</v>
      </c>
      <c r="M61" s="61"/>
    </row>
    <row r="62" spans="1:22">
      <c r="B62" s="14">
        <v>2022</v>
      </c>
      <c r="C62" s="14">
        <v>40356</v>
      </c>
      <c r="D62" s="14">
        <v>4766.18</v>
      </c>
      <c r="E62" s="14">
        <f t="shared" si="53"/>
        <v>0.11810337991872337</v>
      </c>
      <c r="F62" s="14">
        <v>511.23</v>
      </c>
      <c r="G62" s="14">
        <v>881.71</v>
      </c>
      <c r="M62" s="61"/>
    </row>
    <row r="63" spans="1:22">
      <c r="B63" s="14">
        <v>2021</v>
      </c>
      <c r="C63" s="14">
        <v>31659</v>
      </c>
      <c r="D63" s="14">
        <v>3756.07</v>
      </c>
      <c r="E63" s="14">
        <f t="shared" si="53"/>
        <v>0.11864146056413659</v>
      </c>
      <c r="F63" s="17">
        <v>480.4</v>
      </c>
      <c r="G63" s="14">
        <v>519.69000000000005</v>
      </c>
      <c r="M63" s="61"/>
    </row>
    <row r="64" spans="1:22">
      <c r="B64" s="117">
        <v>2019</v>
      </c>
      <c r="C64" s="14">
        <v>26760</v>
      </c>
      <c r="D64" s="14">
        <v>3230</v>
      </c>
      <c r="E64" s="14">
        <f t="shared" si="53"/>
        <v>0.12070254110612855</v>
      </c>
      <c r="F64" s="134">
        <v>485.48</v>
      </c>
      <c r="G64" s="134">
        <v>728.74</v>
      </c>
      <c r="H64" s="72"/>
      <c r="M64" s="61"/>
    </row>
    <row r="65" spans="1:13">
      <c r="B65" s="117">
        <v>2018</v>
      </c>
      <c r="C65" s="14">
        <v>21033</v>
      </c>
      <c r="D65" s="14">
        <v>2506.85</v>
      </c>
      <c r="E65" s="14">
        <f t="shared" si="53"/>
        <v>0.11918651642656777</v>
      </c>
      <c r="F65" s="14">
        <v>456.31</v>
      </c>
      <c r="G65" s="14">
        <v>806.41</v>
      </c>
      <c r="M65" s="61"/>
    </row>
    <row r="66" spans="1:13">
      <c r="B66" s="117">
        <v>2017</v>
      </c>
      <c r="C66" s="14">
        <v>22821</v>
      </c>
      <c r="D66" s="14">
        <v>2673.61</v>
      </c>
      <c r="E66" s="14">
        <f t="shared" si="53"/>
        <v>0.11715568993470926</v>
      </c>
      <c r="F66" s="14">
        <v>419.77</v>
      </c>
      <c r="G66" s="14">
        <v>519.4</v>
      </c>
      <c r="H66" s="31"/>
      <c r="M66" s="61"/>
    </row>
    <row r="67" spans="1:13">
      <c r="B67" s="117">
        <v>2016</v>
      </c>
      <c r="C67" s="14">
        <v>19268</v>
      </c>
      <c r="D67" s="14">
        <v>2238.8200000000002</v>
      </c>
      <c r="E67" s="14">
        <f t="shared" si="53"/>
        <v>0.11619368901806104</v>
      </c>
      <c r="F67" s="17">
        <v>397.21</v>
      </c>
      <c r="G67" s="17">
        <v>536.38</v>
      </c>
      <c r="H67" s="31"/>
      <c r="M67" s="61"/>
    </row>
    <row r="68" spans="1:13">
      <c r="B68" s="117">
        <v>2015</v>
      </c>
      <c r="C68" s="14">
        <v>17956</v>
      </c>
      <c r="D68" s="14">
        <v>2043.94</v>
      </c>
      <c r="E68" s="14">
        <f t="shared" si="53"/>
        <v>0.11383047449320562</v>
      </c>
      <c r="F68" s="17">
        <v>382.46</v>
      </c>
      <c r="G68" s="17">
        <v>572.16</v>
      </c>
      <c r="M68" s="61"/>
    </row>
    <row r="69" spans="1:13">
      <c r="B69" s="117">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8">
        <v>2006</v>
      </c>
      <c r="C77" s="28">
        <v>12729</v>
      </c>
      <c r="D77" s="30">
        <f>B37</f>
        <v>1418.3</v>
      </c>
      <c r="E77" s="14">
        <f t="shared" si="54"/>
        <v>0.11142273548589834</v>
      </c>
      <c r="F77" s="28"/>
      <c r="G77" s="28"/>
      <c r="K77"/>
    </row>
    <row r="78" spans="1:13" ht="15" thickBot="1">
      <c r="B78" s="28" t="s">
        <v>13</v>
      </c>
      <c r="C78" s="28"/>
      <c r="D78" s="28"/>
      <c r="E78" s="62"/>
      <c r="F78" s="36"/>
      <c r="G78" s="36"/>
      <c r="K78"/>
    </row>
    <row r="79" spans="1:13" ht="15" thickBot="1">
      <c r="A79" s="10" t="s">
        <v>30</v>
      </c>
      <c r="B79" s="29">
        <f>E59</f>
        <v>0.11808130897410159</v>
      </c>
      <c r="C79" s="31" t="s">
        <v>276</v>
      </c>
      <c r="K79"/>
    </row>
    <row r="80" spans="1:13">
      <c r="K80"/>
    </row>
    <row r="81" spans="1:12">
      <c r="A81" s="72" t="s">
        <v>129</v>
      </c>
      <c r="K81"/>
    </row>
    <row r="82" spans="1:12">
      <c r="A82" s="21" t="s">
        <v>18</v>
      </c>
      <c r="B82" s="19" t="s">
        <v>43</v>
      </c>
      <c r="C82" s="19" t="s">
        <v>16</v>
      </c>
      <c r="D82" s="19" t="s">
        <v>17</v>
      </c>
      <c r="E82" s="14" t="s">
        <v>124</v>
      </c>
      <c r="K82"/>
    </row>
    <row r="83" spans="1:12">
      <c r="A83" s="21" t="s">
        <v>22</v>
      </c>
      <c r="B83" s="164">
        <v>617.34</v>
      </c>
      <c r="C83" s="165">
        <v>168.08</v>
      </c>
      <c r="D83" s="164">
        <v>249</v>
      </c>
      <c r="E83" s="69"/>
      <c r="F83" s="31" t="s">
        <v>291</v>
      </c>
      <c r="H83" s="31" t="s">
        <v>265</v>
      </c>
      <c r="L83"/>
    </row>
    <row r="84" spans="1:12">
      <c r="A84" s="21" t="s">
        <v>21</v>
      </c>
      <c r="B84" s="164">
        <v>541.59</v>
      </c>
      <c r="C84" s="165">
        <v>165.16</v>
      </c>
      <c r="D84" s="164">
        <v>234.57</v>
      </c>
      <c r="H84" s="31" t="s">
        <v>266</v>
      </c>
      <c r="K84"/>
    </row>
    <row r="85" spans="1:12">
      <c r="A85" s="21" t="s">
        <v>20</v>
      </c>
      <c r="B85" s="164">
        <v>487.33</v>
      </c>
      <c r="C85" s="165">
        <v>164.1</v>
      </c>
      <c r="D85" s="164">
        <v>293.45</v>
      </c>
      <c r="K85"/>
    </row>
    <row r="86" spans="1:12">
      <c r="A86" s="21" t="s">
        <v>19</v>
      </c>
      <c r="B86" s="165">
        <v>518.31982346645816</v>
      </c>
      <c r="C86" s="165">
        <v>167.56</v>
      </c>
      <c r="D86" s="165">
        <v>243.24</v>
      </c>
      <c r="K86"/>
    </row>
    <row r="87" spans="1:12">
      <c r="A87" s="21" t="s">
        <v>23</v>
      </c>
      <c r="B87" s="20">
        <f>SUM(B83:B86)</f>
        <v>2164.579823466458</v>
      </c>
      <c r="C87" s="20">
        <f>SUM(C83:C86)</f>
        <v>664.90000000000009</v>
      </c>
      <c r="D87" s="20">
        <f>SUM(D83:D86)</f>
        <v>1020.26</v>
      </c>
      <c r="E87" s="14">
        <f>E91</f>
        <v>88.218299999999999</v>
      </c>
    </row>
    <row r="89" spans="1:12" customFormat="1">
      <c r="A89" s="71" t="s">
        <v>151</v>
      </c>
    </row>
    <row r="90" spans="1:12" customFormat="1">
      <c r="A90" s="70" t="s">
        <v>130</v>
      </c>
      <c r="B90" t="s">
        <v>43</v>
      </c>
      <c r="C90" t="s">
        <v>16</v>
      </c>
      <c r="D90" t="s">
        <v>17</v>
      </c>
      <c r="E90" t="s">
        <v>124</v>
      </c>
      <c r="F90" t="s">
        <v>152</v>
      </c>
    </row>
    <row r="91" spans="1:12">
      <c r="A91" s="94">
        <v>44681</v>
      </c>
      <c r="B91" s="74">
        <f>'S&amp;P 500 Monthly Data (Cap IQ)'!G131/1000</f>
        <v>2309.3897000000002</v>
      </c>
      <c r="C91" s="74" t="b">
        <f>'S&amp;P 500 Monthly Data (Cap IQ)'!D130=1/1000</f>
        <v>0</v>
      </c>
      <c r="D91" s="73">
        <f>'S&amp;P 500 Monthly Data (Cap IQ)'!E131/1000</f>
        <v>862.45500000000004</v>
      </c>
      <c r="E91" s="74">
        <f>'S&amp;P 500 Monthly Data (Cap IQ)'!F131/1000</f>
        <v>88.218299999999999</v>
      </c>
      <c r="F91" s="75">
        <f>'S&amp;P 500 Monthly Data (Cap IQ)'!J131*1000</f>
        <v>0.11018885674369816</v>
      </c>
      <c r="H91" s="10" t="s">
        <v>303</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46"/>
  <sheetViews>
    <sheetView zoomScale="160" zoomScaleNormal="160" workbookViewId="0">
      <selection activeCell="H8" sqref="H8"/>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0.42578125" bestFit="1" customWidth="1"/>
    <col min="8" max="8" width="14" bestFit="1" customWidth="1"/>
    <col min="9" max="10" width="21.28515625" customWidth="1"/>
    <col min="11" max="11" width="13.42578125" customWidth="1"/>
    <col min="12" max="12" width="19.85546875" bestFit="1" customWidth="1"/>
  </cols>
  <sheetData>
    <row r="1" spans="1:9" ht="16">
      <c r="A1" s="249" t="s">
        <v>293</v>
      </c>
      <c r="B1" s="249"/>
      <c r="C1" s="249"/>
      <c r="D1" s="249"/>
      <c r="E1" s="153"/>
      <c r="F1" s="250" t="s">
        <v>304</v>
      </c>
      <c r="G1" s="250"/>
      <c r="H1" s="250"/>
      <c r="I1" s="250"/>
    </row>
    <row r="2" spans="1:9">
      <c r="A2" t="s">
        <v>5</v>
      </c>
      <c r="B2" t="s">
        <v>40</v>
      </c>
      <c r="D2" t="s">
        <v>39</v>
      </c>
      <c r="F2" s="14" t="s">
        <v>5</v>
      </c>
      <c r="G2" s="134" t="s">
        <v>300</v>
      </c>
      <c r="H2" s="81" t="s">
        <v>299</v>
      </c>
      <c r="I2" t="s">
        <v>39</v>
      </c>
    </row>
    <row r="3" spans="1:9">
      <c r="A3">
        <v>2023</v>
      </c>
      <c r="C3" s="108">
        <v>221.36</v>
      </c>
      <c r="F3" s="14">
        <v>2023</v>
      </c>
      <c r="G3" s="14"/>
      <c r="H3" s="108">
        <v>221.36</v>
      </c>
    </row>
    <row r="4" spans="1:9">
      <c r="A4">
        <v>2024</v>
      </c>
      <c r="C4" s="119">
        <v>243.32</v>
      </c>
      <c r="D4" t="s">
        <v>175</v>
      </c>
      <c r="F4" s="14">
        <v>2024</v>
      </c>
      <c r="G4" s="14"/>
      <c r="H4" s="226">
        <v>246.19</v>
      </c>
      <c r="I4" t="s">
        <v>190</v>
      </c>
    </row>
    <row r="5" spans="1:9">
      <c r="A5">
        <v>2025</v>
      </c>
      <c r="B5" s="27">
        <f>C5/C4-1</f>
        <v>0.17129705737300682</v>
      </c>
      <c r="C5" s="119">
        <v>285</v>
      </c>
      <c r="D5" t="s">
        <v>175</v>
      </c>
      <c r="F5" s="14">
        <v>2025</v>
      </c>
      <c r="G5" s="11"/>
      <c r="H5" s="227">
        <v>271.29000000000002</v>
      </c>
      <c r="I5" t="s">
        <v>190</v>
      </c>
    </row>
    <row r="6" spans="1:9">
      <c r="A6">
        <v>2026</v>
      </c>
      <c r="B6" s="27">
        <f>C6/C5-1</f>
        <v>0.12280701754385959</v>
      </c>
      <c r="C6" s="119">
        <v>320</v>
      </c>
      <c r="D6" t="s">
        <v>175</v>
      </c>
      <c r="F6" s="14">
        <v>2026</v>
      </c>
      <c r="G6" s="11">
        <f>H6/H5-1</f>
        <v>0.20855910649120868</v>
      </c>
      <c r="H6" s="227">
        <v>327.87</v>
      </c>
      <c r="I6" t="s">
        <v>190</v>
      </c>
    </row>
    <row r="7" spans="1:9">
      <c r="A7">
        <v>2027</v>
      </c>
      <c r="B7" s="27">
        <f>B6-(B6-B10)/3</f>
        <v>9.6538011695906395E-2</v>
      </c>
      <c r="C7" s="195"/>
      <c r="D7" s="156"/>
      <c r="F7" s="14">
        <v>2027</v>
      </c>
      <c r="G7" s="11">
        <f>H7/H6-1</f>
        <v>0.16140543508097727</v>
      </c>
      <c r="H7" s="227">
        <v>380.79</v>
      </c>
      <c r="I7" t="s">
        <v>190</v>
      </c>
    </row>
    <row r="8" spans="1:9">
      <c r="A8">
        <v>2028</v>
      </c>
      <c r="B8" s="38">
        <f>B6-2*(B6-B10)/3</f>
        <v>7.0269005847953203E-2</v>
      </c>
      <c r="F8" s="14">
        <v>2028</v>
      </c>
      <c r="G8" s="47">
        <f>G7-(G7-G10)/3</f>
        <v>0.12227029005398485</v>
      </c>
    </row>
    <row r="9" spans="1:9">
      <c r="A9">
        <v>2029</v>
      </c>
      <c r="B9" s="27">
        <f>B7-2*(B7-B10)/2</f>
        <v>4.3999999999999997E-2</v>
      </c>
      <c r="F9" s="14">
        <v>2029</v>
      </c>
      <c r="G9" s="11">
        <f>G7-2*(G7-G10)/3</f>
        <v>8.3135145026992416E-2</v>
      </c>
    </row>
    <row r="10" spans="1:9" ht="15" thickBot="1">
      <c r="A10">
        <v>2030</v>
      </c>
      <c r="B10" s="27">
        <f>'Impl premium calculator'!B10</f>
        <v>4.3999999999999997E-2</v>
      </c>
      <c r="F10" s="14">
        <v>2030</v>
      </c>
      <c r="G10" s="11">
        <f>'Impl premium calculator'!B10</f>
        <v>4.3999999999999997E-2</v>
      </c>
    </row>
    <row r="11" spans="1:9" ht="15" thickBot="1">
      <c r="A11" t="s">
        <v>29</v>
      </c>
      <c r="B11" s="148">
        <f>((1+B5)*(1+B6)*(1+B7)*(1+B8)*(1+B9))^(1/5)-1</f>
        <v>0.10011443139579446</v>
      </c>
      <c r="F11" s="14" t="s">
        <v>237</v>
      </c>
      <c r="G11" s="228">
        <f>((1+G6)*(1+G7)*(1+G8)*(1+G9)*(1+G10))^(1/5)-1</f>
        <v>0.12239693569012045</v>
      </c>
    </row>
    <row r="13" spans="1:9">
      <c r="A13" t="s">
        <v>100</v>
      </c>
    </row>
    <row r="14" spans="1:9">
      <c r="A14" s="63" t="s">
        <v>97</v>
      </c>
    </row>
    <row r="15" spans="1:9">
      <c r="A15" s="63" t="s">
        <v>96</v>
      </c>
    </row>
    <row r="16" spans="1:9">
      <c r="A16" s="63" t="s">
        <v>175</v>
      </c>
    </row>
    <row r="17" spans="1:10">
      <c r="A17" s="63" t="s">
        <v>177</v>
      </c>
      <c r="B17" t="s">
        <v>189</v>
      </c>
    </row>
    <row r="18" spans="1:10">
      <c r="A18" s="63"/>
      <c r="B18" t="s">
        <v>188</v>
      </c>
    </row>
    <row r="19" spans="1:10">
      <c r="A19" s="63"/>
    </row>
    <row r="20" spans="1:10">
      <c r="A20" s="63"/>
    </row>
    <row r="25" spans="1:10" ht="19">
      <c r="G25" s="248" t="s">
        <v>292</v>
      </c>
      <c r="H25" s="248"/>
      <c r="J25" s="155"/>
    </row>
    <row r="26" spans="1:10">
      <c r="G26" s="248" t="s">
        <v>196</v>
      </c>
      <c r="H26" s="248"/>
    </row>
    <row r="27" spans="1:10" ht="16">
      <c r="G27" s="158" t="s">
        <v>215</v>
      </c>
      <c r="H27" s="167" t="s">
        <v>294</v>
      </c>
      <c r="I27" s="167" t="s">
        <v>295</v>
      </c>
      <c r="J27" s="167" t="s">
        <v>216</v>
      </c>
    </row>
    <row r="28" spans="1:10" ht="16">
      <c r="G28" s="159" t="s">
        <v>229</v>
      </c>
      <c r="H28" s="167">
        <v>7100</v>
      </c>
      <c r="I28" s="160">
        <v>310</v>
      </c>
      <c r="J28" s="160">
        <f>H28/I28</f>
        <v>22.903225806451612</v>
      </c>
    </row>
    <row r="29" spans="1:10" ht="16">
      <c r="G29" s="159" t="s">
        <v>296</v>
      </c>
      <c r="H29" s="167">
        <v>7300</v>
      </c>
      <c r="I29" s="160">
        <v>310</v>
      </c>
      <c r="J29" s="160">
        <f t="shared" ref="J29:J42" si="0">H29/I29</f>
        <v>23.548387096774192</v>
      </c>
    </row>
    <row r="30" spans="1:10" ht="16">
      <c r="G30" s="159" t="s">
        <v>232</v>
      </c>
      <c r="H30" s="167">
        <v>7400</v>
      </c>
      <c r="I30" s="160">
        <v>305</v>
      </c>
      <c r="J30" s="160">
        <f t="shared" si="0"/>
        <v>24.262295081967213</v>
      </c>
    </row>
    <row r="31" spans="1:10" ht="16">
      <c r="G31" s="159" t="s">
        <v>271</v>
      </c>
      <c r="H31" s="167">
        <v>7400</v>
      </c>
      <c r="I31" s="160">
        <v>310</v>
      </c>
      <c r="J31" s="160">
        <f t="shared" si="0"/>
        <v>23.870967741935484</v>
      </c>
    </row>
    <row r="32" spans="1:10" ht="16">
      <c r="G32" s="159" t="s">
        <v>297</v>
      </c>
      <c r="H32" s="167">
        <v>7500</v>
      </c>
      <c r="I32" s="160">
        <v>300</v>
      </c>
      <c r="J32" s="160">
        <f t="shared" si="0"/>
        <v>25</v>
      </c>
    </row>
    <row r="33" spans="7:10" ht="16">
      <c r="G33" s="159" t="s">
        <v>175</v>
      </c>
      <c r="H33" s="167">
        <v>7700</v>
      </c>
      <c r="I33" s="160">
        <v>310</v>
      </c>
      <c r="J33" s="160">
        <f t="shared" si="0"/>
        <v>24.838709677419356</v>
      </c>
    </row>
    <row r="34" spans="7:10" ht="16">
      <c r="G34" s="159" t="s">
        <v>228</v>
      </c>
      <c r="H34" s="167">
        <v>8000</v>
      </c>
      <c r="I34" s="160">
        <v>320</v>
      </c>
      <c r="J34" s="160">
        <f t="shared" si="0"/>
        <v>25</v>
      </c>
    </row>
    <row r="35" spans="7:10" ht="16">
      <c r="G35" s="159" t="s">
        <v>298</v>
      </c>
      <c r="H35" s="167">
        <v>8000</v>
      </c>
      <c r="I35" s="160">
        <v>305</v>
      </c>
      <c r="J35" s="160">
        <f t="shared" si="0"/>
        <v>26.229508196721312</v>
      </c>
    </row>
    <row r="36" spans="7:10" ht="16">
      <c r="G36" s="159" t="s">
        <v>230</v>
      </c>
      <c r="H36" s="167">
        <v>7600</v>
      </c>
      <c r="I36" s="160">
        <v>305</v>
      </c>
      <c r="J36" s="160">
        <f t="shared" si="0"/>
        <v>24.918032786885245</v>
      </c>
    </row>
    <row r="37" spans="7:10" ht="16">
      <c r="G37" s="159" t="s">
        <v>272</v>
      </c>
      <c r="H37" s="167">
        <v>7500</v>
      </c>
      <c r="I37" s="160">
        <v>315</v>
      </c>
      <c r="J37" s="160">
        <f t="shared" si="0"/>
        <v>23.80952380952381</v>
      </c>
    </row>
    <row r="38" spans="7:10" ht="16">
      <c r="G38" s="159" t="s">
        <v>231</v>
      </c>
      <c r="H38" s="167">
        <v>7800</v>
      </c>
      <c r="I38" s="160">
        <v>317</v>
      </c>
      <c r="J38" s="160">
        <f t="shared" si="0"/>
        <v>24.605678233438486</v>
      </c>
    </row>
    <row r="39" spans="7:10" ht="16">
      <c r="G39" s="159" t="s">
        <v>273</v>
      </c>
      <c r="H39" s="167">
        <v>8100</v>
      </c>
      <c r="I39" s="160">
        <v>305</v>
      </c>
      <c r="J39" s="160">
        <f t="shared" si="0"/>
        <v>26.557377049180328</v>
      </c>
    </row>
    <row r="40" spans="7:10" ht="16">
      <c r="G40" s="159" t="s">
        <v>274</v>
      </c>
      <c r="H40" s="167">
        <v>7750</v>
      </c>
      <c r="I40" s="160">
        <v>311</v>
      </c>
      <c r="J40" s="160">
        <f t="shared" si="0"/>
        <v>24.919614147909968</v>
      </c>
    </row>
    <row r="41" spans="7:10" ht="16">
      <c r="G41" s="159" t="s">
        <v>197</v>
      </c>
      <c r="H41" s="167">
        <v>7500</v>
      </c>
      <c r="I41" s="160">
        <v>309</v>
      </c>
      <c r="J41" s="160">
        <f t="shared" si="0"/>
        <v>24.271844660194176</v>
      </c>
    </row>
    <row r="42" spans="7:10" ht="16">
      <c r="G42" s="159" t="s">
        <v>275</v>
      </c>
      <c r="H42" s="167">
        <v>7800</v>
      </c>
      <c r="I42" s="160">
        <v>310</v>
      </c>
      <c r="J42" s="160">
        <f t="shared" si="0"/>
        <v>25.161290322580644</v>
      </c>
    </row>
    <row r="43" spans="7:10">
      <c r="G43" s="133" t="s">
        <v>164</v>
      </c>
      <c r="H43" s="166">
        <f>AVERAGE(H28:H42)</f>
        <v>7630</v>
      </c>
      <c r="I43" s="166">
        <f>AVERAGE(I28:I42)</f>
        <v>309.46666666666664</v>
      </c>
      <c r="J43" s="17">
        <f>AVERAGE(J28:J42)</f>
        <v>24.659763640732123</v>
      </c>
    </row>
    <row r="44" spans="7:10">
      <c r="G44" s="133" t="s">
        <v>198</v>
      </c>
      <c r="H44" s="166">
        <f>MEDIAN(H28:H42)</f>
        <v>7600</v>
      </c>
      <c r="I44" s="166">
        <f>MEDIAN(I28:I42)</f>
        <v>310</v>
      </c>
      <c r="J44" s="17">
        <f>MEDIAN(J28:J42)</f>
        <v>24.838709677419356</v>
      </c>
    </row>
    <row r="45" spans="7:10">
      <c r="G45" s="133" t="s">
        <v>199</v>
      </c>
      <c r="H45" s="166">
        <f>MAX(H28:H42)</f>
        <v>8100</v>
      </c>
      <c r="I45" s="166">
        <f>MAX(I28:I42)</f>
        <v>320</v>
      </c>
      <c r="J45" s="17">
        <f>MAX(J28:J42)</f>
        <v>26.557377049180328</v>
      </c>
    </row>
    <row r="46" spans="7:10">
      <c r="G46" s="133" t="s">
        <v>200</v>
      </c>
      <c r="H46" s="166">
        <f>MIN(H28:H42)</f>
        <v>7100</v>
      </c>
      <c r="I46" s="166">
        <f>MIN(I28:I42)</f>
        <v>300</v>
      </c>
      <c r="J46" s="17">
        <f>MIN(J28:J42)</f>
        <v>22.903225806451612</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3">
        <v>2023</v>
      </c>
      <c r="B65" s="130">
        <v>4.6408362562187756E-2</v>
      </c>
      <c r="C65" s="132">
        <v>1.4690251015235342E-2</v>
      </c>
      <c r="D65" s="130">
        <v>3.8800000000000001E-2</v>
      </c>
      <c r="E65" s="131">
        <v>4.5999999999999999E-2</v>
      </c>
    </row>
    <row r="66" spans="1:5">
      <c r="A66" s="213">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16"/>
  <sheetViews>
    <sheetView topLeftCell="F177" zoomScale="120" zoomScaleNormal="120" workbookViewId="0">
      <selection activeCell="Q212" sqref="Q212:Q214"/>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5" width="17.28515625" style="10" customWidth="1"/>
    <col min="16" max="16" width="17.28515625" style="137" customWidth="1"/>
  </cols>
  <sheetData>
    <row r="1" spans="1:17" s="68" customFormat="1" ht="45">
      <c r="A1" s="43" t="s">
        <v>75</v>
      </c>
      <c r="B1" s="214" t="s">
        <v>76</v>
      </c>
      <c r="C1" s="43" t="s">
        <v>77</v>
      </c>
      <c r="D1" s="43" t="s">
        <v>284</v>
      </c>
      <c r="E1" s="43" t="s">
        <v>114</v>
      </c>
      <c r="F1" s="118" t="s">
        <v>78</v>
      </c>
      <c r="G1" s="43" t="s">
        <v>148</v>
      </c>
      <c r="H1" s="43" t="s">
        <v>79</v>
      </c>
      <c r="I1" s="43" t="s">
        <v>162</v>
      </c>
      <c r="J1" s="43" t="s">
        <v>80</v>
      </c>
      <c r="K1" s="43" t="s">
        <v>285</v>
      </c>
      <c r="L1" s="43" t="s">
        <v>81</v>
      </c>
      <c r="M1" s="43" t="s">
        <v>149</v>
      </c>
      <c r="N1" s="43" t="s">
        <v>128</v>
      </c>
      <c r="O1" s="43" t="s">
        <v>194</v>
      </c>
      <c r="P1" s="221" t="s">
        <v>227</v>
      </c>
      <c r="Q1" t="s">
        <v>115</v>
      </c>
    </row>
    <row r="2" spans="1:17">
      <c r="A2" s="40">
        <v>38230</v>
      </c>
      <c r="B2" s="64">
        <v>1252</v>
      </c>
      <c r="C2" s="36">
        <v>3.7199999999999997E-2</v>
      </c>
      <c r="D2" s="36"/>
      <c r="E2" s="61"/>
      <c r="G2" s="61"/>
      <c r="J2" s="36">
        <v>4.2200000000000001E-2</v>
      </c>
      <c r="K2" s="36"/>
      <c r="O2" s="36"/>
      <c r="P2" s="137">
        <f>Table167[[#This Row],[ERP (T12m)]]+Table167[[#This Row],[T.Bond Rate]]</f>
        <v>7.9399999999999998E-2</v>
      </c>
      <c r="Q2" s="27"/>
    </row>
    <row r="3" spans="1:17">
      <c r="A3" s="40">
        <v>38260</v>
      </c>
      <c r="B3" s="64">
        <v>1166</v>
      </c>
      <c r="C3" s="36">
        <v>3.8300000000000001E-2</v>
      </c>
      <c r="D3" s="36"/>
      <c r="E3" s="61"/>
      <c r="G3" s="61"/>
      <c r="J3" s="36">
        <v>4.5100000000000001E-2</v>
      </c>
      <c r="K3" s="36"/>
      <c r="O3" s="36"/>
      <c r="P3" s="137">
        <f>Table167[[#This Row],[ERP (T12m)]]+Table167[[#This Row],[T.Bond Rate]]</f>
        <v>8.3400000000000002E-2</v>
      </c>
    </row>
    <row r="4" spans="1:17">
      <c r="A4" s="40">
        <v>38291</v>
      </c>
      <c r="B4" s="64">
        <v>969</v>
      </c>
      <c r="C4" s="36">
        <v>3.95E-2</v>
      </c>
      <c r="D4" s="36"/>
      <c r="E4" s="61"/>
      <c r="G4" s="61"/>
      <c r="J4" s="36">
        <v>5.8999999999999997E-2</v>
      </c>
      <c r="K4" s="36"/>
      <c r="O4" s="36"/>
      <c r="P4" s="137">
        <f>Table167[[#This Row],[ERP (T12m)]]+Table167[[#This Row],[T.Bond Rate]]</f>
        <v>9.8500000000000004E-2</v>
      </c>
    </row>
    <row r="5" spans="1:17">
      <c r="A5" s="40">
        <v>38321</v>
      </c>
      <c r="B5" s="64">
        <v>896</v>
      </c>
      <c r="C5" s="36">
        <v>2.92E-2</v>
      </c>
      <c r="D5" s="36"/>
      <c r="E5" s="61"/>
      <c r="G5" s="61"/>
      <c r="J5" s="36">
        <v>6.6000000000000003E-2</v>
      </c>
      <c r="K5" s="36"/>
      <c r="O5" s="36"/>
      <c r="P5" s="137">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137">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137">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137">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137">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137">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137">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137">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137">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137">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137">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137">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137">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137">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137">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137">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137">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137">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137">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137">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137">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137">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137">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137">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137">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137">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137">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137">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137">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137">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137">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137">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137">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137">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137">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137">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137">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137">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137">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137">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137">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137">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137">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137">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137">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137">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137">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137">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137">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137">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137">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137">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137">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137">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137">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137">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137">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137">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137">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137">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137">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137">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137">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137">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137">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137">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137">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137">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137">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137">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137">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137">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137">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137">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137">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137">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137">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137">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137">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137">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137">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137">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137">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137">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137">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137">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137">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137">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137">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137">
        <f>Table167[[#This Row],[ERP (T12m)]]+Table167[[#This Row],[T.Bond Rate]]</f>
        <v>8.0500000000000002E-2</v>
      </c>
      <c r="Q94" t="s">
        <v>163</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137">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137">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137">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137">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137">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137">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137">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137">
        <f>Table167[[#This Row],[ERP (T12m)]]+Table167[[#This Row],[T.Bond Rate]]</f>
        <v>8.14E-2</v>
      </c>
      <c r="Q102" t="s">
        <v>172</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137">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137">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137">
        <f>Table167[[#This Row],[ERP (T12m)]]+Table167[[#This Row],[T.Bond Rate]]</f>
        <v>7.7700000000000005E-2</v>
      </c>
      <c r="Q105" t="s">
        <v>172</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137">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137">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137">
        <f>Table167[[#This Row],[ERP (T12m)]]+Table167[[#This Row],[T.Bond Rate]]</f>
        <v>7.4300000000000005E-2</v>
      </c>
      <c r="Q108" t="s">
        <v>172</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137">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137">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137">
        <f>Table167[[#This Row],[ERP (T12m)]]+Table167[[#This Row],[T.Bond Rate]]</f>
        <v>7.2500000000000009E-2</v>
      </c>
      <c r="Q111" t="s">
        <v>172</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137">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137">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137">
        <f>Table167[[#This Row],[ERP (T12m)]]+Table167[[#This Row],[T.Bond Rate]]</f>
        <v>7.4899999999999994E-2</v>
      </c>
      <c r="Q114" t="s">
        <v>176</v>
      </c>
    </row>
    <row r="115" spans="1:17">
      <c r="A115" s="40">
        <v>41670</v>
      </c>
      <c r="B115" s="64">
        <v>2824</v>
      </c>
      <c r="C115" s="36">
        <v>2.7400000000000001E-2</v>
      </c>
      <c r="D115" s="36"/>
      <c r="E115" s="61">
        <v>134.09</v>
      </c>
      <c r="F115" s="61">
        <v>108.28</v>
      </c>
      <c r="G115" s="61" t="s">
        <v>178</v>
      </c>
      <c r="H115" s="36">
        <v>7.17E-2</v>
      </c>
      <c r="I115" s="36">
        <v>4.3700000000000003E-2</v>
      </c>
      <c r="J115" s="36">
        <v>4.7800000000000002E-2</v>
      </c>
      <c r="K115" s="36"/>
      <c r="L115" s="36">
        <v>5.8999999999999997E-2</v>
      </c>
      <c r="M115" s="36">
        <v>3.7600000000000001E-2</v>
      </c>
      <c r="N115" s="36">
        <v>4.4400000000000002E-2</v>
      </c>
      <c r="O115" s="36"/>
      <c r="P115" s="137">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137">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137">
        <f>Table167[[#This Row],[ERP (T12m)]]+Table167[[#This Row],[T.Bond Rate]]</f>
        <v>7.9300000000000009E-2</v>
      </c>
      <c r="Q117" t="s">
        <v>176</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137">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137">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137">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137">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137">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137">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137">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137">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137">
        <f>Table167[[#This Row],[ERP (T12m)]]+Table167[[#This Row],[T.Bond Rate]]</f>
        <v>8.6400000000000005E-2</v>
      </c>
      <c r="Q126" t="s">
        <v>176</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137">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137">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137">
        <f>Table167[[#This Row],[ERP (T12m)]]+Table167[[#This Row],[T.Bond Rate]]</f>
        <v>8.1500000000000003E-2</v>
      </c>
      <c r="Q129" t="s">
        <v>176</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137">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137">
        <f>Table167[[#This Row],[ERP (T12m)]]+Table167[[#This Row],[T.Bond Rate]]</f>
        <v>8.0699999999999994E-2</v>
      </c>
      <c r="Q131" t="s">
        <v>191</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137">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137">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137">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137">
        <f>Table167[[#This Row],[ERP (T12m)]]+Table167[[#This Row],[T.Bond Rate]]</f>
        <v>7.22E-2</v>
      </c>
      <c r="Q135" t="s">
        <v>176</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137">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137">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137">
        <f>Table167[[#This Row],[ERP (T12m)]]+Table167[[#This Row],[T.Bond Rate]]</f>
        <v>7.1199999999999999E-2</v>
      </c>
      <c r="Q138" t="s">
        <v>176</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137">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137">
        <f>Table167[[#This Row],[ERP (T12m)]]+Table167[[#This Row],[T.Bond Rate]]</f>
        <v>6.8199999999999997E-2</v>
      </c>
      <c r="Q140" t="s">
        <v>192</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137">
        <f>Table167[[#This Row],[ERP (T12m)]]+Table167[[#This Row],[T.Bond Rate]]</f>
        <v>6.8400000000000002E-2</v>
      </c>
      <c r="Q141" t="s">
        <v>195</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137">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137">
        <f>Table167[[#This Row],[ERP (T12m)]]+Table167[[#This Row],[T.Bond Rate]]</f>
        <v>6.1100000000000002E-2</v>
      </c>
      <c r="Q143" t="s">
        <v>202</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137">
        <f>Table167[[#This Row],[ERP (T12m)]]+Table167[[#This Row],[T.Bond Rate]]</f>
        <v>6.0299999999999999E-2</v>
      </c>
      <c r="Q144" t="s">
        <v>203</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137">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137">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137">
        <f>Table167[[#This Row],[ERP (T12m)]]+Table167[[#This Row],[T.Bond Rate]]</f>
        <v>5.4300000000000001E-2</v>
      </c>
      <c r="Q147" t="s">
        <v>203</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137">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137">
        <f>Table167[[#This Row],[ERP (T12m)]]+Table167[[#This Row],[T.Bond Rate]]</f>
        <v>5.33E-2</v>
      </c>
      <c r="Q149" t="s">
        <v>192</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137">
        <f>Table167[[#This Row],[ERP (T12m)]]+Table167[[#This Row],[T.Bond Rate]]</f>
        <v>5.1299999999999998E-2</v>
      </c>
      <c r="Q150" t="s">
        <v>211</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137">
        <f>Table167[[#This Row],[ERP (T12m)]]+Table167[[#This Row],[T.Bond Rate]]</f>
        <v>5.8700000000000002E-2</v>
      </c>
      <c r="Q151" t="s">
        <v>210</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137">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137">
        <f>Table167[[#This Row],[ERP (T12m)]]+Table167[[#This Row],[T.Bond Rate]]</f>
        <v>5.8900000000000001E-2</v>
      </c>
      <c r="Q153" t="s">
        <v>203</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137">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137">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137">
        <f>Table167[[#This Row],[ERP (T12m)]]+Table167[[#This Row],[T.Bond Rate]]</f>
        <v>5.4300000000000001E-2</v>
      </c>
      <c r="Q156" t="s">
        <v>203</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137">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137">
        <f>Table167[[#This Row],[ERP (T12m)]]+Table167[[#This Row],[T.Bond Rate]]</f>
        <v>5.5199999999999999E-2</v>
      </c>
      <c r="Q158" t="s">
        <v>202</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137">
        <f>Table167[[#This Row],[ERP (T12m)]]+Table167[[#This Row],[T.Bond Rate]]</f>
        <v>6.3899999999999998E-2</v>
      </c>
      <c r="Q159" t="s">
        <v>203</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137">
        <f>Table167[[#This Row],[ERP (T12m)]]+Table167[[#This Row],[T.Bond Rate]]</f>
        <v>6.1399999999999996E-2</v>
      </c>
      <c r="Q160" t="s">
        <v>203</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137">
        <f>Table167[[#This Row],[ERP (T12m)]]+Table167[[#This Row],[T.Bond Rate]]</f>
        <v>6.2399999999999997E-2</v>
      </c>
      <c r="Q161" t="s">
        <v>203</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214</v>
      </c>
      <c r="P162" s="137">
        <f>Table167[[#This Row],[ERP (T12m)]]+Table167[[#This Row],[T.Bond Rate]]</f>
        <v>5.7500000000000002E-2</v>
      </c>
      <c r="Q162" t="s">
        <v>203</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137">
        <f>Table167[[#This Row],[ERP (T12m)]]+Table167[[#This Row],[T.Bond Rate]]</f>
        <v>6.3500000000000001E-2</v>
      </c>
      <c r="Q163" t="s">
        <v>203</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137">
        <f>Table167[[#This Row],[ERP (T12m)]]+Table167[[#This Row],[T.Bond Rate]]</f>
        <v>6.5799999999999997E-2</v>
      </c>
      <c r="Q164" t="s">
        <v>203</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137">
        <f>Table167[[#This Row],[ERP (T12m)]]+Table167[[#This Row],[T.Bond Rate]]</f>
        <v>7.0599999999999996E-2</v>
      </c>
      <c r="Q165" t="s">
        <v>203</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137">
        <f>Table167[[#This Row],[ERP (T12m)]]+Table167[[#This Row],[T.Bond Rate]]</f>
        <v>8.0299999999999996E-2</v>
      </c>
      <c r="Q166" t="s">
        <v>203</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137">
        <f>Table167[[#This Row],[ERP (T12m)]]+Table167[[#This Row],[T.Bond Rate]]</f>
        <v>7.9300000000000009E-2</v>
      </c>
      <c r="Q167" t="s">
        <v>203</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137">
        <f>Table167[[#This Row],[ERP (T12m)]]+Table167[[#This Row],[T.Bond Rate]]</f>
        <v>9.0300000000000005E-2</v>
      </c>
      <c r="Q168" t="s">
        <v>203</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137">
        <f>Table167[[#This Row],[ERP (T12m)]]+Table167[[#This Row],[T.Bond Rate]]</f>
        <v>8.0699999999999994E-2</v>
      </c>
      <c r="Q169" t="s">
        <v>203</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137">
        <f>Table167[[#This Row],[ERP (T12m)]]+Table167[[#This Row],[T.Bond Rate]]</f>
        <v>8.6400000000000005E-2</v>
      </c>
      <c r="Q170" t="s">
        <v>203</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137">
        <f>Table167[[#This Row],[ERP (T12m)]]+Table167[[#This Row],[T.Bond Rate]]</f>
        <v>0.1003</v>
      </c>
      <c r="Q171" t="s">
        <v>203</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137">
        <f>Table167[[#This Row],[ERP (T12m)]]+Table167[[#This Row],[T.Bond Rate]]</f>
        <v>9.5299999999999996E-2</v>
      </c>
      <c r="Q172" t="s">
        <v>203</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137">
        <f>Table167[[#This Row],[ERP (T12m)]]+Table167[[#This Row],[T.Bond Rate]]</f>
        <v>8.8700000000000001E-2</v>
      </c>
      <c r="Q173" t="s">
        <v>203</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137">
        <f>Table167[[#This Row],[ERP (T12m)]]+Table167[[#This Row],[T.Bond Rate]]</f>
        <v>9.820000000000001E-2</v>
      </c>
      <c r="Q174" t="s">
        <v>233</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137">
        <f>Table167[[#This Row],[ERP (T12m)]]+Table167[[#This Row],[T.Bond Rate]]</f>
        <v>9.06E-2</v>
      </c>
      <c r="Q175" t="s">
        <v>202</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137">
        <f>Table167[[#This Row],[ERP (T12m)]]+Table167[[#This Row],[T.Bond Rate]]</f>
        <v>9.5000000000000001E-2</v>
      </c>
      <c r="Q176" t="s">
        <v>202</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137">
        <f>Table167[[#This Row],[ERP (T12m)]]+Table167[[#This Row],[T.Bond Rate]]</f>
        <v>8.9099999999999999E-2</v>
      </c>
      <c r="Q177" t="s">
        <v>233</v>
      </c>
    </row>
    <row r="178" spans="1:17">
      <c r="A178" s="40">
        <v>43585</v>
      </c>
      <c r="B178" s="64">
        <v>4169</v>
      </c>
      <c r="C178" s="36">
        <v>3.4200000000000001E-2</v>
      </c>
      <c r="D178" s="36"/>
      <c r="E178" s="61">
        <v>187.83</v>
      </c>
      <c r="F178" s="61">
        <v>176.45</v>
      </c>
      <c r="G178" s="170">
        <v>152.69999999999999</v>
      </c>
      <c r="H178" s="36">
        <v>5.4199999999999998E-2</v>
      </c>
      <c r="I178" s="36">
        <v>4.7699999999999999E-2</v>
      </c>
      <c r="J178" s="36">
        <v>5.2999999999999999E-2</v>
      </c>
      <c r="K178" s="36"/>
      <c r="L178" s="36">
        <v>5.57E-2</v>
      </c>
      <c r="M178" s="36">
        <v>4.5199999999999997E-2</v>
      </c>
      <c r="N178" s="36">
        <v>5.0900000000000001E-2</v>
      </c>
      <c r="O178" s="36"/>
      <c r="P178" s="137">
        <f>Table167[[#This Row],[ERP (T12m)]]+Table167[[#This Row],[T.Bond Rate]]</f>
        <v>8.72E-2</v>
      </c>
      <c r="Q178" t="s">
        <v>202</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137">
        <f>Table167[[#This Row],[ERP (T12m)]]+Table167[[#This Row],[T.Bond Rate]]</f>
        <v>8.8900000000000007E-2</v>
      </c>
      <c r="Q179" t="s">
        <v>202</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137">
        <f>Table167[[#This Row],[ERP (T12m)]]+Table167[[#This Row],[T.Bond Rate]]</f>
        <v>8.8100000000000012E-2</v>
      </c>
      <c r="Q180" t="s">
        <v>203</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137">
        <f>Table167[[#This Row],[ERP (T12m)]]+Table167[[#This Row],[T.Bond Rate]]</f>
        <v>8.7999999999999995E-2</v>
      </c>
      <c r="Q181" t="s">
        <v>202</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137">
        <f>Table167[[#This Row],[ERP (T12m)]]+Table167[[#This Row],[T.Bond Rate]]</f>
        <v>9.01E-2</v>
      </c>
      <c r="Q182" t="s">
        <v>202</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137">
        <f>Table167[[#This Row],[ERP (T12m)]]+Table167[[#This Row],[T.Bond Rate]]</f>
        <v>9.4200000000000006E-2</v>
      </c>
      <c r="Q183" t="s">
        <v>203</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137">
        <f>Table167[[#This Row],[ERP (T12m)]]+Table167[[#This Row],[T.Bond Rate]]</f>
        <v>9.8099999999999993E-2</v>
      </c>
      <c r="Q184" t="s">
        <v>202</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137">
        <f>Table167[[#This Row],[ERP (T12m)]]+Table167[[#This Row],[T.Bond Rate]]</f>
        <v>8.8599999999999998E-2</v>
      </c>
      <c r="Q185" t="s">
        <v>202</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137">
        <f>Table167[[#This Row],[ERP (T12m)]]+Table167[[#This Row],[T.Bond Rate]]</f>
        <v>8.48E-2</v>
      </c>
      <c r="Q186" t="s">
        <v>233</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137">
        <f>Table167[[#This Row],[ERP (T12m)]]+Table167[[#This Row],[T.Bond Rate]]</f>
        <v>8.4400000000000003E-2</v>
      </c>
      <c r="Q187" t="s">
        <v>202</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137">
        <f>Table167[[#This Row],[ERP (T12m)]]+Table167[[#This Row],[T.Bond Rate]]</f>
        <v>8.5999999999999993E-2</v>
      </c>
      <c r="Q188" t="s">
        <v>202</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137">
        <f>Table167[[#This Row],[ERP (T12m)]]+Table167[[#This Row],[T.Bond Rate]]</f>
        <v>8.4400000000000003E-2</v>
      </c>
      <c r="Q189" t="s">
        <v>203</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137">
        <f>Table167[[#This Row],[ERP (T12m)]]+Table167[[#This Row],[T.Bond Rate]]</f>
        <v>9.0899999999999995E-2</v>
      </c>
      <c r="Q190" t="s">
        <v>202</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137">
        <f>Table167[[#This Row],[ERP (T12m)]]+Table167[[#This Row],[T.Bond Rate]]</f>
        <v>8.6499999999999994E-2</v>
      </c>
      <c r="Q191" t="s">
        <v>202</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137">
        <f>Table167[[#This Row],[ERP (T12m)]]+Table167[[#This Row],[T.Bond Rate]]</f>
        <v>8.48E-2</v>
      </c>
      <c r="Q192" t="s">
        <v>202</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137">
        <f>Table167[[#This Row],[ERP (T12m)]]+Table167[[#This Row],[T.Bond Rate]]</f>
        <v>8.2100000000000006E-2</v>
      </c>
      <c r="Q193" t="s">
        <v>202</v>
      </c>
    </row>
    <row r="194" spans="1:17" s="10" customFormat="1">
      <c r="A194" s="40" t="s">
        <v>238</v>
      </c>
      <c r="B194" s="64" t="s">
        <v>267</v>
      </c>
      <c r="C194" s="36" t="s">
        <v>255</v>
      </c>
      <c r="D194" s="36"/>
      <c r="E194" s="61" t="s">
        <v>256</v>
      </c>
      <c r="F194" s="61" t="s">
        <v>257</v>
      </c>
      <c r="G194" s="61" t="s">
        <v>258</v>
      </c>
      <c r="H194" s="36" t="s">
        <v>259</v>
      </c>
      <c r="I194" s="36" t="s">
        <v>261</v>
      </c>
      <c r="J194" s="36" t="s">
        <v>260</v>
      </c>
      <c r="K194" s="36"/>
      <c r="L194" s="36" t="s">
        <v>262</v>
      </c>
      <c r="M194" s="36" t="s">
        <v>263</v>
      </c>
      <c r="N194" s="36" t="s">
        <v>264</v>
      </c>
      <c r="O194" s="36"/>
      <c r="P194" s="137">
        <f>Table167[[#Totals],[ERP (T12m)]]+Table167[[#Totals],[T.Bond Rate]]</f>
        <v>7.9600000000000004E-2</v>
      </c>
      <c r="Q194" t="s">
        <v>202</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222">
        <f t="shared" ref="P195:P214" si="0">C195+J195</f>
        <v>7.7499999999999999E-2</v>
      </c>
      <c r="Q195" t="s">
        <v>202</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222">
        <f t="shared" si="0"/>
        <v>8.5900000000000004E-2</v>
      </c>
      <c r="Q196" t="s">
        <v>203</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222">
        <f t="shared" si="0"/>
        <v>8.249999999999999E-2</v>
      </c>
      <c r="Q197" t="s">
        <v>202</v>
      </c>
    </row>
    <row r="198" spans="1:17">
      <c r="A198" s="40">
        <v>44196</v>
      </c>
      <c r="B198" s="212">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222">
        <f t="shared" si="0"/>
        <v>8.9099999999999999E-2</v>
      </c>
      <c r="Q198" t="s">
        <v>203</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23">
        <f t="shared" si="0"/>
        <v>8.8100000000000012E-2</v>
      </c>
      <c r="Q199" t="s">
        <v>202</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23">
        <f t="shared" si="0"/>
        <v>8.5699999999999998E-2</v>
      </c>
      <c r="Q200" t="s">
        <v>202</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37">
        <f t="shared" si="0"/>
        <v>8.8499999999999995E-2</v>
      </c>
      <c r="Q201" t="s">
        <v>203</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37">
        <f t="shared" si="0"/>
        <v>8.7499999999999994E-2</v>
      </c>
      <c r="Q202" t="s">
        <v>202</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37">
        <f t="shared" si="0"/>
        <v>8.660000000000001E-2</v>
      </c>
      <c r="Q203" t="s">
        <v>202</v>
      </c>
    </row>
    <row r="204" spans="1:17">
      <c r="A204" s="40">
        <v>44377</v>
      </c>
      <c r="B204" s="64">
        <v>6204</v>
      </c>
      <c r="C204" s="36">
        <v>4.24E-2</v>
      </c>
      <c r="D204" s="36">
        <v>3.8399999999999997E-2</v>
      </c>
      <c r="E204" s="10">
        <v>265.37</v>
      </c>
      <c r="F204" s="61">
        <v>193.81</v>
      </c>
      <c r="G204" s="10">
        <v>163.62</v>
      </c>
      <c r="H204" s="36">
        <v>8.6099999999999996E-2</v>
      </c>
      <c r="I204" s="36">
        <v>3.9399999999999998E-2</v>
      </c>
      <c r="J204" s="36">
        <v>4.2099999999999999E-2</v>
      </c>
      <c r="K204" s="36">
        <v>4.48E-2</v>
      </c>
      <c r="L204" s="36">
        <v>5.74E-2</v>
      </c>
      <c r="M204" s="36">
        <v>3.56E-2</v>
      </c>
      <c r="N204" s="36">
        <v>3.9600000000000003E-2</v>
      </c>
      <c r="P204" s="137">
        <f t="shared" si="0"/>
        <v>8.4499999999999992E-2</v>
      </c>
      <c r="Q204" t="s">
        <v>203</v>
      </c>
    </row>
    <row r="205" spans="1:17">
      <c r="A205" s="40">
        <v>44408</v>
      </c>
      <c r="B205" s="64">
        <v>6339</v>
      </c>
      <c r="C205" s="36">
        <v>4.3700000000000003E-2</v>
      </c>
      <c r="D205" s="36">
        <v>4.1000000000000002E-2</v>
      </c>
      <c r="E205" s="10">
        <v>265.37</v>
      </c>
      <c r="F205" s="61">
        <v>193.81</v>
      </c>
      <c r="G205" s="10" t="s">
        <v>288</v>
      </c>
      <c r="H205" s="36">
        <v>8.7400000000000005E-2</v>
      </c>
      <c r="I205" s="36">
        <v>3.8399999999999997E-2</v>
      </c>
      <c r="J205" s="36">
        <v>4.1500000000000002E-2</v>
      </c>
      <c r="K205" s="36">
        <v>4.4200000000000003E-2</v>
      </c>
      <c r="L205" s="36">
        <v>5.6599999999999998E-2</v>
      </c>
      <c r="M205" s="36">
        <v>3.7600000000000001E-2</v>
      </c>
      <c r="N205" s="36">
        <v>3.9E-2</v>
      </c>
      <c r="P205" s="137">
        <f t="shared" si="0"/>
        <v>8.5199999999999998E-2</v>
      </c>
      <c r="Q205" t="s">
        <v>289</v>
      </c>
    </row>
    <row r="206" spans="1:17" ht="15" customHeight="1">
      <c r="A206" s="40">
        <v>44439</v>
      </c>
      <c r="B206" s="64">
        <v>6460</v>
      </c>
      <c r="C206" s="36">
        <v>4.2299999999999997E-2</v>
      </c>
      <c r="D206" s="36">
        <v>3.9600000000000003E-2</v>
      </c>
      <c r="E206" s="10">
        <v>265.37</v>
      </c>
      <c r="F206" s="61">
        <v>193.81</v>
      </c>
      <c r="G206" s="10">
        <v>175.51</v>
      </c>
      <c r="H206" s="36">
        <v>7.8899999999999998E-2</v>
      </c>
      <c r="I206" s="36">
        <v>3.6799999999999999E-2</v>
      </c>
      <c r="J206" s="36">
        <v>3.9399999999999998E-2</v>
      </c>
      <c r="K206" s="36">
        <v>4.2099999999999999E-2</v>
      </c>
      <c r="L206" s="36">
        <v>5.3699999999999998E-2</v>
      </c>
      <c r="M206" s="36">
        <v>3.5700000000000003E-2</v>
      </c>
      <c r="N206" s="36">
        <v>3.6799999999999999E-2</v>
      </c>
      <c r="P206" s="137">
        <f t="shared" si="0"/>
        <v>8.1699999999999995E-2</v>
      </c>
      <c r="Q206" t="s">
        <v>202</v>
      </c>
    </row>
    <row r="207" spans="1:17">
      <c r="A207" s="224">
        <v>44469</v>
      </c>
      <c r="B207" s="64">
        <v>6688</v>
      </c>
      <c r="C207" s="36">
        <v>4.1599999999999998E-2</v>
      </c>
      <c r="D207" s="36">
        <v>3.8899999999999997E-2</v>
      </c>
      <c r="E207" s="10">
        <v>286.05</v>
      </c>
      <c r="F207" s="61">
        <v>195.03</v>
      </c>
      <c r="G207" s="10">
        <v>175.51</v>
      </c>
      <c r="H207" s="36">
        <v>8.9399999999999993E-2</v>
      </c>
      <c r="I207" s="36">
        <v>3.78E-2</v>
      </c>
      <c r="J207" s="36">
        <v>4.0099999999999997E-2</v>
      </c>
      <c r="K207" s="36">
        <v>4.2799999999999998E-2</v>
      </c>
      <c r="L207" s="36">
        <v>5.8599999999999999E-2</v>
      </c>
      <c r="M207" s="36">
        <v>3.61E-2</v>
      </c>
      <c r="N207" s="36">
        <v>3.7999999999999999E-2</v>
      </c>
      <c r="P207" s="137">
        <f t="shared" si="0"/>
        <v>8.1699999999999995E-2</v>
      </c>
      <c r="Q207" t="s">
        <v>203</v>
      </c>
    </row>
    <row r="208" spans="1:17">
      <c r="A208" s="40">
        <v>44500</v>
      </c>
      <c r="B208" s="64">
        <v>6840</v>
      </c>
      <c r="C208" s="36">
        <v>4.1099999999999998E-2</v>
      </c>
      <c r="D208" s="36">
        <v>3.8399999999999997E-2</v>
      </c>
      <c r="E208" s="10">
        <v>286.05</v>
      </c>
      <c r="F208" s="61">
        <v>195.03</v>
      </c>
      <c r="G208" s="10">
        <v>175.51</v>
      </c>
      <c r="H208" s="36">
        <v>8.9399999999999993E-2</v>
      </c>
      <c r="I208" s="36">
        <v>3.73E-2</v>
      </c>
      <c r="J208" s="36">
        <v>3.95E-2</v>
      </c>
      <c r="K208" s="36">
        <v>4.2200000000000001E-2</v>
      </c>
      <c r="L208" s="36">
        <v>5.7599999999999998E-2</v>
      </c>
      <c r="M208" s="36">
        <v>3.5499999999999997E-2</v>
      </c>
      <c r="N208" s="36">
        <v>3.7100000000000001E-2</v>
      </c>
      <c r="P208" s="137">
        <f t="shared" si="0"/>
        <v>8.0600000000000005E-2</v>
      </c>
      <c r="Q208" t="s">
        <v>202</v>
      </c>
    </row>
    <row r="209" spans="1:17">
      <c r="A209" s="40">
        <v>44530</v>
      </c>
      <c r="B209" s="64">
        <v>6849</v>
      </c>
      <c r="C209" s="36">
        <v>4.02E-2</v>
      </c>
      <c r="D209" s="36">
        <v>3.7499999999999999E-2</v>
      </c>
      <c r="E209" s="10">
        <v>286.05</v>
      </c>
      <c r="F209" s="61">
        <v>195.03</v>
      </c>
      <c r="G209" s="10">
        <v>175.51</v>
      </c>
      <c r="H209" s="36">
        <v>9.0800000000000006E-2</v>
      </c>
      <c r="I209" s="36">
        <v>3.7900000000000003E-2</v>
      </c>
      <c r="J209" s="36">
        <v>3.9899999999999998E-2</v>
      </c>
      <c r="K209" s="36">
        <v>4.2599999999999999E-2</v>
      </c>
      <c r="L209" s="36">
        <v>5.8299999999999998E-2</v>
      </c>
      <c r="M209" s="36">
        <v>3.5900000000000001E-2</v>
      </c>
      <c r="N209" s="36">
        <v>3.7199999999999997E-2</v>
      </c>
      <c r="P209" s="137">
        <f t="shared" si="0"/>
        <v>8.0100000000000005E-2</v>
      </c>
      <c r="Q209" t="s">
        <v>202</v>
      </c>
    </row>
    <row r="210" spans="1:17">
      <c r="A210" s="40">
        <v>44561</v>
      </c>
      <c r="B210" s="64">
        <v>6846</v>
      </c>
      <c r="C210" s="36">
        <v>4.1799999999999997E-2</v>
      </c>
      <c r="D210" s="137">
        <f>C210-0.23%</f>
        <v>3.9499999999999993E-2</v>
      </c>
      <c r="E210" s="10">
        <v>292.88</v>
      </c>
      <c r="F210" s="61">
        <v>198.99</v>
      </c>
      <c r="G210" s="10">
        <v>169.71</v>
      </c>
      <c r="H210" s="36">
        <v>0.1048</v>
      </c>
      <c r="I210" s="36">
        <v>4.1799999999999997E-2</v>
      </c>
      <c r="J210" s="36">
        <v>4.2299999999999997E-2</v>
      </c>
      <c r="K210" s="36">
        <v>4.4600000000000001E-2</v>
      </c>
      <c r="L210" s="36">
        <v>6.1800000000000001E-2</v>
      </c>
      <c r="M210" s="36">
        <v>3.6200000000000003E-2</v>
      </c>
      <c r="N210" s="36">
        <v>3.9600000000000003E-2</v>
      </c>
      <c r="P210" s="137">
        <f t="shared" si="0"/>
        <v>8.4099999999999994E-2</v>
      </c>
      <c r="Q210" t="s">
        <v>203</v>
      </c>
    </row>
    <row r="211" spans="1:17">
      <c r="A211" s="40">
        <v>44592</v>
      </c>
      <c r="B211" s="64">
        <v>6939</v>
      </c>
      <c r="C211" s="36">
        <v>4.2599999999999999E-2</v>
      </c>
      <c r="D211" s="36">
        <v>4.0300000000000002E-2</v>
      </c>
      <c r="E211" s="10">
        <v>292.88</v>
      </c>
      <c r="F211" s="61">
        <v>198.99</v>
      </c>
      <c r="G211" s="10">
        <v>169.71</v>
      </c>
      <c r="H211" s="36">
        <v>0.108</v>
      </c>
      <c r="I211" s="36">
        <v>4.1700000000000001E-2</v>
      </c>
      <c r="J211" s="36">
        <v>4.2500000000000003E-2</v>
      </c>
      <c r="K211" s="36">
        <v>4.48E-2</v>
      </c>
      <c r="L211" s="36">
        <v>6.2E-2</v>
      </c>
      <c r="M211" s="36">
        <v>3.6299999999999999E-2</v>
      </c>
      <c r="N211" s="36">
        <v>3.9800000000000002E-2</v>
      </c>
      <c r="P211" s="137">
        <f t="shared" si="0"/>
        <v>8.5100000000000009E-2</v>
      </c>
      <c r="Q211" t="s">
        <v>202</v>
      </c>
    </row>
    <row r="212" spans="1:17">
      <c r="A212" s="40">
        <v>44620</v>
      </c>
      <c r="B212" s="64">
        <v>6879</v>
      </c>
      <c r="C212" s="36">
        <v>3.95E-2</v>
      </c>
      <c r="D212" s="36">
        <v>3.7199999999999997E-2</v>
      </c>
      <c r="E212" s="10">
        <v>292.88</v>
      </c>
      <c r="F212" s="61">
        <v>198.99</v>
      </c>
      <c r="G212" s="10">
        <v>169.71</v>
      </c>
      <c r="H212" s="36">
        <v>0.10829999999999999</v>
      </c>
      <c r="I212" s="36">
        <v>4.3799999999999999E-2</v>
      </c>
      <c r="J212" s="36">
        <v>4.3700000000000003E-2</v>
      </c>
      <c r="K212" s="36">
        <v>4.5999999999999999E-2</v>
      </c>
      <c r="L212" s="36">
        <v>6.3799999999999996E-2</v>
      </c>
      <c r="M212" s="36">
        <v>3.7400000000000003E-2</v>
      </c>
      <c r="N212" s="36">
        <v>4.1500000000000002E-2</v>
      </c>
      <c r="P212" s="137">
        <f t="shared" si="0"/>
        <v>8.3199999999999996E-2</v>
      </c>
      <c r="Q212" t="s">
        <v>202</v>
      </c>
    </row>
    <row r="213" spans="1:17">
      <c r="A213" s="40">
        <v>44651</v>
      </c>
      <c r="B213" s="64">
        <v>6528</v>
      </c>
      <c r="C213" s="36">
        <v>4.3200000000000002E-2</v>
      </c>
      <c r="D213" s="36">
        <v>4.0399999999999998E-2</v>
      </c>
      <c r="E213" s="10">
        <v>292.88</v>
      </c>
      <c r="F213" s="61">
        <v>198.99</v>
      </c>
      <c r="G213" s="10">
        <v>169.71</v>
      </c>
      <c r="H213" s="36">
        <v>0.12130000000000001</v>
      </c>
      <c r="I213" s="36">
        <v>4.6699999999999998E-2</v>
      </c>
      <c r="J213" s="36">
        <v>4.7699999999999999E-2</v>
      </c>
      <c r="K213" s="36">
        <v>5.0299999999999997E-2</v>
      </c>
      <c r="L213" s="36">
        <v>6.9599999999999995E-2</v>
      </c>
      <c r="M213" s="36">
        <v>4.0899999999999999E-2</v>
      </c>
      <c r="N213" s="36">
        <v>4.5100000000000001E-2</v>
      </c>
      <c r="P213" s="137">
        <f t="shared" si="0"/>
        <v>9.0900000000000009E-2</v>
      </c>
      <c r="Q213" t="s">
        <v>202</v>
      </c>
    </row>
    <row r="214" spans="1:17">
      <c r="A214" s="40">
        <v>44681</v>
      </c>
      <c r="B214" s="64">
        <v>7209</v>
      </c>
      <c r="C214" s="36">
        <v>4.3999999999999997E-2</v>
      </c>
      <c r="D214" s="36">
        <v>4.1399999999999999E-2</v>
      </c>
      <c r="E214" s="10">
        <v>292.88</v>
      </c>
      <c r="F214" s="61">
        <v>198.99</v>
      </c>
      <c r="G214" s="10">
        <v>169.71</v>
      </c>
      <c r="H214" s="36">
        <v>0.12239999999999999</v>
      </c>
      <c r="I214" s="36">
        <v>4.24E-2</v>
      </c>
      <c r="J214" s="36">
        <v>4.36E-2</v>
      </c>
      <c r="K214" s="36">
        <v>4.6199999999999998E-2</v>
      </c>
      <c r="L214" s="10" t="s">
        <v>305</v>
      </c>
      <c r="M214" s="36">
        <v>3.73E-2</v>
      </c>
      <c r="N214" s="36">
        <v>4.1500000000000002E-2</v>
      </c>
      <c r="P214" s="137">
        <f t="shared" si="0"/>
        <v>8.7599999999999997E-2</v>
      </c>
      <c r="Q214" t="s">
        <v>202</v>
      </c>
    </row>
    <row r="216" spans="1:17">
      <c r="B216" s="137">
        <f>(B214/B213)-1</f>
        <v>0.10431985294117641</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196" t="s">
        <v>5</v>
      </c>
      <c r="B1" s="197" t="s">
        <v>204</v>
      </c>
      <c r="C1" s="197" t="s">
        <v>110</v>
      </c>
      <c r="D1" s="197" t="s">
        <v>268</v>
      </c>
      <c r="E1" s="198" t="s">
        <v>205</v>
      </c>
      <c r="F1" s="199" t="s">
        <v>269</v>
      </c>
      <c r="G1" s="200" t="s">
        <v>206</v>
      </c>
      <c r="H1" s="200" t="s">
        <v>207</v>
      </c>
      <c r="I1" s="200" t="s">
        <v>208</v>
      </c>
      <c r="J1" s="196" t="s">
        <v>209</v>
      </c>
      <c r="K1" s="200" t="s">
        <v>270</v>
      </c>
    </row>
    <row r="2" spans="1:11" ht="16">
      <c r="A2" s="201">
        <v>1928</v>
      </c>
      <c r="B2" s="202">
        <v>0.43811155152887893</v>
      </c>
      <c r="C2" s="202">
        <v>3.0800000000000001E-2</v>
      </c>
      <c r="D2" s="202">
        <v>8.354708589799302E-3</v>
      </c>
      <c r="E2" s="203">
        <v>143.81115515288789</v>
      </c>
      <c r="F2" s="203">
        <v>159.91</v>
      </c>
      <c r="G2" s="136">
        <v>103.08</v>
      </c>
      <c r="H2" s="136">
        <v>100.83547085897993</v>
      </c>
      <c r="I2" s="207">
        <v>0.40731155152887893</v>
      </c>
      <c r="J2" s="209">
        <v>0.42975684293907962</v>
      </c>
      <c r="K2" s="207"/>
    </row>
    <row r="3" spans="1:11" ht="16">
      <c r="A3" s="201">
        <v>1929</v>
      </c>
      <c r="B3" s="202">
        <v>-8.2979466119096595E-2</v>
      </c>
      <c r="C3" s="202">
        <v>3.1600000000000003E-2</v>
      </c>
      <c r="D3" s="202">
        <v>4.2038041563204259E-2</v>
      </c>
      <c r="E3" s="204">
        <v>131.87778227633069</v>
      </c>
      <c r="F3" s="136">
        <v>85.375949000000006</v>
      </c>
      <c r="G3" s="136">
        <v>106.337328</v>
      </c>
      <c r="H3" s="136">
        <v>105.074396573995</v>
      </c>
      <c r="I3" s="168">
        <v>-0.1145794661190966</v>
      </c>
      <c r="J3" s="210">
        <v>-0.12501750768230085</v>
      </c>
      <c r="K3" s="168"/>
    </row>
    <row r="4" spans="1:11" ht="16">
      <c r="A4" s="201">
        <v>1930</v>
      </c>
      <c r="B4" s="202">
        <v>-0.25123636363636365</v>
      </c>
      <c r="C4" s="202">
        <v>4.5499999999999999E-2</v>
      </c>
      <c r="D4" s="202">
        <v>4.5409314348970366E-2</v>
      </c>
      <c r="E4" s="205">
        <v>98.745287812797272</v>
      </c>
      <c r="F4" s="136">
        <v>42.662361715300008</v>
      </c>
      <c r="G4" s="136">
        <v>111.17567642400002</v>
      </c>
      <c r="H4" s="136">
        <v>109.84575287805193</v>
      </c>
      <c r="I4" s="168">
        <v>-0.29673636363636363</v>
      </c>
      <c r="J4" s="210">
        <v>-0.29664567798533403</v>
      </c>
      <c r="K4" s="168"/>
    </row>
    <row r="5" spans="1:11" ht="16">
      <c r="A5" s="201">
        <v>1931</v>
      </c>
      <c r="B5" s="202">
        <v>-0.43837548891786188</v>
      </c>
      <c r="C5" s="202">
        <v>2.3099999999999999E-2</v>
      </c>
      <c r="D5" s="202">
        <v>-2.5588559619422531E-2</v>
      </c>
      <c r="E5" s="203">
        <v>55.457773989527276</v>
      </c>
      <c r="F5" s="136">
        <v>23.609350973247029</v>
      </c>
      <c r="G5" s="136">
        <v>113.74383454939441</v>
      </c>
      <c r="H5" s="136">
        <v>107.03495828159154</v>
      </c>
      <c r="I5" s="168">
        <v>-0.46147548891786189</v>
      </c>
      <c r="J5" s="210">
        <v>-0.41278692929843935</v>
      </c>
      <c r="K5" s="168"/>
    </row>
    <row r="6" spans="1:11" ht="16">
      <c r="A6" s="201">
        <v>1932</v>
      </c>
      <c r="B6" s="202">
        <v>-8.642364532019696E-2</v>
      </c>
      <c r="C6" s="202">
        <v>1.0699999999999999E-2</v>
      </c>
      <c r="D6" s="202">
        <v>8.7903069904773257E-2</v>
      </c>
      <c r="E6" s="203">
        <v>50.664911000008722</v>
      </c>
      <c r="F6" s="136">
        <v>28.44690698766534</v>
      </c>
      <c r="G6" s="136">
        <v>114.96089357907292</v>
      </c>
      <c r="H6" s="136">
        <v>116.44365970167279</v>
      </c>
      <c r="I6" s="168">
        <v>-9.7123645320196961E-2</v>
      </c>
      <c r="J6" s="210">
        <v>-0.17432671522497023</v>
      </c>
      <c r="K6" s="168"/>
    </row>
    <row r="7" spans="1:11" ht="16">
      <c r="A7" s="201">
        <v>1933</v>
      </c>
      <c r="B7" s="202">
        <v>0.49982225433526023</v>
      </c>
      <c r="C7" s="202">
        <v>9.5999999999999992E-3</v>
      </c>
      <c r="D7" s="202">
        <v>1.8552720891857361E-2</v>
      </c>
      <c r="E7" s="203">
        <v>75.988361031728402</v>
      </c>
      <c r="F7" s="136">
        <v>70.645048813168103</v>
      </c>
      <c r="G7" s="136">
        <v>116.06451815743202</v>
      </c>
      <c r="H7" s="136">
        <v>118.60400641974435</v>
      </c>
      <c r="I7" s="168">
        <v>0.49022225433526023</v>
      </c>
      <c r="J7" s="210">
        <v>0.48126953344340284</v>
      </c>
      <c r="K7" s="168"/>
    </row>
    <row r="8" spans="1:11" ht="16">
      <c r="A8" s="201">
        <v>1934</v>
      </c>
      <c r="B8" s="202">
        <v>-1.1885656970912803E-2</v>
      </c>
      <c r="C8" s="202">
        <v>2.7833333333333334E-3</v>
      </c>
      <c r="D8" s="202">
        <v>7.9634426179656104E-2</v>
      </c>
      <c r="E8" s="203">
        <v>75.085189438723404</v>
      </c>
      <c r="F8" s="136">
        <v>84.781123080683031</v>
      </c>
      <c r="G8" s="136">
        <v>116.38756439963687</v>
      </c>
      <c r="H8" s="136">
        <v>128.04896841358894</v>
      </c>
      <c r="I8" s="168">
        <v>-1.4668990304246137E-2</v>
      </c>
      <c r="J8" s="210">
        <v>-9.1520083150568907E-2</v>
      </c>
      <c r="K8" s="168"/>
    </row>
    <row r="9" spans="1:11" ht="16">
      <c r="A9" s="201">
        <v>1935</v>
      </c>
      <c r="B9" s="202">
        <v>0.46740421052631581</v>
      </c>
      <c r="C9" s="202">
        <v>1.6750000000000001E-3</v>
      </c>
      <c r="D9" s="202">
        <v>4.4720477296566127E-2</v>
      </c>
      <c r="E9" s="203">
        <v>110.18032313054879</v>
      </c>
      <c r="F9" s="136">
        <v>129.86772433499027</v>
      </c>
      <c r="G9" s="136">
        <v>116.58251357000627</v>
      </c>
      <c r="H9" s="136">
        <v>133.77537939837757</v>
      </c>
      <c r="I9" s="168">
        <v>0.46572921052631583</v>
      </c>
      <c r="J9" s="210">
        <v>0.42268373322974967</v>
      </c>
      <c r="K9" s="168"/>
    </row>
    <row r="10" spans="1:11" ht="16">
      <c r="A10" s="201">
        <v>1936</v>
      </c>
      <c r="B10" s="202">
        <v>0.31943410275502609</v>
      </c>
      <c r="C10" s="202">
        <v>1.725E-3</v>
      </c>
      <c r="D10" s="202">
        <v>5.0178754045450601E-2</v>
      </c>
      <c r="E10" s="203">
        <v>145.37567579101449</v>
      </c>
      <c r="F10" s="136">
        <v>250.41094606272824</v>
      </c>
      <c r="G10" s="136">
        <v>116.78361840591452</v>
      </c>
      <c r="H10" s="136">
        <v>140.4880612585456</v>
      </c>
      <c r="I10" s="168">
        <v>0.31770910275502612</v>
      </c>
      <c r="J10" s="210">
        <v>0.26925534870957551</v>
      </c>
      <c r="K10" s="168"/>
    </row>
    <row r="11" spans="1:11" ht="16">
      <c r="A11" s="201">
        <v>1937</v>
      </c>
      <c r="B11" s="202">
        <v>-0.35336728754365537</v>
      </c>
      <c r="C11" s="202">
        <v>2.7583333333333331E-3</v>
      </c>
      <c r="D11" s="202">
        <v>1.379146059646038E-2</v>
      </c>
      <c r="E11" s="203">
        <v>94.004667561917856</v>
      </c>
      <c r="F11" s="136">
        <v>116.99199400050662</v>
      </c>
      <c r="G11" s="136">
        <v>117.10574655335085</v>
      </c>
      <c r="H11" s="136">
        <v>142.42559681966594</v>
      </c>
      <c r="I11" s="168">
        <v>-0.35612562087698868</v>
      </c>
      <c r="J11" s="210">
        <v>-0.36715874814011573</v>
      </c>
      <c r="K11" s="168"/>
    </row>
    <row r="12" spans="1:11" ht="16">
      <c r="A12" s="201">
        <v>1938</v>
      </c>
      <c r="B12" s="202">
        <v>0.29282654028436017</v>
      </c>
      <c r="C12" s="202">
        <v>6.4999999999999997E-4</v>
      </c>
      <c r="D12" s="202">
        <v>4.2132485322046068E-2</v>
      </c>
      <c r="E12" s="203">
        <v>121.53172913465568</v>
      </c>
      <c r="F12" s="136">
        <v>118.86386590451473</v>
      </c>
      <c r="G12" s="136">
        <v>117.18186528861054</v>
      </c>
      <c r="H12" s="136">
        <v>148.42634118715418</v>
      </c>
      <c r="I12" s="168">
        <v>0.29217654028436019</v>
      </c>
      <c r="J12" s="210">
        <v>0.25069405496231412</v>
      </c>
      <c r="K12" s="168"/>
    </row>
    <row r="13" spans="1:11" ht="16">
      <c r="A13" s="201">
        <v>1939</v>
      </c>
      <c r="B13" s="202">
        <v>-1.0975646879756443E-2</v>
      </c>
      <c r="C13" s="202">
        <v>4.5833333333333332E-4</v>
      </c>
      <c r="D13" s="202">
        <v>4.4122613942060671E-2</v>
      </c>
      <c r="E13" s="203">
        <v>120.19783979098749</v>
      </c>
      <c r="F13" s="136">
        <v>112.05296638818604</v>
      </c>
      <c r="G13" s="136">
        <v>117.23557364353447</v>
      </c>
      <c r="H13" s="136">
        <v>154.97529933818757</v>
      </c>
      <c r="I13" s="168">
        <v>-1.1433980213089777E-2</v>
      </c>
      <c r="J13" s="210">
        <v>-5.509826082181711E-2</v>
      </c>
      <c r="K13" s="168"/>
    </row>
    <row r="14" spans="1:11" ht="16">
      <c r="A14" s="201">
        <v>1940</v>
      </c>
      <c r="B14" s="202">
        <v>-0.10672873194221515</v>
      </c>
      <c r="C14" s="202">
        <v>3.5833333333333333E-4</v>
      </c>
      <c r="D14" s="202">
        <v>5.4024815962845509E-2</v>
      </c>
      <c r="E14" s="203">
        <v>107.36927676790187</v>
      </c>
      <c r="F14" s="136">
        <v>76.408917780104048</v>
      </c>
      <c r="G14" s="136">
        <v>117.27758305742339</v>
      </c>
      <c r="H14" s="136">
        <v>163.34781136372007</v>
      </c>
      <c r="I14" s="168">
        <v>-0.10708706527554848</v>
      </c>
      <c r="J14" s="210">
        <v>-0.16075354790506066</v>
      </c>
      <c r="K14" s="168"/>
    </row>
    <row r="15" spans="1:11" ht="16">
      <c r="A15" s="201">
        <v>1941</v>
      </c>
      <c r="B15" s="202">
        <v>-0.12771455576559551</v>
      </c>
      <c r="C15" s="202">
        <v>1.2916666666666669E-3</v>
      </c>
      <c r="D15" s="202">
        <v>-2.0221975848580105E-2</v>
      </c>
      <c r="E15" s="203">
        <v>93.656657282615996</v>
      </c>
      <c r="F15" s="136">
        <v>72.175863735086281</v>
      </c>
      <c r="G15" s="136">
        <v>117.42906660220589</v>
      </c>
      <c r="H15" s="136">
        <v>160.0445958674045</v>
      </c>
      <c r="I15" s="168">
        <v>-0.12900622243226217</v>
      </c>
      <c r="J15" s="210">
        <v>-0.10749257991701541</v>
      </c>
      <c r="K15" s="168"/>
    </row>
    <row r="16" spans="1:11" ht="16">
      <c r="A16" s="201">
        <v>1942</v>
      </c>
      <c r="B16" s="202">
        <v>0.19173762945914843</v>
      </c>
      <c r="C16" s="202">
        <v>3.4250000000000001E-3</v>
      </c>
      <c r="D16" s="202">
        <v>2.2948682374484164E-2</v>
      </c>
      <c r="E16" s="203">
        <v>111.61416273305268</v>
      </c>
      <c r="F16" s="136">
        <v>116.77332993699611</v>
      </c>
      <c r="G16" s="136">
        <v>117.83126115531844</v>
      </c>
      <c r="H16" s="136">
        <v>163.71740846371824</v>
      </c>
      <c r="I16" s="168">
        <v>0.18831262945914842</v>
      </c>
      <c r="J16" s="210">
        <v>0.16878894708466427</v>
      </c>
      <c r="K16" s="168"/>
    </row>
    <row r="17" spans="1:11" ht="16">
      <c r="A17" s="201">
        <v>1943</v>
      </c>
      <c r="B17" s="202">
        <v>0.25061310133060394</v>
      </c>
      <c r="C17" s="202">
        <v>3.8E-3</v>
      </c>
      <c r="D17" s="202">
        <v>2.4899999999999999E-2</v>
      </c>
      <c r="E17" s="203">
        <v>139.58613420800171</v>
      </c>
      <c r="F17" s="136">
        <v>277.88549325106959</v>
      </c>
      <c r="G17" s="136">
        <v>118.27901994770866</v>
      </c>
      <c r="H17" s="136">
        <v>167.79397193446482</v>
      </c>
      <c r="I17" s="168">
        <v>0.24681310133060394</v>
      </c>
      <c r="J17" s="210">
        <v>0.22571310133060393</v>
      </c>
      <c r="K17" s="168"/>
    </row>
    <row r="18" spans="1:11" ht="16">
      <c r="A18" s="201">
        <v>1944</v>
      </c>
      <c r="B18" s="202">
        <v>0.19030676949443009</v>
      </c>
      <c r="C18" s="202">
        <v>3.8E-3</v>
      </c>
      <c r="D18" s="202">
        <v>2.5776111579070303E-2</v>
      </c>
      <c r="E18" s="203">
        <v>166.15032047534245</v>
      </c>
      <c r="F18" s="136">
        <v>471.65504769504042</v>
      </c>
      <c r="G18" s="136">
        <v>118.72848022350996</v>
      </c>
      <c r="H18" s="136">
        <v>172.11904807734297</v>
      </c>
      <c r="I18" s="168">
        <v>0.1865067694944301</v>
      </c>
      <c r="J18" s="210">
        <v>0.16453065791535978</v>
      </c>
      <c r="K18" s="168"/>
    </row>
    <row r="19" spans="1:11" ht="16">
      <c r="A19" s="201">
        <v>1945</v>
      </c>
      <c r="B19" s="202">
        <v>0.35821084337349401</v>
      </c>
      <c r="C19" s="202">
        <v>3.8E-3</v>
      </c>
      <c r="D19" s="202">
        <v>3.8044173419237229E-2</v>
      </c>
      <c r="E19" s="203">
        <v>225.66716689959119</v>
      </c>
      <c r="F19" s="136">
        <v>901.28563064045272</v>
      </c>
      <c r="G19" s="136">
        <v>119.1796484483593</v>
      </c>
      <c r="H19" s="136">
        <v>178.66717499115143</v>
      </c>
      <c r="I19" s="168">
        <v>0.35441084337349399</v>
      </c>
      <c r="J19" s="210">
        <v>0.3201666699542568</v>
      </c>
      <c r="K19" s="168"/>
    </row>
    <row r="20" spans="1:11" ht="16">
      <c r="A20" s="201">
        <v>1946</v>
      </c>
      <c r="B20" s="202">
        <v>-8.4291474654377807E-2</v>
      </c>
      <c r="C20" s="202">
        <v>3.8E-3</v>
      </c>
      <c r="D20" s="202">
        <v>3.1283745375695685E-2</v>
      </c>
      <c r="E20" s="203">
        <v>206.64534862054904</v>
      </c>
      <c r="F20" s="136">
        <v>763.20867202633531</v>
      </c>
      <c r="G20" s="136">
        <v>119.63253111246307</v>
      </c>
      <c r="H20" s="136">
        <v>184.25655340056949</v>
      </c>
      <c r="I20" s="168">
        <v>-8.8091474654377805E-2</v>
      </c>
      <c r="J20" s="210">
        <v>-0.11557522003007349</v>
      </c>
      <c r="K20" s="168"/>
    </row>
    <row r="21" spans="1:11" ht="16">
      <c r="A21" s="201">
        <v>1947</v>
      </c>
      <c r="B21" s="202">
        <v>5.1999999999999998E-2</v>
      </c>
      <c r="C21" s="202">
        <v>6.0083333333333334E-3</v>
      </c>
      <c r="D21" s="202">
        <v>9.1969680628322358E-3</v>
      </c>
      <c r="E21" s="203">
        <v>217.3909067488176</v>
      </c>
      <c r="F21" s="136">
        <v>755.88186877488249</v>
      </c>
      <c r="G21" s="136">
        <v>120.35132323689713</v>
      </c>
      <c r="H21" s="136">
        <v>185.95115503756207</v>
      </c>
      <c r="I21" s="168">
        <v>4.5991666666666667E-2</v>
      </c>
      <c r="J21" s="210">
        <v>4.2803031937167765E-2</v>
      </c>
      <c r="K21" s="168"/>
    </row>
    <row r="22" spans="1:11" ht="16">
      <c r="A22" s="201">
        <v>1948</v>
      </c>
      <c r="B22" s="202">
        <v>5.7045751633986834E-2</v>
      </c>
      <c r="C22" s="202">
        <v>1.0449999999999999E-2</v>
      </c>
      <c r="D22" s="202">
        <v>1.9510369413175046E-2</v>
      </c>
      <c r="E22" s="203">
        <v>229.79213442269784</v>
      </c>
      <c r="F22" s="136">
        <v>750.51510750658088</v>
      </c>
      <c r="G22" s="136">
        <v>121.60899456472271</v>
      </c>
      <c r="H22" s="136">
        <v>189.57913076515149</v>
      </c>
      <c r="I22" s="168">
        <v>4.6595751633986833E-2</v>
      </c>
      <c r="J22" s="210">
        <v>3.7535382220811792E-2</v>
      </c>
      <c r="K22" s="168"/>
    </row>
    <row r="23" spans="1:11" ht="16">
      <c r="A23" s="201">
        <v>1949</v>
      </c>
      <c r="B23" s="202">
        <v>0.18303223684210526</v>
      </c>
      <c r="C23" s="202">
        <v>1.115E-2</v>
      </c>
      <c r="D23" s="202">
        <v>4.6634851827973139E-2</v>
      </c>
      <c r="E23" s="203">
        <v>271.85150279480598</v>
      </c>
      <c r="F23" s="136">
        <v>954.8053197698722</v>
      </c>
      <c r="G23" s="136">
        <v>122.96493485411936</v>
      </c>
      <c r="H23" s="136">
        <v>198.42012543806027</v>
      </c>
      <c r="I23" s="168">
        <v>0.17188223684210527</v>
      </c>
      <c r="J23" s="210">
        <v>0.13639738501413212</v>
      </c>
      <c r="K23" s="168"/>
    </row>
    <row r="24" spans="1:11" ht="16">
      <c r="A24" s="201">
        <v>1950</v>
      </c>
      <c r="B24" s="202">
        <v>0.30805539011316263</v>
      </c>
      <c r="C24" s="202">
        <v>1.2033333333333333E-2</v>
      </c>
      <c r="D24" s="202">
        <v>4.2959574171096103E-3</v>
      </c>
      <c r="E24" s="203">
        <v>355.59682354110947</v>
      </c>
      <c r="F24" s="136">
        <v>1458.7515675444108</v>
      </c>
      <c r="G24" s="136">
        <v>124.4446129035306</v>
      </c>
      <c r="H24" s="136">
        <v>199.2725298476397</v>
      </c>
      <c r="I24" s="168">
        <v>0.29602205677982929</v>
      </c>
      <c r="J24" s="210">
        <v>0.30375943269605304</v>
      </c>
      <c r="K24" s="168"/>
    </row>
    <row r="25" spans="1:11" ht="16">
      <c r="A25" s="201">
        <v>1951</v>
      </c>
      <c r="B25" s="202">
        <v>0.23678463044542339</v>
      </c>
      <c r="C25" s="202">
        <v>1.5175000000000001E-2</v>
      </c>
      <c r="D25" s="202">
        <v>-2.9531392208319886E-3</v>
      </c>
      <c r="E25" s="203">
        <v>439.7966859908575</v>
      </c>
      <c r="F25" s="136">
        <v>1515.9346289921516</v>
      </c>
      <c r="G25" s="136">
        <v>126.33305990434167</v>
      </c>
      <c r="H25" s="136">
        <v>198.68405032411223</v>
      </c>
      <c r="I25" s="168">
        <v>0.22160963044542339</v>
      </c>
      <c r="J25" s="210">
        <v>0.23973776966625537</v>
      </c>
      <c r="K25" s="168"/>
    </row>
    <row r="26" spans="1:11" ht="16">
      <c r="A26" s="201">
        <v>1952</v>
      </c>
      <c r="B26" s="202">
        <v>0.18150988641144306</v>
      </c>
      <c r="C26" s="202">
        <v>1.7225000000000001E-2</v>
      </c>
      <c r="D26" s="202">
        <v>2.2679961918305656E-2</v>
      </c>
      <c r="E26" s="203">
        <v>519.62413250918712</v>
      </c>
      <c r="F26" s="136">
        <v>1533.9742510771582</v>
      </c>
      <c r="G26" s="136">
        <v>128.50914686119395</v>
      </c>
      <c r="H26" s="136">
        <v>203.19019701923781</v>
      </c>
      <c r="I26" s="168">
        <v>0.16428488641144307</v>
      </c>
      <c r="J26" s="210">
        <v>0.1588299244931374</v>
      </c>
      <c r="K26" s="168"/>
    </row>
    <row r="27" spans="1:11" ht="16">
      <c r="A27" s="201">
        <v>1953</v>
      </c>
      <c r="B27" s="202">
        <v>-1.2082047421904465E-2</v>
      </c>
      <c r="C27" s="202">
        <v>1.8908333333333333E-2</v>
      </c>
      <c r="D27" s="202">
        <v>4.1438402589088513E-2</v>
      </c>
      <c r="E27" s="203">
        <v>513.34600909864514</v>
      </c>
      <c r="F27" s="136">
        <v>1445.0037445146829</v>
      </c>
      <c r="G27" s="136">
        <v>130.93904064642769</v>
      </c>
      <c r="H27" s="136">
        <v>211.61007420547722</v>
      </c>
      <c r="I27" s="168">
        <v>-3.0990380755237797E-2</v>
      </c>
      <c r="J27" s="210">
        <v>-5.3520450010992981E-2</v>
      </c>
      <c r="K27" s="168"/>
    </row>
    <row r="28" spans="1:11" ht="16">
      <c r="A28" s="201">
        <v>1954</v>
      </c>
      <c r="B28" s="202">
        <v>0.52563321241434902</v>
      </c>
      <c r="C28" s="202">
        <v>9.3752000000000002E-3</v>
      </c>
      <c r="D28" s="202">
        <v>3.2898034558095555E-2</v>
      </c>
      <c r="E28" s="203">
        <v>783.17772094125166</v>
      </c>
      <c r="F28" s="136">
        <v>2368.3611372595651</v>
      </c>
      <c r="G28" s="136">
        <v>132.16662034029608</v>
      </c>
      <c r="H28" s="136">
        <v>218.57162973953018</v>
      </c>
      <c r="I28" s="168">
        <v>0.51625801241434899</v>
      </c>
      <c r="J28" s="210">
        <v>0.49273517785625348</v>
      </c>
      <c r="K28" s="168"/>
    </row>
    <row r="29" spans="1:11" ht="16">
      <c r="A29" s="201">
        <v>1955</v>
      </c>
      <c r="B29" s="202">
        <v>0.32597331851028349</v>
      </c>
      <c r="C29" s="202">
        <v>1.7243426294820716E-2</v>
      </c>
      <c r="D29" s="202">
        <v>-1.3364391288618781E-2</v>
      </c>
      <c r="E29" s="203">
        <v>1038.4727616197922</v>
      </c>
      <c r="F29" s="136">
        <v>3009.9501693431812</v>
      </c>
      <c r="G29" s="136">
        <v>134.44562571676951</v>
      </c>
      <c r="H29" s="136">
        <v>215.65055295509998</v>
      </c>
      <c r="I29" s="168">
        <v>0.30872989221546276</v>
      </c>
      <c r="J29" s="210">
        <v>0.33933770979890227</v>
      </c>
      <c r="K29" s="168"/>
    </row>
    <row r="30" spans="1:11" ht="16">
      <c r="A30" s="201">
        <v>1956</v>
      </c>
      <c r="B30" s="202">
        <v>7.4395118733509347E-2</v>
      </c>
      <c r="C30" s="202">
        <v>2.6213888888888887E-2</v>
      </c>
      <c r="D30" s="202">
        <v>-2.2557738173154165E-2</v>
      </c>
      <c r="E30" s="203">
        <v>1115.7300660220119</v>
      </c>
      <c r="F30" s="136">
        <v>2980.1516626666835</v>
      </c>
      <c r="G30" s="136">
        <v>137.96996841090606</v>
      </c>
      <c r="H30" s="136">
        <v>210.78596424464291</v>
      </c>
      <c r="I30" s="168">
        <v>4.8181229844620463E-2</v>
      </c>
      <c r="J30" s="210">
        <v>9.6952856906663512E-2</v>
      </c>
      <c r="K30" s="168"/>
    </row>
    <row r="31" spans="1:11" ht="16">
      <c r="A31" s="201">
        <v>1957</v>
      </c>
      <c r="B31" s="202">
        <v>-0.1045736018855796</v>
      </c>
      <c r="C31" s="202">
        <v>3.2245669291338583E-2</v>
      </c>
      <c r="D31" s="202">
        <v>6.7970128466249904E-2</v>
      </c>
      <c r="E31" s="203">
        <v>999.05415428605454</v>
      </c>
      <c r="F31" s="136">
        <v>2525.6785341100144</v>
      </c>
      <c r="G31" s="136">
        <v>142.41890238442059</v>
      </c>
      <c r="H31" s="136">
        <v>225.11311331323367</v>
      </c>
      <c r="I31" s="168">
        <v>-0.13681927117691817</v>
      </c>
      <c r="J31" s="210">
        <v>-0.17254373035182952</v>
      </c>
      <c r="K31" s="168"/>
    </row>
    <row r="32" spans="1:11" ht="16">
      <c r="A32" s="201">
        <v>1958</v>
      </c>
      <c r="B32" s="202">
        <v>0.43719954988747184</v>
      </c>
      <c r="C32" s="202">
        <v>1.7665461847389558E-2</v>
      </c>
      <c r="D32" s="202">
        <v>-2.0990181755274694E-2</v>
      </c>
      <c r="E32" s="203">
        <v>1435.8401808531264</v>
      </c>
      <c r="F32" s="136">
        <v>4277.2365975153089</v>
      </c>
      <c r="G32" s="136">
        <v>144.93479807083966</v>
      </c>
      <c r="H32" s="136">
        <v>220.38794814929315</v>
      </c>
      <c r="I32" s="168">
        <v>0.4195340880400823</v>
      </c>
      <c r="J32" s="210">
        <v>0.45818973164274651</v>
      </c>
      <c r="K32" s="168"/>
    </row>
    <row r="33" spans="1:11" ht="16">
      <c r="A33" s="201">
        <v>1959</v>
      </c>
      <c r="B33" s="202">
        <v>0.12056457163557326</v>
      </c>
      <c r="C33" s="202">
        <v>3.3860159362549803E-2</v>
      </c>
      <c r="D33" s="202">
        <v>-2.6466312591385065E-2</v>
      </c>
      <c r="E33" s="203">
        <v>1608.9516371948275</v>
      </c>
      <c r="F33" s="136">
        <v>4822.156540038759</v>
      </c>
      <c r="G33" s="136">
        <v>149.84231343069726</v>
      </c>
      <c r="H33" s="136">
        <v>214.55509182219998</v>
      </c>
      <c r="I33" s="168">
        <v>8.6704412273023446E-2</v>
      </c>
      <c r="J33" s="210">
        <v>0.14703088422695831</v>
      </c>
      <c r="K33" s="168"/>
    </row>
    <row r="34" spans="1:11" ht="16">
      <c r="A34" s="201">
        <v>1960</v>
      </c>
      <c r="B34" s="202">
        <v>3.36535314743695E-3</v>
      </c>
      <c r="C34" s="202">
        <v>2.8729718875502006E-2</v>
      </c>
      <c r="D34" s="202">
        <v>0.11639503690963365</v>
      </c>
      <c r="E34" s="203">
        <v>1614.366327651135</v>
      </c>
      <c r="F34" s="136">
        <v>4653.863276791406</v>
      </c>
      <c r="G34" s="136">
        <v>154.14724097121606</v>
      </c>
      <c r="H34" s="136">
        <v>239.52823965399477</v>
      </c>
      <c r="I34" s="168">
        <v>-2.5364365728065056E-2</v>
      </c>
      <c r="J34" s="210">
        <v>-0.1130296837621967</v>
      </c>
      <c r="K34" s="168">
        <v>6.1119788031217315E-2</v>
      </c>
    </row>
    <row r="35" spans="1:11" ht="16">
      <c r="A35" s="201">
        <v>1961</v>
      </c>
      <c r="B35" s="202">
        <v>0.26637712958182752</v>
      </c>
      <c r="C35" s="202">
        <v>2.3524899598393576E-2</v>
      </c>
      <c r="D35" s="202">
        <v>2.0609208076323167E-2</v>
      </c>
      <c r="E35" s="203">
        <v>2044.3965961044005</v>
      </c>
      <c r="F35" s="136">
        <v>6042.1106922582821</v>
      </c>
      <c r="G35" s="136">
        <v>157.77353933843332</v>
      </c>
      <c r="H35" s="136">
        <v>244.46472698517934</v>
      </c>
      <c r="I35" s="168">
        <v>0.24285222998343395</v>
      </c>
      <c r="J35" s="210">
        <v>0.24576792150550436</v>
      </c>
      <c r="K35" s="168">
        <v>6.6173591829972622E-2</v>
      </c>
    </row>
    <row r="36" spans="1:11" ht="16">
      <c r="A36" s="201">
        <v>1962</v>
      </c>
      <c r="B36" s="202">
        <v>-8.8114605171208879E-2</v>
      </c>
      <c r="C36" s="202">
        <v>2.7723694779116466E-2</v>
      </c>
      <c r="D36" s="202">
        <v>5.693544054008462E-2</v>
      </c>
      <c r="E36" s="203">
        <v>1864.2553972252979</v>
      </c>
      <c r="F36" s="136">
        <v>5452.4006886938732</v>
      </c>
      <c r="G36" s="136">
        <v>162.14760478727297</v>
      </c>
      <c r="H36" s="136">
        <v>258.38343391259201</v>
      </c>
      <c r="I36" s="168">
        <v>-0.11583829995032535</v>
      </c>
      <c r="J36" s="210">
        <v>-0.14505004571129348</v>
      </c>
      <c r="K36" s="168">
        <v>5.9683465378989942E-2</v>
      </c>
    </row>
    <row r="37" spans="1:11" ht="16">
      <c r="A37" s="201">
        <v>1963</v>
      </c>
      <c r="B37" s="202">
        <v>0.22611927099841514</v>
      </c>
      <c r="C37" s="202">
        <v>3.1560240963855422E-2</v>
      </c>
      <c r="D37" s="202">
        <v>1.6841620739546127E-2</v>
      </c>
      <c r="E37" s="203">
        <v>2285.7994686007432</v>
      </c>
      <c r="F37" s="136">
        <v>6539.0641459505623</v>
      </c>
      <c r="G37" s="136">
        <v>167.2650222660713</v>
      </c>
      <c r="H37" s="136">
        <v>262.73502971192949</v>
      </c>
      <c r="I37" s="168">
        <v>0.19455903003455971</v>
      </c>
      <c r="J37" s="210">
        <v>0.20927765025886902</v>
      </c>
      <c r="K37" s="168">
        <v>6.3618993911514821E-2</v>
      </c>
    </row>
    <row r="38" spans="1:11" ht="16">
      <c r="A38" s="201">
        <v>1964</v>
      </c>
      <c r="B38" s="202">
        <v>0.16415455878432425</v>
      </c>
      <c r="C38" s="202">
        <v>3.5457370517928286E-2</v>
      </c>
      <c r="D38" s="202">
        <v>3.7280648911540815E-2</v>
      </c>
      <c r="E38" s="203">
        <v>2661.0238718383412</v>
      </c>
      <c r="F38" s="136">
        <v>8052.8574957381179</v>
      </c>
      <c r="G38" s="136">
        <v>173.1958001352489</v>
      </c>
      <c r="H38" s="136">
        <v>272.52996211138321</v>
      </c>
      <c r="I38" s="168">
        <v>0.12869718826639598</v>
      </c>
      <c r="J38" s="210">
        <v>0.12687390987278344</v>
      </c>
      <c r="K38" s="168">
        <v>6.5267777442658215E-2</v>
      </c>
    </row>
    <row r="39" spans="1:11" ht="16">
      <c r="A39" s="201">
        <v>1965</v>
      </c>
      <c r="B39" s="202">
        <v>0.12399242477876114</v>
      </c>
      <c r="C39" s="202">
        <v>3.9490763052208833E-2</v>
      </c>
      <c r="D39" s="202">
        <v>7.1885509359262342E-3</v>
      </c>
      <c r="E39" s="203">
        <v>2990.9706741017444</v>
      </c>
      <c r="F39" s="136">
        <v>11729.792228292141</v>
      </c>
      <c r="G39" s="136">
        <v>180.03543444002773</v>
      </c>
      <c r="H39" s="136">
        <v>274.48905762558695</v>
      </c>
      <c r="I39" s="168">
        <v>8.450166172655231E-2</v>
      </c>
      <c r="J39" s="210">
        <v>0.11680387384283492</v>
      </c>
      <c r="K39" s="168">
        <v>6.6617941689874449E-2</v>
      </c>
    </row>
    <row r="40" spans="1:11" ht="16">
      <c r="A40" s="201">
        <v>1966</v>
      </c>
      <c r="B40" s="202">
        <v>-9.9709542356377898E-2</v>
      </c>
      <c r="C40" s="202">
        <v>4.8557199999999995E-2</v>
      </c>
      <c r="D40" s="202">
        <v>2.9079409324299622E-2</v>
      </c>
      <c r="E40" s="203">
        <v>2692.7423569857124</v>
      </c>
      <c r="F40" s="136">
        <v>10616.634945827216</v>
      </c>
      <c r="G40" s="136">
        <v>188.77745103721907</v>
      </c>
      <c r="H40" s="136">
        <v>282.47103728732264</v>
      </c>
      <c r="I40" s="168">
        <v>-0.14826674235637788</v>
      </c>
      <c r="J40" s="210">
        <v>-0.12878895168067753</v>
      </c>
      <c r="K40" s="168">
        <v>6.1123719679815336E-2</v>
      </c>
    </row>
    <row r="41" spans="1:11" ht="16">
      <c r="A41" s="201">
        <v>1967</v>
      </c>
      <c r="B41" s="202">
        <v>0.23802966513133328</v>
      </c>
      <c r="C41" s="202">
        <v>4.2934538152610439E-2</v>
      </c>
      <c r="D41" s="202">
        <v>-1.5806209932824666E-2</v>
      </c>
      <c r="E41" s="203">
        <v>3333.6949185039784</v>
      </c>
      <c r="F41" s="136">
        <v>23015.802899058825</v>
      </c>
      <c r="G41" s="136">
        <v>196.8825237111291</v>
      </c>
      <c r="H41" s="136">
        <v>278.0062407720165</v>
      </c>
      <c r="I41" s="168">
        <v>0.19509512697872283</v>
      </c>
      <c r="J41" s="210">
        <v>0.25383587506415795</v>
      </c>
      <c r="K41" s="168">
        <v>6.5732838776739522E-2</v>
      </c>
    </row>
    <row r="42" spans="1:11" ht="16">
      <c r="A42" s="201">
        <v>1968</v>
      </c>
      <c r="B42" s="202">
        <v>0.10814862651601535</v>
      </c>
      <c r="C42" s="202">
        <v>5.3376E-2</v>
      </c>
      <c r="D42" s="202">
        <v>3.2746196950768365E-2</v>
      </c>
      <c r="E42" s="203">
        <v>3694.2294451636035</v>
      </c>
      <c r="F42" s="136">
        <v>36986.395258787532</v>
      </c>
      <c r="G42" s="136">
        <v>207.39132529673435</v>
      </c>
      <c r="H42" s="136">
        <v>287.10988788587969</v>
      </c>
      <c r="I42" s="168">
        <v>5.4772626516015353E-2</v>
      </c>
      <c r="J42" s="210">
        <v>7.5402429565246981E-2</v>
      </c>
      <c r="K42" s="168">
        <v>6.596627828748769E-2</v>
      </c>
    </row>
    <row r="43" spans="1:11" ht="16">
      <c r="A43" s="201">
        <v>1969</v>
      </c>
      <c r="B43" s="202">
        <v>-8.2413710764490639E-2</v>
      </c>
      <c r="C43" s="202">
        <v>6.668467741935484E-2</v>
      </c>
      <c r="D43" s="202">
        <v>-5.0140493209926106E-2</v>
      </c>
      <c r="E43" s="203">
        <v>3389.7742881722256</v>
      </c>
      <c r="F43" s="136">
        <v>24762.391625758253</v>
      </c>
      <c r="G43" s="136">
        <v>221.22114892371957</v>
      </c>
      <c r="H43" s="136">
        <v>272.7140565018351</v>
      </c>
      <c r="I43" s="168">
        <v>-0.14909838818384546</v>
      </c>
      <c r="J43" s="210">
        <v>-3.2273217554564533E-2</v>
      </c>
      <c r="K43" s="168">
        <v>6.3333872734198771E-2</v>
      </c>
    </row>
    <row r="44" spans="1:11" ht="16">
      <c r="A44" s="201">
        <v>1970</v>
      </c>
      <c r="B44" s="202">
        <v>3.5611449054964189E-2</v>
      </c>
      <c r="C44" s="202">
        <v>6.3909999999999995E-2</v>
      </c>
      <c r="D44" s="202">
        <v>0.16754737183412338</v>
      </c>
      <c r="E44" s="203">
        <v>3510.4890625432981</v>
      </c>
      <c r="F44" s="136">
        <v>20057.537216864188</v>
      </c>
      <c r="G44" s="136">
        <v>235.35939255143447</v>
      </c>
      <c r="H44" s="136">
        <v>318.40657993094021</v>
      </c>
      <c r="I44" s="168">
        <v>-2.8298550945035805E-2</v>
      </c>
      <c r="J44" s="210">
        <v>-0.13193592277915919</v>
      </c>
      <c r="K44" s="168">
        <v>5.8972566666315007E-2</v>
      </c>
    </row>
    <row r="45" spans="1:11" ht="16">
      <c r="A45" s="201">
        <v>1971</v>
      </c>
      <c r="B45" s="202">
        <v>0.14221150298426474</v>
      </c>
      <c r="C45" s="202">
        <v>4.3342570281124503E-2</v>
      </c>
      <c r="D45" s="202">
        <v>9.7868966197122972E-2</v>
      </c>
      <c r="E45" s="203">
        <v>4009.720988337403</v>
      </c>
      <c r="F45" s="136">
        <v>23365.025103925094</v>
      </c>
      <c r="G45" s="136">
        <v>245.5604735644178</v>
      </c>
      <c r="H45" s="136">
        <v>349.56870273914296</v>
      </c>
      <c r="I45" s="168">
        <v>9.8868932703140233E-2</v>
      </c>
      <c r="J45" s="210">
        <v>4.434253678714177E-2</v>
      </c>
      <c r="K45" s="168">
        <v>5.8660636809878541E-2</v>
      </c>
    </row>
    <row r="46" spans="1:11" ht="16">
      <c r="A46" s="201">
        <v>1972</v>
      </c>
      <c r="B46" s="202">
        <v>0.18755362915074925</v>
      </c>
      <c r="C46" s="202">
        <v>4.0618399999999999E-2</v>
      </c>
      <c r="D46" s="202">
        <v>2.818449050444969E-2</v>
      </c>
      <c r="E46" s="203">
        <v>4761.7587115820115</v>
      </c>
      <c r="F46" s="136">
        <v>23425.774169195298</v>
      </c>
      <c r="G46" s="136">
        <v>255.53474710384677</v>
      </c>
      <c r="H46" s="136">
        <v>359.42111852214714</v>
      </c>
      <c r="I46" s="168">
        <v>0.14693522915074925</v>
      </c>
      <c r="J46" s="210">
        <v>0.15936913864629956</v>
      </c>
      <c r="K46" s="168">
        <v>6.0804303728189568E-2</v>
      </c>
    </row>
    <row r="47" spans="1:11" ht="16">
      <c r="A47" s="201">
        <v>1973</v>
      </c>
      <c r="B47" s="202">
        <v>-0.14308047437526472</v>
      </c>
      <c r="C47" s="202">
        <v>7.0354435483870964E-2</v>
      </c>
      <c r="D47" s="202">
        <v>3.6586646024150085E-2</v>
      </c>
      <c r="E47" s="203">
        <v>4080.4440162683081</v>
      </c>
      <c r="F47" s="136">
        <v>14376.397607635152</v>
      </c>
      <c r="G47" s="136">
        <v>273.51274998285163</v>
      </c>
      <c r="H47" s="136">
        <v>372.57113175912104</v>
      </c>
      <c r="I47" s="168">
        <v>-0.21343490985913569</v>
      </c>
      <c r="J47" s="210">
        <v>-0.17966712039941479</v>
      </c>
      <c r="K47" s="168">
        <v>5.4960045718843054E-2</v>
      </c>
    </row>
    <row r="48" spans="1:11" ht="16">
      <c r="A48" s="201">
        <v>1974</v>
      </c>
      <c r="B48" s="202">
        <v>-0.25901785750896972</v>
      </c>
      <c r="C48" s="202">
        <v>7.8457831325301208E-2</v>
      </c>
      <c r="D48" s="202">
        <v>1.9886086932378574E-2</v>
      </c>
      <c r="E48" s="203">
        <v>3023.5361494891954</v>
      </c>
      <c r="F48" s="136">
        <v>10522.085409028168</v>
      </c>
      <c r="G48" s="136">
        <v>294.97196718632551</v>
      </c>
      <c r="H48" s="136">
        <v>379.98011367377757</v>
      </c>
      <c r="I48" s="168">
        <v>-0.33747568883427093</v>
      </c>
      <c r="J48" s="210">
        <v>-0.27890394444134831</v>
      </c>
      <c r="K48" s="168">
        <v>4.6417018581159875E-2</v>
      </c>
    </row>
    <row r="49" spans="1:11" ht="16">
      <c r="A49" s="201">
        <v>1975</v>
      </c>
      <c r="B49" s="202">
        <v>0.36995137106184356</v>
      </c>
      <c r="C49" s="202">
        <v>5.7863855421686747E-2</v>
      </c>
      <c r="D49" s="202">
        <v>3.6052536026033838E-2</v>
      </c>
      <c r="E49" s="203">
        <v>4142.0974934477708</v>
      </c>
      <c r="F49" s="136">
        <v>16766.943099286389</v>
      </c>
      <c r="G49" s="136">
        <v>312.04018244904557</v>
      </c>
      <c r="H49" s="136">
        <v>393.67936041117781</v>
      </c>
      <c r="I49" s="168">
        <v>0.3120875156401568</v>
      </c>
      <c r="J49" s="210">
        <v>0.33389883503580975</v>
      </c>
      <c r="K49" s="168">
        <v>5.1706756781676244E-2</v>
      </c>
    </row>
    <row r="50" spans="1:11" ht="16">
      <c r="A50" s="201">
        <v>1976</v>
      </c>
      <c r="B50" s="202">
        <v>0.23830999002106662</v>
      </c>
      <c r="C50" s="202">
        <v>4.9766000000000005E-2</v>
      </c>
      <c r="D50" s="202">
        <v>0.1598456074290921</v>
      </c>
      <c r="E50" s="203">
        <v>5129.2007057775936</v>
      </c>
      <c r="F50" s="136">
        <v>24900.587196750217</v>
      </c>
      <c r="G50" s="136">
        <v>327.56917416880475</v>
      </c>
      <c r="H50" s="136">
        <v>456.607276908399</v>
      </c>
      <c r="I50" s="168">
        <v>0.18854399002106662</v>
      </c>
      <c r="J50" s="210">
        <v>7.8464382591974524E-2</v>
      </c>
      <c r="K50" s="168">
        <v>5.2196588038950109E-2</v>
      </c>
    </row>
    <row r="51" spans="1:11" ht="16">
      <c r="A51" s="201">
        <v>1977</v>
      </c>
      <c r="B51" s="202">
        <v>-6.9797040759352322E-2</v>
      </c>
      <c r="C51" s="202">
        <v>5.2609638554216867E-2</v>
      </c>
      <c r="D51" s="202">
        <v>1.2899606071070449E-2</v>
      </c>
      <c r="E51" s="203">
        <v>4771.1976750535359</v>
      </c>
      <c r="F51" s="136">
        <v>32537.597289993508</v>
      </c>
      <c r="G51" s="136">
        <v>344.80247002332891</v>
      </c>
      <c r="H51" s="136">
        <v>462.49733090970153</v>
      </c>
      <c r="I51" s="168">
        <v>-0.12240667931356919</v>
      </c>
      <c r="J51" s="210">
        <v>-8.2696646830422771E-2</v>
      </c>
      <c r="K51" s="168">
        <v>4.9266761357046551E-2</v>
      </c>
    </row>
    <row r="52" spans="1:11" ht="16">
      <c r="A52" s="201">
        <v>1978</v>
      </c>
      <c r="B52" s="202">
        <v>6.50928391167193E-2</v>
      </c>
      <c r="C52" s="202">
        <v>7.1783064516129036E-2</v>
      </c>
      <c r="D52" s="202">
        <v>-7.7758069075086478E-3</v>
      </c>
      <c r="E52" s="203">
        <v>5081.7684777098611</v>
      </c>
      <c r="F52" s="136">
        <v>42077.620815419607</v>
      </c>
      <c r="G52" s="136">
        <v>369.55344797433418</v>
      </c>
      <c r="H52" s="136">
        <v>458.90104096930958</v>
      </c>
      <c r="I52" s="168">
        <v>-6.6902253994097355E-3</v>
      </c>
      <c r="J52" s="210">
        <v>7.2868646024227948E-2</v>
      </c>
      <c r="K52" s="168">
        <v>4.9741898913203242E-2</v>
      </c>
    </row>
    <row r="53" spans="1:11" ht="16">
      <c r="A53" s="201">
        <v>1979</v>
      </c>
      <c r="B53" s="202">
        <v>0.18519490167516386</v>
      </c>
      <c r="C53" s="202">
        <v>0.10054274193548388</v>
      </c>
      <c r="D53" s="202">
        <v>6.7072031247235459E-3</v>
      </c>
      <c r="E53" s="203">
        <v>6022.8860912752862</v>
      </c>
      <c r="F53" s="136">
        <v>59737.598271651215</v>
      </c>
      <c r="G53" s="136">
        <v>406.7093649253859</v>
      </c>
      <c r="H53" s="136">
        <v>461.97898346523777</v>
      </c>
      <c r="I53" s="168">
        <v>8.4652159739679989E-2</v>
      </c>
      <c r="J53" s="210">
        <v>0.17848769855044033</v>
      </c>
      <c r="K53" s="168">
        <v>5.2132252828986925E-2</v>
      </c>
    </row>
    <row r="54" spans="1:11" ht="16">
      <c r="A54" s="201">
        <v>1980</v>
      </c>
      <c r="B54" s="202">
        <v>0.3173524550676301</v>
      </c>
      <c r="C54" s="202">
        <v>0.1139188</v>
      </c>
      <c r="D54" s="202">
        <v>-2.989744251999403E-2</v>
      </c>
      <c r="E54" s="203">
        <v>7934.2637789341807</v>
      </c>
      <c r="F54" s="136">
        <v>85072.313698658487</v>
      </c>
      <c r="G54" s="136">
        <v>453.04120772644796</v>
      </c>
      <c r="H54" s="136">
        <v>448.16699336164055</v>
      </c>
      <c r="I54" s="168">
        <v>0.20343365506763011</v>
      </c>
      <c r="J54" s="210">
        <v>0.34724989758762415</v>
      </c>
      <c r="K54" s="168">
        <v>5.7318705257589642E-2</v>
      </c>
    </row>
    <row r="55" spans="1:11" ht="16">
      <c r="A55" s="201">
        <v>1981</v>
      </c>
      <c r="B55" s="202">
        <v>-4.7023902474955762E-2</v>
      </c>
      <c r="C55" s="202">
        <v>0.14036184738955823</v>
      </c>
      <c r="D55" s="202">
        <v>8.1992153358923542E-2</v>
      </c>
      <c r="E55" s="203">
        <v>7561.1637327830058</v>
      </c>
      <c r="F55" s="136">
        <v>81550.319911534025</v>
      </c>
      <c r="G55" s="136">
        <v>516.63090858652879</v>
      </c>
      <c r="H55" s="136">
        <v>484.91317021175587</v>
      </c>
      <c r="I55" s="168">
        <v>-0.18738574986451401</v>
      </c>
      <c r="J55" s="210">
        <v>-0.12901605583387932</v>
      </c>
      <c r="K55" s="168">
        <v>5.3730990468644491E-2</v>
      </c>
    </row>
    <row r="56" spans="1:11" ht="16">
      <c r="A56" s="201">
        <v>1982</v>
      </c>
      <c r="B56" s="202">
        <v>0.20419055079559353</v>
      </c>
      <c r="C56" s="202">
        <v>0.10603413654618475</v>
      </c>
      <c r="D56" s="202">
        <v>0.32814549486295586</v>
      </c>
      <c r="E56" s="203">
        <v>9105.0819200356327</v>
      </c>
      <c r="F56" s="136">
        <v>103658.6116395509</v>
      </c>
      <c r="G56" s="136">
        <v>571.41142089157233</v>
      </c>
      <c r="H56" s="136">
        <v>644.03524241645721</v>
      </c>
      <c r="I56" s="168">
        <v>9.8156414249408783E-2</v>
      </c>
      <c r="J56" s="210">
        <v>-0.12395494406736232</v>
      </c>
      <c r="K56" s="168">
        <v>5.1038688692139678E-2</v>
      </c>
    </row>
    <row r="57" spans="1:11" ht="16">
      <c r="A57" s="201">
        <v>1983</v>
      </c>
      <c r="B57" s="202">
        <v>0.22337155858930619</v>
      </c>
      <c r="C57" s="202">
        <v>8.61764E-2</v>
      </c>
      <c r="D57" s="202">
        <v>3.2002094451429264E-2</v>
      </c>
      <c r="E57" s="203">
        <v>11138.898259597305</v>
      </c>
      <c r="F57" s="136">
        <v>140830.58977349385</v>
      </c>
      <c r="G57" s="136">
        <v>620.65360006289291</v>
      </c>
      <c r="H57" s="136">
        <v>664.64571907431775</v>
      </c>
      <c r="I57" s="168">
        <v>0.1371951585893062</v>
      </c>
      <c r="J57" s="210">
        <v>0.19136946413787692</v>
      </c>
      <c r="K57" s="168">
        <v>5.3402830654563971E-2</v>
      </c>
    </row>
    <row r="58" spans="1:11" ht="16">
      <c r="A58" s="201">
        <v>1984</v>
      </c>
      <c r="B58" s="202">
        <v>6.14614199963621E-2</v>
      </c>
      <c r="C58" s="202">
        <v>9.5402811244979929E-2</v>
      </c>
      <c r="D58" s="202">
        <v>0.13733364344102345</v>
      </c>
      <c r="E58" s="203">
        <v>11823.510763827162</v>
      </c>
      <c r="F58" s="136">
        <v>120381.98813838254</v>
      </c>
      <c r="G58" s="136">
        <v>679.86569831821032</v>
      </c>
      <c r="H58" s="136">
        <v>755.92393727227272</v>
      </c>
      <c r="I58" s="168">
        <v>-3.3941391248617829E-2</v>
      </c>
      <c r="J58" s="210">
        <v>-7.5872223444661352E-2</v>
      </c>
      <c r="K58" s="168">
        <v>5.1212126318051387E-2</v>
      </c>
    </row>
    <row r="59" spans="1:11" ht="16">
      <c r="A59" s="201">
        <v>1985</v>
      </c>
      <c r="B59" s="202">
        <v>0.31235149485768948</v>
      </c>
      <c r="C59" s="202">
        <v>7.4711290322580642E-2</v>
      </c>
      <c r="D59" s="202">
        <v>0.2571248821260641</v>
      </c>
      <c r="E59" s="203">
        <v>15516.602025374559</v>
      </c>
      <c r="F59" s="136">
        <v>150646.01995637192</v>
      </c>
      <c r="G59" s="136">
        <v>730.65934188562619</v>
      </c>
      <c r="H59" s="136">
        <v>950.2907905396761</v>
      </c>
      <c r="I59" s="168">
        <v>0.23764020453510884</v>
      </c>
      <c r="J59" s="210">
        <v>5.522661273162538E-2</v>
      </c>
      <c r="K59" s="168">
        <v>5.1284365102581608E-2</v>
      </c>
    </row>
    <row r="60" spans="1:11" ht="16">
      <c r="A60" s="201">
        <v>1986</v>
      </c>
      <c r="B60" s="202">
        <v>0.18494578758046187</v>
      </c>
      <c r="C60" s="202">
        <v>5.9692800000000004E-2</v>
      </c>
      <c r="D60" s="202">
        <v>0.24284215141767618</v>
      </c>
      <c r="E60" s="203">
        <v>18386.332207530046</v>
      </c>
      <c r="F60" s="136">
        <v>153899.97398742958</v>
      </c>
      <c r="G60" s="136">
        <v>774.27444384893658</v>
      </c>
      <c r="H60" s="136">
        <v>1181.0614505867354</v>
      </c>
      <c r="I60" s="168">
        <v>0.12525298758046188</v>
      </c>
      <c r="J60" s="210">
        <v>-5.7896363837214304E-2</v>
      </c>
      <c r="K60" s="168">
        <v>4.9663565599739057E-2</v>
      </c>
    </row>
    <row r="61" spans="1:11" ht="16">
      <c r="A61" s="201">
        <v>1987</v>
      </c>
      <c r="B61" s="202">
        <v>5.8127216418218712E-2</v>
      </c>
      <c r="C61" s="202">
        <v>5.7773600000000001E-2</v>
      </c>
      <c r="D61" s="202">
        <v>-4.9605089379262279E-2</v>
      </c>
      <c r="E61" s="203">
        <v>19455.07851889441</v>
      </c>
      <c r="F61" s="136">
        <v>132307.80763699321</v>
      </c>
      <c r="G61" s="136">
        <v>819.00706585808746</v>
      </c>
      <c r="H61" s="136">
        <v>1122.4747917679792</v>
      </c>
      <c r="I61" s="168">
        <v>3.536164182187107E-4</v>
      </c>
      <c r="J61" s="210">
        <v>0.107732305797481</v>
      </c>
      <c r="K61" s="168">
        <v>5.0693590437507208E-2</v>
      </c>
    </row>
    <row r="62" spans="1:11" ht="16">
      <c r="A62" s="201">
        <v>1988</v>
      </c>
      <c r="B62" s="202">
        <v>0.16537192812044688</v>
      </c>
      <c r="C62" s="202">
        <v>6.6684400000000005E-2</v>
      </c>
      <c r="D62" s="202">
        <v>8.2235958434841674E-2</v>
      </c>
      <c r="E62" s="203">
        <v>22672.402365298665</v>
      </c>
      <c r="F62" s="136">
        <v>155289.67382353893</v>
      </c>
      <c r="G62" s="136">
        <v>873.62206064059444</v>
      </c>
      <c r="H62" s="136">
        <v>1214.7825820879684</v>
      </c>
      <c r="I62" s="168">
        <v>9.8687528120446871E-2</v>
      </c>
      <c r="J62" s="210">
        <v>8.3135969685605202E-2</v>
      </c>
      <c r="K62" s="168">
        <v>5.1199933578993884E-2</v>
      </c>
    </row>
    <row r="63" spans="1:11" ht="16">
      <c r="A63" s="201">
        <v>1989</v>
      </c>
      <c r="B63" s="202">
        <v>0.31475183638196724</v>
      </c>
      <c r="C63" s="202">
        <v>8.111560000000001E-2</v>
      </c>
      <c r="D63" s="202">
        <v>0.17693647159446219</v>
      </c>
      <c r="E63" s="203">
        <v>29808.582644967279</v>
      </c>
      <c r="F63" s="136">
        <v>166082.30615427491</v>
      </c>
      <c r="G63" s="136">
        <v>944.48643826269256</v>
      </c>
      <c r="H63" s="136">
        <v>1429.7219259170236</v>
      </c>
      <c r="I63" s="168">
        <v>0.23363623638196723</v>
      </c>
      <c r="J63" s="210">
        <v>0.13781536478750506</v>
      </c>
      <c r="K63" s="168">
        <v>5.240982169336883E-2</v>
      </c>
    </row>
    <row r="64" spans="1:11" ht="16">
      <c r="A64" s="201">
        <v>1990</v>
      </c>
      <c r="B64" s="202">
        <v>-3.0644516129032118E-2</v>
      </c>
      <c r="C64" s="202">
        <v>7.4964799999999998E-2</v>
      </c>
      <c r="D64" s="202">
        <v>6.2353753335533363E-2</v>
      </c>
      <c r="E64" s="203">
        <v>28895.113053319994</v>
      </c>
      <c r="F64" s="136">
        <v>119712.12627600135</v>
      </c>
      <c r="G64" s="136">
        <v>1015.2896752097677</v>
      </c>
      <c r="H64" s="136">
        <v>1518.8704542240573</v>
      </c>
      <c r="I64" s="168">
        <v>-0.10560931612903211</v>
      </c>
      <c r="J64" s="210">
        <v>-9.2998269464565478E-2</v>
      </c>
      <c r="K64" s="168">
        <v>4.9979953137364364E-2</v>
      </c>
    </row>
    <row r="65" spans="1:11" ht="16">
      <c r="A65" s="201">
        <v>1991</v>
      </c>
      <c r="B65" s="202">
        <v>0.30234843134879757</v>
      </c>
      <c r="C65" s="202">
        <v>5.3756000000000005E-2</v>
      </c>
      <c r="D65" s="202">
        <v>0.15004510019517303</v>
      </c>
      <c r="E65" s="203">
        <v>37631.505158637461</v>
      </c>
      <c r="F65" s="136">
        <v>175102.92710390719</v>
      </c>
      <c r="G65" s="136">
        <v>1069.8675869903439</v>
      </c>
      <c r="H65" s="136">
        <v>1746.769523711594</v>
      </c>
      <c r="I65" s="168">
        <v>0.24859243134879758</v>
      </c>
      <c r="J65" s="210">
        <v>0.15230333115362454</v>
      </c>
      <c r="K65" s="168">
        <v>5.13850639844049E-2</v>
      </c>
    </row>
    <row r="66" spans="1:11" ht="16">
      <c r="A66" s="201">
        <v>1992</v>
      </c>
      <c r="B66" s="202">
        <v>7.493727972380064E-2</v>
      </c>
      <c r="C66" s="202">
        <v>3.4313147410358569E-2</v>
      </c>
      <c r="D66" s="202">
        <v>9.3616373162079422E-2</v>
      </c>
      <c r="E66" s="203">
        <v>40451.507787137925</v>
      </c>
      <c r="F66" s="136">
        <v>219771.68380811394</v>
      </c>
      <c r="G66" s="136">
        <v>1106.5781112123082</v>
      </c>
      <c r="H66" s="136">
        <v>1910.2957512715263</v>
      </c>
      <c r="I66" s="168">
        <v>4.0624132313442071E-2</v>
      </c>
      <c r="J66" s="210">
        <v>-1.8679093438278782E-2</v>
      </c>
      <c r="K66" s="168">
        <v>5.0319857010869606E-2</v>
      </c>
    </row>
    <row r="67" spans="1:11" ht="16">
      <c r="A67" s="201">
        <v>1993</v>
      </c>
      <c r="B67" s="202">
        <v>9.96705147919488E-2</v>
      </c>
      <c r="C67" s="202">
        <v>2.9971199999999996E-2</v>
      </c>
      <c r="D67" s="202">
        <v>0.14210957589263107</v>
      </c>
      <c r="E67" s="203">
        <v>44483.33039239249</v>
      </c>
      <c r="F67" s="136">
        <v>276318.93805194169</v>
      </c>
      <c r="G67" s="136">
        <v>1139.7435850990746</v>
      </c>
      <c r="H67" s="136">
        <v>2181.7670703142176</v>
      </c>
      <c r="I67" s="168">
        <v>6.9699314791948797E-2</v>
      </c>
      <c r="J67" s="210">
        <v>-4.2439061100682268E-2</v>
      </c>
      <c r="K67" s="168">
        <v>4.8975937931758473E-2</v>
      </c>
    </row>
    <row r="68" spans="1:11" ht="16">
      <c r="A68" s="201">
        <v>1994</v>
      </c>
      <c r="B68" s="202">
        <v>1.3259206774573897E-2</v>
      </c>
      <c r="C68" s="202">
        <v>4.2522489959839357E-2</v>
      </c>
      <c r="D68" s="202">
        <v>-8.0366555509985921E-2</v>
      </c>
      <c r="E68" s="203">
        <v>45073.144068086905</v>
      </c>
      <c r="F68" s="136">
        <v>262475.35925553943</v>
      </c>
      <c r="G68" s="136">
        <v>1188.2083202532413</v>
      </c>
      <c r="H68" s="136">
        <v>2006.4259659479505</v>
      </c>
      <c r="I68" s="168">
        <v>-2.926328318526546E-2</v>
      </c>
      <c r="J68" s="210">
        <v>9.3625762284559821E-2</v>
      </c>
      <c r="K68" s="168">
        <v>4.9718636171719899E-2</v>
      </c>
    </row>
    <row r="69" spans="1:11" ht="16">
      <c r="A69" s="201">
        <v>1995</v>
      </c>
      <c r="B69" s="202">
        <v>0.37195198902606308</v>
      </c>
      <c r="C69" s="202">
        <v>5.4896E-2</v>
      </c>
      <c r="D69" s="202">
        <v>0.23480780112538907</v>
      </c>
      <c r="E69" s="203">
        <v>61838.189655870119</v>
      </c>
      <c r="F69" s="136">
        <v>347176.15768730198</v>
      </c>
      <c r="G69" s="136">
        <v>1253.4362042018633</v>
      </c>
      <c r="H69" s="136">
        <v>2477.5504351330737</v>
      </c>
      <c r="I69" s="168">
        <v>0.31705598902606308</v>
      </c>
      <c r="J69" s="210">
        <v>0.13714418790067401</v>
      </c>
      <c r="K69" s="168">
        <v>5.0791451119413633E-2</v>
      </c>
    </row>
    <row r="70" spans="1:11" ht="16">
      <c r="A70" s="201">
        <v>1996</v>
      </c>
      <c r="B70" s="202">
        <v>0.22680966018865789</v>
      </c>
      <c r="C70" s="202">
        <v>5.005396825396826E-2</v>
      </c>
      <c r="D70" s="202">
        <v>1.428607793401844E-2</v>
      </c>
      <c r="E70" s="203">
        <v>75863.688438399797</v>
      </c>
      <c r="F70" s="136">
        <v>397968.02955695428</v>
      </c>
      <c r="G70" s="136">
        <v>1316.175660175358</v>
      </c>
      <c r="H70" s="136">
        <v>2512.9449137348461</v>
      </c>
      <c r="I70" s="168">
        <v>0.17675569193468962</v>
      </c>
      <c r="J70" s="210">
        <v>0.21252358225463946</v>
      </c>
      <c r="K70" s="168">
        <v>5.304503967737495E-2</v>
      </c>
    </row>
    <row r="71" spans="1:11" ht="16">
      <c r="A71" s="201">
        <v>1997</v>
      </c>
      <c r="B71" s="202">
        <v>0.33103653103653097</v>
      </c>
      <c r="C71" s="202">
        <v>5.0620800000000001E-2</v>
      </c>
      <c r="D71" s="202">
        <v>9.939130272977531E-2</v>
      </c>
      <c r="E71" s="203">
        <v>100977.34069068384</v>
      </c>
      <c r="F71" s="136">
        <v>486197.54170973104</v>
      </c>
      <c r="G71" s="136">
        <v>1382.8015250339627</v>
      </c>
      <c r="H71" s="136">
        <v>2762.7097823991153</v>
      </c>
      <c r="I71" s="168">
        <v>0.28041573103653095</v>
      </c>
      <c r="J71" s="210">
        <v>0.23164522830675566</v>
      </c>
      <c r="K71" s="168">
        <v>5.5315584903303572E-2</v>
      </c>
    </row>
    <row r="72" spans="1:11" ht="16">
      <c r="A72" s="201">
        <v>1998</v>
      </c>
      <c r="B72" s="202">
        <v>0.28337953278443584</v>
      </c>
      <c r="C72" s="202">
        <v>4.7759600000000006E-2</v>
      </c>
      <c r="D72" s="202">
        <v>0.14921431922606215</v>
      </c>
      <c r="E72" s="203">
        <v>129592.25231742462</v>
      </c>
      <c r="F72" s="136">
        <v>420755.35259560123</v>
      </c>
      <c r="G72" s="136">
        <v>1448.8435727489748</v>
      </c>
      <c r="H72" s="136">
        <v>3174.9456417989818</v>
      </c>
      <c r="I72" s="168">
        <v>0.23561993278443583</v>
      </c>
      <c r="J72" s="210">
        <v>0.13416521355837369</v>
      </c>
      <c r="K72" s="168">
        <v>5.6306048135548625E-2</v>
      </c>
    </row>
    <row r="73" spans="1:11" ht="16">
      <c r="A73" s="201">
        <v>1999</v>
      </c>
      <c r="B73" s="202">
        <v>0.20885350992084475</v>
      </c>
      <c r="C73" s="202">
        <v>4.6384063745019917E-2</v>
      </c>
      <c r="D73" s="202">
        <v>-8.2542147962685761E-2</v>
      </c>
      <c r="E73" s="203">
        <v>156658.0490724665</v>
      </c>
      <c r="F73" s="136">
        <v>581652.19942815916</v>
      </c>
      <c r="G73" s="136">
        <v>1516.0468253839256</v>
      </c>
      <c r="H73" s="136">
        <v>2912.8788088601259</v>
      </c>
      <c r="I73" s="168">
        <v>0.16246944617582484</v>
      </c>
      <c r="J73" s="210">
        <v>0.2913956578835305</v>
      </c>
      <c r="K73" s="168">
        <v>5.9634694818320177E-2</v>
      </c>
    </row>
    <row r="74" spans="1:11" ht="16">
      <c r="A74" s="201">
        <v>2000</v>
      </c>
      <c r="B74" s="202">
        <v>-9.0318189552492781E-2</v>
      </c>
      <c r="C74" s="202">
        <v>5.8198007968127491E-2</v>
      </c>
      <c r="D74" s="202">
        <v>0.16655267125397488</v>
      </c>
      <c r="E74" s="203">
        <v>142508.97770141574</v>
      </c>
      <c r="F74" s="136">
        <v>527616.71010128316</v>
      </c>
      <c r="G74" s="136">
        <v>1604.2777306076737</v>
      </c>
      <c r="H74" s="136">
        <v>3398.0265555148762</v>
      </c>
      <c r="I74" s="168">
        <v>-0.14851619752062029</v>
      </c>
      <c r="J74" s="210">
        <v>-0.25687086080646765</v>
      </c>
      <c r="K74" s="168">
        <v>5.5111895842923087E-2</v>
      </c>
    </row>
    <row r="75" spans="1:11" ht="16">
      <c r="A75" s="201">
        <v>2001</v>
      </c>
      <c r="B75" s="202">
        <v>-0.11849759142000185</v>
      </c>
      <c r="C75" s="202">
        <v>3.3993548387096777E-2</v>
      </c>
      <c r="D75" s="202">
        <v>5.5721811892492555E-2</v>
      </c>
      <c r="E75" s="203">
        <v>125622.00708807123</v>
      </c>
      <c r="F75" s="136">
        <v>697192.72072783567</v>
      </c>
      <c r="G75" s="136">
        <v>1658.8128232694276</v>
      </c>
      <c r="H75" s="136">
        <v>3587.3707520469702</v>
      </c>
      <c r="I75" s="168">
        <v>-0.15249113980709864</v>
      </c>
      <c r="J75" s="210">
        <v>-0.17421940331249441</v>
      </c>
      <c r="K75" s="168">
        <v>5.1665345512908356E-2</v>
      </c>
    </row>
    <row r="76" spans="1:11" ht="16">
      <c r="A76" s="201">
        <v>2002</v>
      </c>
      <c r="B76" s="202">
        <v>-0.21966047957912699</v>
      </c>
      <c r="C76" s="202">
        <v>1.60532E-2</v>
      </c>
      <c r="D76" s="202">
        <v>0.15116400378109285</v>
      </c>
      <c r="E76" s="203">
        <v>98027.816765413008</v>
      </c>
      <c r="F76" s="136">
        <v>672233.2213257791</v>
      </c>
      <c r="G76" s="136">
        <v>1685.4420772839362</v>
      </c>
      <c r="H76" s="136">
        <v>4129.6520779735802</v>
      </c>
      <c r="I76" s="168">
        <v>-0.23571367957912698</v>
      </c>
      <c r="J76" s="210">
        <v>-0.37082448336021984</v>
      </c>
      <c r="K76" s="168">
        <v>4.5325449773477855E-2</v>
      </c>
    </row>
    <row r="77" spans="1:11" ht="16">
      <c r="A77" s="201">
        <v>2003</v>
      </c>
      <c r="B77" s="202">
        <v>0.28355800050010233</v>
      </c>
      <c r="C77" s="202">
        <v>1.00836E-2</v>
      </c>
      <c r="D77" s="202">
        <v>3.7531858817758529E-3</v>
      </c>
      <c r="E77" s="203">
        <v>125824.38848080393</v>
      </c>
      <c r="F77" s="136">
        <v>1290082.7750463025</v>
      </c>
      <c r="G77" s="136">
        <v>1702.4374010144365</v>
      </c>
      <c r="H77" s="136">
        <v>4145.1514298492766</v>
      </c>
      <c r="I77" s="168">
        <v>0.2734744005001023</v>
      </c>
      <c r="J77" s="210">
        <v>0.27980481461832646</v>
      </c>
      <c r="K77" s="168">
        <v>4.8237796117156506E-2</v>
      </c>
    </row>
    <row r="78" spans="1:11" ht="16">
      <c r="A78" s="201">
        <v>2004</v>
      </c>
      <c r="B78" s="202">
        <v>0.10742775944096193</v>
      </c>
      <c r="C78" s="202">
        <v>1.3746400000000001E-2</v>
      </c>
      <c r="D78" s="202">
        <v>4.490683702274547E-2</v>
      </c>
      <c r="E78" s="203">
        <v>139341.42061832585</v>
      </c>
      <c r="F78" s="136">
        <v>1515718.2524019009</v>
      </c>
      <c r="G78" s="136">
        <v>1725.8397865037414</v>
      </c>
      <c r="H78" s="136">
        <v>4331.2970695441181</v>
      </c>
      <c r="I78" s="168">
        <v>9.3681359440961925E-2</v>
      </c>
      <c r="J78" s="210">
        <v>6.2520922418216468E-2</v>
      </c>
      <c r="K78" s="168">
        <v>4.842299846885445E-2</v>
      </c>
    </row>
    <row r="79" spans="1:11" ht="16">
      <c r="A79" s="201">
        <v>2005</v>
      </c>
      <c r="B79" s="202">
        <v>4.8344775232688535E-2</v>
      </c>
      <c r="C79" s="202">
        <v>3.1491600000000002E-2</v>
      </c>
      <c r="D79" s="202">
        <v>2.8675329597779506E-2</v>
      </c>
      <c r="E79" s="203">
        <v>146077.8502787223</v>
      </c>
      <c r="F79" s="136">
        <v>1575285.9797212954</v>
      </c>
      <c r="G79" s="136">
        <v>1780.1892427244027</v>
      </c>
      <c r="H79" s="136">
        <v>4455.4984405991927</v>
      </c>
      <c r="I79" s="168">
        <v>1.6853175232688533E-2</v>
      </c>
      <c r="J79" s="210">
        <v>1.9669445634909029E-2</v>
      </c>
      <c r="K79" s="168">
        <v>4.8042189402255131E-2</v>
      </c>
    </row>
    <row r="80" spans="1:11" ht="16">
      <c r="A80" s="201">
        <v>2006</v>
      </c>
      <c r="B80" s="202">
        <v>0.15612557979315703</v>
      </c>
      <c r="C80" s="202">
        <v>4.7300000000000002E-2</v>
      </c>
      <c r="D80" s="202">
        <v>1.9610012417568386E-2</v>
      </c>
      <c r="E80" s="203">
        <v>168884.33934842583</v>
      </c>
      <c r="F80" s="136">
        <v>1866241.3001758184</v>
      </c>
      <c r="G80" s="136">
        <v>1864.3921939052668</v>
      </c>
      <c r="H80" s="136">
        <v>4542.8708203458</v>
      </c>
      <c r="I80" s="168">
        <v>0.10882557979315702</v>
      </c>
      <c r="J80" s="210">
        <v>0.13651556737558865</v>
      </c>
      <c r="K80" s="168">
        <v>4.9149036004805913E-2</v>
      </c>
    </row>
    <row r="81" spans="1:11" ht="16">
      <c r="A81" s="201">
        <v>2007</v>
      </c>
      <c r="B81" s="202">
        <v>5.4847352464217694E-2</v>
      </c>
      <c r="C81" s="202">
        <v>4.3619521912350592E-2</v>
      </c>
      <c r="D81" s="202">
        <v>0.10209921930012807</v>
      </c>
      <c r="E81" s="203">
        <v>178147.19823435548</v>
      </c>
      <c r="F81" s="136">
        <v>1695480.221209731</v>
      </c>
      <c r="G81" s="136">
        <v>1945.7160900605329</v>
      </c>
      <c r="H81" s="136">
        <v>5006.6943844844382</v>
      </c>
      <c r="I81" s="168">
        <v>1.1227830551867102E-2</v>
      </c>
      <c r="J81" s="210">
        <v>-4.7251866835910372E-2</v>
      </c>
      <c r="K81" s="168">
        <v>4.7948712238125024E-2</v>
      </c>
    </row>
    <row r="82" spans="1:11" ht="16">
      <c r="A82" s="201">
        <v>2008</v>
      </c>
      <c r="B82" s="202">
        <v>-0.36552344111798191</v>
      </c>
      <c r="C82" s="202">
        <v>1.3713147410358567E-2</v>
      </c>
      <c r="D82" s="202">
        <v>0.20101279926977011</v>
      </c>
      <c r="E82" s="203">
        <v>113030.22131020659</v>
      </c>
      <c r="F82" s="136">
        <v>935226.89001928759</v>
      </c>
      <c r="G82" s="136">
        <v>1972.3979816222397</v>
      </c>
      <c r="H82" s="136">
        <v>6013.1040377978934</v>
      </c>
      <c r="I82" s="168">
        <v>-0.37923658852834047</v>
      </c>
      <c r="J82" s="210">
        <v>-0.56653624038775208</v>
      </c>
      <c r="K82" s="168">
        <v>3.8795868868689798E-2</v>
      </c>
    </row>
    <row r="83" spans="1:11" ht="16">
      <c r="A83" s="201">
        <v>2009</v>
      </c>
      <c r="B83" s="202">
        <v>0.25935233877663982</v>
      </c>
      <c r="C83" s="202">
        <v>1.5051999999999999E-3</v>
      </c>
      <c r="D83" s="202">
        <v>-0.11116695313259162</v>
      </c>
      <c r="E83" s="203">
        <v>142344.87355944986</v>
      </c>
      <c r="F83" s="136">
        <v>1379272.6174004453</v>
      </c>
      <c r="G83" s="136">
        <v>1975.3668350641774</v>
      </c>
      <c r="H83" s="136">
        <v>5344.6455830466175</v>
      </c>
      <c r="I83" s="168">
        <v>0.25784713877663984</v>
      </c>
      <c r="J83" s="210">
        <v>0.37051929190923144</v>
      </c>
      <c r="K83" s="168">
        <v>4.2868506133348472E-2</v>
      </c>
    </row>
    <row r="84" spans="1:11" ht="16">
      <c r="A84" s="201">
        <v>2010</v>
      </c>
      <c r="B84" s="202">
        <v>0.14821092278719414</v>
      </c>
      <c r="C84" s="202">
        <v>1.3844621513944221E-3</v>
      </c>
      <c r="D84" s="202">
        <v>8.4629338803557719E-2</v>
      </c>
      <c r="E84" s="203">
        <v>163441.93862372241</v>
      </c>
      <c r="F84" s="136">
        <v>1768779.204554331</v>
      </c>
      <c r="G84" s="136">
        <v>1978.1016556824434</v>
      </c>
      <c r="H84" s="136">
        <v>5796.9594048792078</v>
      </c>
      <c r="I84" s="168">
        <v>0.14682646063579971</v>
      </c>
      <c r="J84" s="210">
        <v>6.3581583983636419E-2</v>
      </c>
      <c r="K84" s="168">
        <v>4.3108516433475463E-2</v>
      </c>
    </row>
    <row r="85" spans="1:11" ht="16">
      <c r="A85" s="201">
        <v>2011</v>
      </c>
      <c r="B85" s="202">
        <v>2.09837473362805E-2</v>
      </c>
      <c r="C85" s="202">
        <v>5.2839999999999994E-4</v>
      </c>
      <c r="D85" s="202">
        <v>0.16035334999461354</v>
      </c>
      <c r="E85" s="203">
        <v>166871.56296795449</v>
      </c>
      <c r="F85" s="136">
        <v>1518496.9471098932</v>
      </c>
      <c r="G85" s="136">
        <v>1979.1468845973061</v>
      </c>
      <c r="H85" s="136">
        <v>6726.5212652343698</v>
      </c>
      <c r="I85" s="168">
        <v>2.0455347336280502E-2</v>
      </c>
      <c r="J85" s="210">
        <v>-0.13936960265833304</v>
      </c>
      <c r="K85" s="168">
        <v>4.0970429004248521E-2</v>
      </c>
    </row>
    <row r="86" spans="1:11" ht="16">
      <c r="A86" s="201">
        <v>2012</v>
      </c>
      <c r="B86" s="202">
        <v>0.15890585241730293</v>
      </c>
      <c r="C86" s="202">
        <v>8.7599999999999993E-4</v>
      </c>
      <c r="D86" s="202">
        <v>2.971571978018946E-2</v>
      </c>
      <c r="E86" s="203">
        <v>193388.43092558492</v>
      </c>
      <c r="F86" s="136">
        <v>1802911.4253035763</v>
      </c>
      <c r="G86" s="136">
        <v>1980.8806172682134</v>
      </c>
      <c r="H86" s="136">
        <v>6926.4046862475598</v>
      </c>
      <c r="I86" s="168">
        <v>0.15802985241730294</v>
      </c>
      <c r="J86" s="210">
        <v>0.12919013263711346</v>
      </c>
      <c r="K86" s="168">
        <v>4.1988275684727405E-2</v>
      </c>
    </row>
    <row r="87" spans="1:11" ht="16">
      <c r="A87" s="201">
        <v>2013</v>
      </c>
      <c r="B87" s="202">
        <v>0.32145085858125483</v>
      </c>
      <c r="C87" s="202">
        <v>5.708E-4</v>
      </c>
      <c r="D87" s="202">
        <v>-9.104568794347262E-2</v>
      </c>
      <c r="E87" s="203">
        <v>255553.30808629587</v>
      </c>
      <c r="F87" s="136">
        <v>2716626.935647429</v>
      </c>
      <c r="G87" s="136">
        <v>1982.01130392455</v>
      </c>
      <c r="H87" s="136">
        <v>6295.7854066132577</v>
      </c>
      <c r="I87" s="168">
        <v>0.32088005858125485</v>
      </c>
      <c r="J87" s="210">
        <v>0.41249654652472745</v>
      </c>
      <c r="K87" s="168">
        <v>4.6176809418723153E-2</v>
      </c>
    </row>
    <row r="88" spans="1:11" ht="16">
      <c r="A88" s="201">
        <v>2014</v>
      </c>
      <c r="B88" s="202">
        <v>0.13524421649462237</v>
      </c>
      <c r="C88" s="202">
        <v>3.2719999999999998E-4</v>
      </c>
      <c r="D88" s="202">
        <v>0.10746180452004755</v>
      </c>
      <c r="E88" s="203">
        <v>290115.4150110358</v>
      </c>
      <c r="F88" s="136">
        <v>2759821.3039242229</v>
      </c>
      <c r="G88" s="136">
        <v>1982.6598180231942</v>
      </c>
      <c r="H88" s="136">
        <v>6972.3418672788994</v>
      </c>
      <c r="I88" s="168">
        <v>0.13491701649462237</v>
      </c>
      <c r="J88" s="210">
        <v>2.7782411974574817E-2</v>
      </c>
      <c r="K88" s="168">
        <v>4.5975029375833421E-2</v>
      </c>
    </row>
    <row r="89" spans="1:11" ht="16">
      <c r="A89" s="161">
        <v>2015</v>
      </c>
      <c r="B89" s="202">
        <v>1.3788916411676138E-2</v>
      </c>
      <c r="C89" s="202">
        <v>5.2031872509960154E-4</v>
      </c>
      <c r="D89" s="202">
        <v>1.2842996709792224E-2</v>
      </c>
      <c r="E89" s="203">
        <v>294115.79221836175</v>
      </c>
      <c r="F89" s="136">
        <v>2505641.7618328016</v>
      </c>
      <c r="G89" s="136">
        <v>1983.6914330520142</v>
      </c>
      <c r="H89" s="136">
        <v>7061.8876309399093</v>
      </c>
      <c r="I89" s="168">
        <v>1.3268597686576535E-2</v>
      </c>
      <c r="J89" s="210">
        <v>9.4591970188391376E-4</v>
      </c>
      <c r="K89" s="168">
        <v>4.5434457313765497E-2</v>
      </c>
    </row>
    <row r="90" spans="1:11" ht="16">
      <c r="A90" s="206">
        <v>2016</v>
      </c>
      <c r="B90" s="202">
        <v>0.11773080874798171</v>
      </c>
      <c r="C90" s="202">
        <v>3.1612000000000003E-3</v>
      </c>
      <c r="D90" s="202">
        <v>6.9055046987477921E-3</v>
      </c>
      <c r="E90" s="203">
        <v>328742.28230178286</v>
      </c>
      <c r="F90" s="136">
        <v>2944129.0701535419</v>
      </c>
      <c r="G90" s="136">
        <v>1989.9622784101784</v>
      </c>
      <c r="H90" s="136">
        <v>7110.6535291573937</v>
      </c>
      <c r="I90" s="168">
        <v>0.11456960874798171</v>
      </c>
      <c r="J90" s="210">
        <v>0.11082530404923392</v>
      </c>
      <c r="K90" s="168">
        <v>4.6176501247687796E-2</v>
      </c>
    </row>
    <row r="91" spans="1:11" ht="16">
      <c r="A91" s="206">
        <v>2017</v>
      </c>
      <c r="B91" s="202">
        <v>0.2160548143449928</v>
      </c>
      <c r="C91" s="202">
        <v>9.3411999999999992E-3</v>
      </c>
      <c r="D91" s="202">
        <v>2.8017162707789457E-2</v>
      </c>
      <c r="E91" s="203">
        <v>399768.63507184375</v>
      </c>
      <c r="F91" s="136">
        <v>3399585.8373062951</v>
      </c>
      <c r="G91" s="136">
        <v>2008.5509140452634</v>
      </c>
      <c r="H91" s="136">
        <v>7309.8738660425133</v>
      </c>
      <c r="I91" s="168">
        <v>0.2067136143449928</v>
      </c>
      <c r="J91" s="210">
        <v>0.18803765163720335</v>
      </c>
      <c r="K91" s="168">
        <v>4.7686840373502015E-2</v>
      </c>
    </row>
    <row r="92" spans="1:11" ht="16">
      <c r="A92" s="206">
        <v>2018</v>
      </c>
      <c r="B92" s="202">
        <v>-4.2268692890885438E-2</v>
      </c>
      <c r="C92" s="202">
        <v>1.936305220883534E-2</v>
      </c>
      <c r="D92" s="202">
        <v>-1.6692385713402633E-4</v>
      </c>
      <c r="E92" s="203">
        <v>382870.93740858353</v>
      </c>
      <c r="F92" s="136">
        <v>2846813.180160291</v>
      </c>
      <c r="G92" s="136">
        <v>2047.4425902580256</v>
      </c>
      <c r="H92" s="136">
        <v>7308.6536737016304</v>
      </c>
      <c r="I92" s="168">
        <v>-6.1631745099720775E-2</v>
      </c>
      <c r="J92" s="210">
        <v>-4.2101769033751416E-2</v>
      </c>
      <c r="K92" s="168">
        <v>4.6608669094632571E-2</v>
      </c>
    </row>
    <row r="93" spans="1:11" ht="16">
      <c r="A93" s="201">
        <v>2019</v>
      </c>
      <c r="B93" s="202">
        <v>0.31211679996808755</v>
      </c>
      <c r="C93" s="202">
        <v>2.0624799999999999E-2</v>
      </c>
      <c r="D93" s="202">
        <v>9.6356307415483927E-2</v>
      </c>
      <c r="E93" s="203">
        <v>502371.38919333258</v>
      </c>
      <c r="F93" s="136">
        <v>3196117.1573659587</v>
      </c>
      <c r="G93" s="136">
        <v>2089.6706841935793</v>
      </c>
      <c r="H93" s="136">
        <v>8012.8885538781296</v>
      </c>
      <c r="I93" s="168">
        <v>0.29149199996808756</v>
      </c>
      <c r="J93" s="210">
        <v>0.21576049255260363</v>
      </c>
      <c r="K93" s="168">
        <v>4.8253684406804442E-2</v>
      </c>
    </row>
    <row r="94" spans="1:11" s="69" customFormat="1" ht="16">
      <c r="A94" s="206">
        <v>2020</v>
      </c>
      <c r="B94" s="202">
        <v>0.18023201827422478</v>
      </c>
      <c r="C94" s="202">
        <v>3.547410358565737E-3</v>
      </c>
      <c r="D94" s="202">
        <v>0.1133189764661412</v>
      </c>
      <c r="E94" s="203">
        <v>592914.79859087302</v>
      </c>
      <c r="F94" s="136">
        <v>4306128.6461191559</v>
      </c>
      <c r="G94" s="136">
        <v>2097.0836036246787</v>
      </c>
      <c r="H94" s="136">
        <v>8920.9008833408589</v>
      </c>
      <c r="I94" s="168">
        <v>0.17668460791565904</v>
      </c>
      <c r="J94" s="210">
        <v>6.6913041808083579E-2</v>
      </c>
      <c r="K94" s="168">
        <v>4.8442663414424603E-2</v>
      </c>
    </row>
    <row r="95" spans="1:11" ht="16">
      <c r="A95" s="206">
        <v>2021</v>
      </c>
      <c r="B95" s="202">
        <v>0.28468851751964158</v>
      </c>
      <c r="C95" s="202">
        <v>4.5019920318725102E-4</v>
      </c>
      <c r="D95" s="202">
        <v>-4.416034448604475E-2</v>
      </c>
      <c r="E95" s="203">
        <v>761710.83361716557</v>
      </c>
      <c r="F95" s="136">
        <v>5240127.9494624017</v>
      </c>
      <c r="G95" s="136">
        <v>2098.0277089920478</v>
      </c>
      <c r="H95" s="136">
        <v>8526.9508272066651</v>
      </c>
      <c r="I95" s="168">
        <v>0.28423831831645435</v>
      </c>
      <c r="J95" s="210">
        <v>0.3288488620056863</v>
      </c>
      <c r="K95" s="168">
        <v>5.1322006296357525E-2</v>
      </c>
    </row>
    <row r="96" spans="1:11" ht="16">
      <c r="A96" s="206">
        <v>2022</v>
      </c>
      <c r="B96" s="202">
        <v>-0.18037505927178585</v>
      </c>
      <c r="C96" s="202">
        <v>2.0247791164658632E-2</v>
      </c>
      <c r="D96" s="202">
        <v>-0.1782817153825067</v>
      </c>
      <c r="E96" s="203">
        <v>624317.19685550791</v>
      </c>
      <c r="F96" s="136">
        <v>4014986.0348780924</v>
      </c>
      <c r="G96" s="136">
        <v>2140.5081359013857</v>
      </c>
      <c r="H96" s="136">
        <v>7006.751406749976</v>
      </c>
      <c r="I96" s="168">
        <v>-0.20062285043644448</v>
      </c>
      <c r="J96" s="210">
        <v>-2.0933438892791478E-3</v>
      </c>
      <c r="K96" s="168">
        <v>5.0609420169760888E-2</v>
      </c>
    </row>
    <row r="97" spans="1:11" ht="16">
      <c r="A97" s="206">
        <v>2023</v>
      </c>
      <c r="B97" s="202">
        <v>0.26060684985024096</v>
      </c>
      <c r="C97" s="202">
        <v>5.0703614457831322E-2</v>
      </c>
      <c r="D97" s="202">
        <v>3.8800000000000001E-2</v>
      </c>
      <c r="E97" s="203">
        <v>787018.53483535454</v>
      </c>
      <c r="F97" s="136">
        <v>4222560.81288129</v>
      </c>
      <c r="G97" s="136">
        <v>2249.0396351679806</v>
      </c>
      <c r="H97" s="136">
        <v>7278.6133613318743</v>
      </c>
      <c r="I97" s="168">
        <v>0.20990323539240963</v>
      </c>
      <c r="J97" s="210">
        <v>0.22180684985024096</v>
      </c>
      <c r="K97" s="168">
        <v>5.2277478113130105E-2</v>
      </c>
    </row>
    <row r="98" spans="1:11" ht="16">
      <c r="A98" s="162">
        <v>2024</v>
      </c>
      <c r="B98" s="202">
        <v>0.24878611262526726</v>
      </c>
      <c r="C98" s="202">
        <v>4.9699999999999994E-2</v>
      </c>
      <c r="D98" s="202">
        <v>-1.6371801436629807E-2</v>
      </c>
      <c r="E98" s="203">
        <v>982817.81668107596</v>
      </c>
      <c r="F98" s="136">
        <v>4744891.585434705</v>
      </c>
      <c r="G98" s="136">
        <v>2360.8169050358292</v>
      </c>
      <c r="H98" s="136">
        <v>7159.4493486461479</v>
      </c>
      <c r="I98" s="208">
        <v>0.19908611262526726</v>
      </c>
      <c r="J98" s="211">
        <v>0.26515791406189704</v>
      </c>
      <c r="K98" s="168">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31"/>
  <sheetViews>
    <sheetView topLeftCell="A91" workbookViewId="0">
      <selection activeCell="G131" sqref="G131"/>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48" t="s">
        <v>138</v>
      </c>
      <c r="D2" s="248"/>
      <c r="E2" s="248"/>
      <c r="F2" s="248"/>
      <c r="G2" s="248"/>
      <c r="H2" s="248"/>
      <c r="I2" s="248"/>
      <c r="K2" s="248" t="s">
        <v>140</v>
      </c>
      <c r="L2" s="248"/>
      <c r="M2" s="248"/>
      <c r="N2" s="248"/>
      <c r="O2" s="248"/>
      <c r="P2" s="248"/>
      <c r="Q2" s="248"/>
    </row>
    <row r="3" spans="1:21" ht="15">
      <c r="A3" s="68" t="s">
        <v>150</v>
      </c>
      <c r="B3" t="s">
        <v>133</v>
      </c>
      <c r="C3" t="s">
        <v>33</v>
      </c>
      <c r="D3" t="s">
        <v>16</v>
      </c>
      <c r="E3" t="s">
        <v>17</v>
      </c>
      <c r="F3" t="s">
        <v>134</v>
      </c>
      <c r="G3" t="s">
        <v>137</v>
      </c>
      <c r="H3" t="s">
        <v>135</v>
      </c>
      <c r="I3" t="s">
        <v>136</v>
      </c>
      <c r="J3" t="s">
        <v>139</v>
      </c>
      <c r="K3" t="s">
        <v>220</v>
      </c>
      <c r="L3" t="s">
        <v>221</v>
      </c>
      <c r="M3" t="s">
        <v>222</v>
      </c>
      <c r="N3" t="s">
        <v>223</v>
      </c>
      <c r="O3" t="s">
        <v>224</v>
      </c>
      <c r="P3" t="s">
        <v>225</v>
      </c>
      <c r="Q3" t="s">
        <v>226</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 t="shared" ref="H118:H123" si="363">D118+E118</f>
        <v>1527865.6</v>
      </c>
      <c r="I118" s="85">
        <f t="shared" ref="I118:I123" si="364">D118+E118-F118</f>
        <v>1423155.9000000001</v>
      </c>
      <c r="J118" s="86">
        <f t="shared" ref="J118:J123" si="365">B118/C118</f>
        <v>1.1139976081472618E-4</v>
      </c>
      <c r="K118" s="87">
        <f t="shared" ref="K118:Q118" si="366">$J118*C118</f>
        <v>5580.95</v>
      </c>
      <c r="L118" s="88">
        <f t="shared" si="366"/>
        <v>65.422829251320238</v>
      </c>
      <c r="M118" s="88">
        <f t="shared" si="366"/>
        <v>104.78103314572789</v>
      </c>
      <c r="N118" s="88">
        <f t="shared" si="366"/>
        <v>11.664635534981734</v>
      </c>
      <c r="O118" s="88">
        <f t="shared" si="366"/>
        <v>214.60007591439742</v>
      </c>
      <c r="P118" s="88">
        <f t="shared" si="366"/>
        <v>170.20386239704811</v>
      </c>
      <c r="Q118" s="88">
        <f t="shared" si="366"/>
        <v>158.53922686206639</v>
      </c>
      <c r="R118" s="89">
        <f t="shared" ref="R118:R123" si="367">L118/O118</f>
        <v>0.30485930152893786</v>
      </c>
      <c r="S118" s="163">
        <f t="shared" ref="S118:S123" si="368">L118/K118</f>
        <v>1.1722525600716767E-2</v>
      </c>
      <c r="T118" s="89">
        <f t="shared" ref="T118:T123" si="369">P118/O118</f>
        <v>0.79312116583286452</v>
      </c>
      <c r="U118" s="89">
        <f t="shared" ref="U118:U123" si="370">Q118/O118</f>
        <v>0.73876594025673437</v>
      </c>
    </row>
    <row r="119" spans="1:21" ht="16">
      <c r="A119" s="58">
        <v>44316</v>
      </c>
      <c r="B119" s="83">
        <v>5569.06</v>
      </c>
      <c r="C119">
        <v>50260592.899999999</v>
      </c>
      <c r="D119">
        <v>482248</v>
      </c>
      <c r="E119">
        <v>861070.3</v>
      </c>
      <c r="F119">
        <v>89452.9</v>
      </c>
      <c r="G119">
        <v>1870775.3</v>
      </c>
      <c r="H119" s="84">
        <f t="shared" si="363"/>
        <v>1343318.3</v>
      </c>
      <c r="I119" s="85">
        <f t="shared" si="364"/>
        <v>1253865.4000000001</v>
      </c>
      <c r="J119" s="86">
        <f t="shared" si="365"/>
        <v>1.1080370681421072E-4</v>
      </c>
      <c r="K119" s="87">
        <f t="shared" ref="K119:Q119" si="371">$J119*C119</f>
        <v>5569.06</v>
      </c>
      <c r="L119" s="88">
        <f t="shared" si="371"/>
        <v>53.434866003739494</v>
      </c>
      <c r="M119" s="88">
        <f t="shared" si="371"/>
        <v>95.409781067624479</v>
      </c>
      <c r="N119" s="88">
        <f t="shared" si="371"/>
        <v>9.9117129052809094</v>
      </c>
      <c r="O119" s="88">
        <f t="shared" si="371"/>
        <v>207.2888378564671</v>
      </c>
      <c r="P119" s="88">
        <f t="shared" si="371"/>
        <v>148.84464707136397</v>
      </c>
      <c r="Q119" s="88">
        <f t="shared" si="371"/>
        <v>138.93293416608307</v>
      </c>
      <c r="R119" s="89">
        <f t="shared" si="367"/>
        <v>0.2577797558049863</v>
      </c>
      <c r="S119" s="163">
        <f t="shared" si="368"/>
        <v>9.5949524702085252E-3</v>
      </c>
      <c r="T119" s="89">
        <f t="shared" si="369"/>
        <v>0.7180543275293404</v>
      </c>
      <c r="U119" s="89">
        <f t="shared" si="370"/>
        <v>0.67023837657039853</v>
      </c>
    </row>
    <row r="120" spans="1:21" ht="16">
      <c r="A120" s="58">
        <v>44347</v>
      </c>
      <c r="B120" s="83">
        <v>5911.69</v>
      </c>
      <c r="C120">
        <v>52965289.700000003</v>
      </c>
      <c r="D120">
        <v>593364</v>
      </c>
      <c r="E120">
        <v>999601.7</v>
      </c>
      <c r="F120">
        <v>106524.7</v>
      </c>
      <c r="G120">
        <v>1971512.4</v>
      </c>
      <c r="H120" s="84">
        <f t="shared" si="363"/>
        <v>1592965.7</v>
      </c>
      <c r="I120" s="85">
        <f t="shared" si="364"/>
        <v>1486441</v>
      </c>
      <c r="J120" s="86">
        <f t="shared" si="365"/>
        <v>1.1161441830082163E-4</v>
      </c>
      <c r="K120" s="87">
        <f t="shared" ref="K120:Q120" si="372">$J120*C120</f>
        <v>5911.69</v>
      </c>
      <c r="L120" s="88">
        <f t="shared" si="372"/>
        <v>66.227977700648722</v>
      </c>
      <c r="M120" s="88">
        <f t="shared" si="372"/>
        <v>111.5699622780124</v>
      </c>
      <c r="N120" s="88">
        <f t="shared" si="372"/>
        <v>11.889692425169534</v>
      </c>
      <c r="O120" s="88">
        <f t="shared" si="372"/>
        <v>220.04920969885674</v>
      </c>
      <c r="P120" s="88">
        <f t="shared" si="372"/>
        <v>177.79793997866113</v>
      </c>
      <c r="Q120" s="88">
        <f t="shared" si="372"/>
        <v>165.90824755349161</v>
      </c>
      <c r="R120" s="89">
        <f t="shared" si="367"/>
        <v>0.30096894140762193</v>
      </c>
      <c r="S120" s="163">
        <f t="shared" si="368"/>
        <v>1.1202884065410861E-2</v>
      </c>
      <c r="T120" s="89">
        <f t="shared" si="369"/>
        <v>0.80799172249690143</v>
      </c>
      <c r="U120" s="89">
        <f t="shared" si="370"/>
        <v>0.7539597519143173</v>
      </c>
    </row>
    <row r="121" spans="1:21" ht="16">
      <c r="A121" s="58">
        <v>44377</v>
      </c>
      <c r="B121" s="83">
        <v>6204.95</v>
      </c>
      <c r="C121">
        <v>55582072.100000001</v>
      </c>
      <c r="D121">
        <v>595558.69999999995</v>
      </c>
      <c r="E121">
        <v>997262.9</v>
      </c>
      <c r="F121">
        <v>105747.2</v>
      </c>
      <c r="G121">
        <v>1972204.2</v>
      </c>
      <c r="H121" s="84">
        <f t="shared" si="363"/>
        <v>1592821.6</v>
      </c>
      <c r="I121" s="85">
        <f t="shared" si="364"/>
        <v>1487074.4000000001</v>
      </c>
      <c r="J121" s="86">
        <f t="shared" si="365"/>
        <v>1.1163581647039747E-4</v>
      </c>
      <c r="K121" s="87">
        <f t="shared" ref="K121:Q121" si="373">$J121*C121</f>
        <v>6204.95</v>
      </c>
      <c r="L121" s="88">
        <f t="shared" si="373"/>
        <v>66.485681730548507</v>
      </c>
      <c r="M121" s="88">
        <f t="shared" si="373"/>
        <v>111.33025807713635</v>
      </c>
      <c r="N121" s="88">
        <f t="shared" si="373"/>
        <v>11.805175011458415</v>
      </c>
      <c r="O121" s="88">
        <f t="shared" si="373"/>
        <v>220.16862611334707</v>
      </c>
      <c r="P121" s="88">
        <f t="shared" si="373"/>
        <v>177.81593980768486</v>
      </c>
      <c r="Q121" s="88">
        <f t="shared" si="373"/>
        <v>166.01076479622645</v>
      </c>
      <c r="R121" s="89">
        <f t="shared" si="367"/>
        <v>0.30197618481899591</v>
      </c>
      <c r="S121" s="163">
        <f t="shared" si="368"/>
        <v>1.0714942381574147E-2</v>
      </c>
      <c r="T121" s="89">
        <f t="shared" si="369"/>
        <v>0.80763523371464274</v>
      </c>
      <c r="U121" s="89">
        <f t="shared" si="370"/>
        <v>0.75401644515309318</v>
      </c>
    </row>
    <row r="122" spans="1:21" ht="16">
      <c r="A122" s="58">
        <v>44408</v>
      </c>
      <c r="B122" s="83">
        <v>6339.39</v>
      </c>
      <c r="C122">
        <v>56979377.399999999</v>
      </c>
      <c r="D122">
        <v>562162.30000000005</v>
      </c>
      <c r="E122">
        <v>963843.8</v>
      </c>
      <c r="F122">
        <v>104152.7</v>
      </c>
      <c r="G122">
        <v>1998684.7</v>
      </c>
      <c r="H122" s="84">
        <f t="shared" si="363"/>
        <v>1526006.1</v>
      </c>
      <c r="I122" s="85">
        <f t="shared" si="364"/>
        <v>1421853.4000000001</v>
      </c>
      <c r="J122" s="86">
        <f t="shared" si="365"/>
        <v>1.1125762142848546E-4</v>
      </c>
      <c r="K122" s="87">
        <f t="shared" ref="K122:Q122" si="374">$J122*C122</f>
        <v>6339.39</v>
      </c>
      <c r="L122" s="88">
        <f t="shared" si="374"/>
        <v>62.544840354766677</v>
      </c>
      <c r="M122" s="88">
        <f t="shared" si="374"/>
        <v>107.23496861659287</v>
      </c>
      <c r="N122" s="88">
        <f t="shared" si="374"/>
        <v>11.587781667354617</v>
      </c>
      <c r="O122" s="88">
        <f t="shared" si="374"/>
        <v>222.36890570750603</v>
      </c>
      <c r="P122" s="88">
        <f t="shared" si="374"/>
        <v>169.77980897135953</v>
      </c>
      <c r="Q122" s="88">
        <f t="shared" si="374"/>
        <v>158.19202730400494</v>
      </c>
      <c r="R122" s="89">
        <f t="shared" si="367"/>
        <v>0.28126612466688722</v>
      </c>
      <c r="S122" s="163">
        <f t="shared" si="368"/>
        <v>9.8660660339191433E-3</v>
      </c>
      <c r="T122" s="89">
        <f t="shared" si="369"/>
        <v>0.76350516917450761</v>
      </c>
      <c r="U122" s="89">
        <f t="shared" si="370"/>
        <v>0.71139454862490326</v>
      </c>
    </row>
    <row r="123" spans="1:21" ht="16">
      <c r="A123" s="58">
        <v>44439</v>
      </c>
      <c r="B123" s="83">
        <v>6460.26</v>
      </c>
      <c r="C123">
        <v>57975238</v>
      </c>
      <c r="D123">
        <v>606254</v>
      </c>
      <c r="E123">
        <v>1007924.9</v>
      </c>
      <c r="F123">
        <v>112916.5</v>
      </c>
      <c r="G123">
        <v>2029649.9</v>
      </c>
      <c r="H123" s="84">
        <f t="shared" si="363"/>
        <v>1614178.9</v>
      </c>
      <c r="I123" s="85">
        <f t="shared" si="364"/>
        <v>1501262.4</v>
      </c>
      <c r="J123" s="86">
        <f t="shared" si="365"/>
        <v>1.114313666120698E-4</v>
      </c>
      <c r="K123" s="87">
        <f t="shared" ref="K123:Q123" si="375">$J123*C123</f>
        <v>6460.26</v>
      </c>
      <c r="L123" s="88">
        <f t="shared" si="375"/>
        <v>67.555711734033764</v>
      </c>
      <c r="M123" s="88">
        <f t="shared" si="375"/>
        <v>112.3144490493338</v>
      </c>
      <c r="N123" s="88">
        <f t="shared" si="375"/>
        <v>12.58243990805178</v>
      </c>
      <c r="O123" s="88">
        <f t="shared" si="375"/>
        <v>226.1666621010508</v>
      </c>
      <c r="P123" s="88">
        <f t="shared" si="375"/>
        <v>179.87016078336754</v>
      </c>
      <c r="Q123" s="88">
        <f t="shared" si="375"/>
        <v>167.28772087531576</v>
      </c>
      <c r="R123" s="89">
        <f t="shared" si="367"/>
        <v>0.29869880514861208</v>
      </c>
      <c r="S123" s="163">
        <f t="shared" si="368"/>
        <v>1.0457119641319972E-2</v>
      </c>
      <c r="T123" s="89">
        <f t="shared" si="369"/>
        <v>0.79529917942991046</v>
      </c>
      <c r="U123" s="89">
        <f t="shared" si="370"/>
        <v>0.7396656930833243</v>
      </c>
    </row>
    <row r="124" spans="1:21" ht="16">
      <c r="A124" s="58">
        <v>44469</v>
      </c>
      <c r="B124" s="83">
        <v>6688.46</v>
      </c>
      <c r="C124">
        <v>59122114.5</v>
      </c>
      <c r="D124">
        <v>565385</v>
      </c>
      <c r="E124">
        <v>992863</v>
      </c>
      <c r="F124">
        <v>93553</v>
      </c>
      <c r="G124">
        <v>2004996.3</v>
      </c>
      <c r="H124" s="84">
        <f t="shared" ref="H124:H129" si="376">D124+E124</f>
        <v>1558248</v>
      </c>
      <c r="I124" s="85">
        <f t="shared" ref="I124:I129" si="377">D124+E124-F124</f>
        <v>1464695</v>
      </c>
      <c r="J124" s="86">
        <f t="shared" ref="J124:J129" si="378">B124/C124</f>
        <v>1.1312958030281545E-4</v>
      </c>
      <c r="K124" s="87">
        <f t="shared" ref="K124:Q124" si="379">$J124*C124</f>
        <v>6688.46</v>
      </c>
      <c r="L124" s="88">
        <f t="shared" si="379"/>
        <v>63.961767759507318</v>
      </c>
      <c r="M124" s="88">
        <f t="shared" si="379"/>
        <v>112.32217448819426</v>
      </c>
      <c r="N124" s="88">
        <f t="shared" si="379"/>
        <v>10.583611626069294</v>
      </c>
      <c r="O124" s="88">
        <f t="shared" si="379"/>
        <v>226.82438992769787</v>
      </c>
      <c r="P124" s="88">
        <f t="shared" si="379"/>
        <v>176.28394224770156</v>
      </c>
      <c r="Q124" s="88">
        <f t="shared" si="379"/>
        <v>165.70033062163228</v>
      </c>
      <c r="R124" s="89">
        <f t="shared" ref="R124:R129" si="380">L124/O124</f>
        <v>0.28198805154902284</v>
      </c>
      <c r="S124" s="163">
        <f t="shared" ref="S124:S129" si="381">L124/K124</f>
        <v>9.5630037048150575E-3</v>
      </c>
      <c r="T124" s="89">
        <f t="shared" ref="T124:T129" si="382">P124/O124</f>
        <v>0.77718248158363179</v>
      </c>
      <c r="U124" s="89">
        <f t="shared" ref="U124:U129" si="383">Q124/O124</f>
        <v>0.73052254510394854</v>
      </c>
    </row>
    <row r="125" spans="1:21" ht="16">
      <c r="A125" s="58">
        <v>44500</v>
      </c>
      <c r="B125" s="83">
        <v>6840.2</v>
      </c>
      <c r="C125">
        <v>60605258.100000001</v>
      </c>
      <c r="D125">
        <v>594246</v>
      </c>
      <c r="E125">
        <v>992905.1</v>
      </c>
      <c r="F125">
        <v>104772.4</v>
      </c>
      <c r="G125">
        <v>2124486.9</v>
      </c>
      <c r="H125" s="84">
        <f t="shared" si="376"/>
        <v>1587151.1</v>
      </c>
      <c r="I125" s="85">
        <f t="shared" si="377"/>
        <v>1482378.7000000002</v>
      </c>
      <c r="J125" s="86">
        <f t="shared" si="378"/>
        <v>1.1286479448224641E-4</v>
      </c>
      <c r="K125" s="87">
        <f t="shared" ref="K125:Q125" si="384">$J125*C125</f>
        <v>6840.2</v>
      </c>
      <c r="L125" s="88">
        <f t="shared" si="384"/>
        <v>67.069452661897003</v>
      </c>
      <c r="M125" s="88">
        <f t="shared" si="384"/>
        <v>112.06403005187433</v>
      </c>
      <c r="N125" s="88">
        <f t="shared" si="384"/>
        <v>11.825115393411714</v>
      </c>
      <c r="O125" s="88">
        <f t="shared" si="384"/>
        <v>239.77977734872476</v>
      </c>
      <c r="P125" s="88">
        <f t="shared" si="384"/>
        <v>179.13348271377134</v>
      </c>
      <c r="Q125" s="88">
        <f t="shared" si="384"/>
        <v>167.30836732035962</v>
      </c>
      <c r="R125" s="89">
        <f t="shared" si="380"/>
        <v>0.27971271557381694</v>
      </c>
      <c r="S125" s="163">
        <f t="shared" si="381"/>
        <v>9.805188833937167E-3</v>
      </c>
      <c r="T125" s="89">
        <f t="shared" si="382"/>
        <v>0.74707502315029584</v>
      </c>
      <c r="U125" s="89">
        <f t="shared" si="383"/>
        <v>0.69775845640657996</v>
      </c>
    </row>
    <row r="126" spans="1:21" ht="16">
      <c r="A126" s="58">
        <v>44530</v>
      </c>
      <c r="B126" s="83">
        <v>6849.1</v>
      </c>
      <c r="C126">
        <v>61781249.700000003</v>
      </c>
      <c r="D126">
        <v>615624</v>
      </c>
      <c r="E126">
        <v>1023402.1</v>
      </c>
      <c r="F126">
        <v>116463.6</v>
      </c>
      <c r="G126">
        <v>2137750.2000000002</v>
      </c>
      <c r="H126" s="84">
        <f t="shared" si="376"/>
        <v>1639026.1</v>
      </c>
      <c r="I126" s="85">
        <f t="shared" si="377"/>
        <v>1522562.5</v>
      </c>
      <c r="J126" s="86">
        <f t="shared" si="378"/>
        <v>1.1086049623887747E-4</v>
      </c>
      <c r="K126" s="87">
        <f t="shared" ref="K126:Q126" si="385">$J126*C126</f>
        <v>6849.1</v>
      </c>
      <c r="L126" s="88">
        <f t="shared" si="385"/>
        <v>68.248382136562697</v>
      </c>
      <c r="M126" s="88">
        <f t="shared" si="385"/>
        <v>113.4548646579093</v>
      </c>
      <c r="N126" s="88">
        <f t="shared" si="385"/>
        <v>12.911212489766131</v>
      </c>
      <c r="O126" s="88">
        <f t="shared" si="385"/>
        <v>236.99204800675957</v>
      </c>
      <c r="P126" s="88">
        <f t="shared" si="385"/>
        <v>181.70324679447202</v>
      </c>
      <c r="Q126" s="88">
        <f t="shared" si="385"/>
        <v>168.79203430470588</v>
      </c>
      <c r="R126" s="89">
        <f t="shared" si="380"/>
        <v>0.28797751954367723</v>
      </c>
      <c r="S126" s="163">
        <f t="shared" si="381"/>
        <v>9.9645766796458944E-3</v>
      </c>
      <c r="T126" s="89">
        <f t="shared" si="382"/>
        <v>0.76670609129167666</v>
      </c>
      <c r="U126" s="89">
        <f t="shared" si="383"/>
        <v>0.71222657352575613</v>
      </c>
    </row>
    <row r="127" spans="1:21" ht="16">
      <c r="A127" s="58">
        <v>44561</v>
      </c>
      <c r="B127" s="83">
        <v>6845.5</v>
      </c>
      <c r="C127">
        <v>62411230.399999999</v>
      </c>
      <c r="D127">
        <v>613539</v>
      </c>
      <c r="E127">
        <v>1013708.1</v>
      </c>
      <c r="F127">
        <v>115975.1</v>
      </c>
      <c r="G127">
        <v>2146075.2999999998</v>
      </c>
      <c r="H127" s="84">
        <f t="shared" si="376"/>
        <v>1627247.1</v>
      </c>
      <c r="I127" s="85">
        <f t="shared" si="377"/>
        <v>1511272</v>
      </c>
      <c r="J127" s="86">
        <f t="shared" si="378"/>
        <v>1.0968378537206343E-4</v>
      </c>
      <c r="K127" s="87">
        <f t="shared" ref="K127:Q127" si="386">$J127*C127</f>
        <v>6845.5</v>
      </c>
      <c r="L127" s="88">
        <f t="shared" si="386"/>
        <v>67.295279993390423</v>
      </c>
      <c r="M127" s="88">
        <f t="shared" si="386"/>
        <v>111.18734167032221</v>
      </c>
      <c r="N127" s="88">
        <f t="shared" si="386"/>
        <v>12.720587976903595</v>
      </c>
      <c r="O127" s="88">
        <f t="shared" si="386"/>
        <v>235.38966259748662</v>
      </c>
      <c r="P127" s="88">
        <f t="shared" si="386"/>
        <v>178.48262166371265</v>
      </c>
      <c r="Q127" s="88">
        <f t="shared" si="386"/>
        <v>165.76203368680905</v>
      </c>
      <c r="R127" s="89">
        <f t="shared" si="380"/>
        <v>0.28588885021881572</v>
      </c>
      <c r="S127" s="163">
        <f t="shared" si="381"/>
        <v>9.8305865157242607E-3</v>
      </c>
      <c r="T127" s="89">
        <f t="shared" si="382"/>
        <v>0.75824324523934472</v>
      </c>
      <c r="U127" s="89">
        <f t="shared" si="383"/>
        <v>0.70420269037158212</v>
      </c>
    </row>
    <row r="128" spans="1:21" ht="16">
      <c r="A128" s="58">
        <v>44592</v>
      </c>
      <c r="B128" s="83">
        <v>6939.03</v>
      </c>
      <c r="C128">
        <v>62746479.399999999</v>
      </c>
      <c r="D128">
        <v>483083</v>
      </c>
      <c r="E128">
        <v>833533.9</v>
      </c>
      <c r="F128">
        <v>80385.399999999994</v>
      </c>
      <c r="G128">
        <v>2191409.2000000002</v>
      </c>
      <c r="H128" s="84">
        <f t="shared" si="376"/>
        <v>1316616.8999999999</v>
      </c>
      <c r="I128" s="85">
        <f t="shared" si="377"/>
        <v>1236231.5</v>
      </c>
      <c r="J128" s="86">
        <f t="shared" si="378"/>
        <v>1.1058835597396083E-4</v>
      </c>
      <c r="K128" s="87">
        <f t="shared" ref="K128:Q128" si="387">$J128*C128</f>
        <v>6939.03</v>
      </c>
      <c r="L128" s="88">
        <f t="shared" si="387"/>
        <v>53.42335476896892</v>
      </c>
      <c r="M128" s="88">
        <f t="shared" si="387"/>
        <v>92.179143649563869</v>
      </c>
      <c r="N128" s="88">
        <f t="shared" si="387"/>
        <v>8.8896892303092301</v>
      </c>
      <c r="O128" s="88">
        <f t="shared" si="387"/>
        <v>242.34434069421275</v>
      </c>
      <c r="P128" s="88">
        <f t="shared" si="387"/>
        <v>145.60249841853278</v>
      </c>
      <c r="Q128" s="88">
        <f t="shared" si="387"/>
        <v>136.71280918822356</v>
      </c>
      <c r="R128" s="89">
        <f t="shared" si="380"/>
        <v>0.22044399558056066</v>
      </c>
      <c r="S128" s="163">
        <f t="shared" si="381"/>
        <v>7.6989658163992549E-3</v>
      </c>
      <c r="T128" s="89">
        <f t="shared" si="382"/>
        <v>0.6008083291792331</v>
      </c>
      <c r="U128" s="89">
        <f t="shared" si="383"/>
        <v>0.56412627089454581</v>
      </c>
    </row>
    <row r="129" spans="1:21" ht="16">
      <c r="A129" s="58">
        <v>44620</v>
      </c>
      <c r="B129" s="83">
        <v>6878.88</v>
      </c>
      <c r="C129">
        <v>62543651.600000001</v>
      </c>
      <c r="D129">
        <v>583720</v>
      </c>
      <c r="E129">
        <v>999233</v>
      </c>
      <c r="F129">
        <v>94717</v>
      </c>
      <c r="G129">
        <v>2190030</v>
      </c>
      <c r="H129" s="84">
        <f t="shared" si="376"/>
        <v>1582953</v>
      </c>
      <c r="I129" s="85">
        <f t="shared" si="377"/>
        <v>1488236</v>
      </c>
      <c r="J129" s="86">
        <f t="shared" si="378"/>
        <v>1.0998526347636536E-4</v>
      </c>
      <c r="K129" s="87">
        <f t="shared" ref="K129:Q129" si="388">$J129*C129</f>
        <v>6878.88</v>
      </c>
      <c r="L129" s="88">
        <f t="shared" si="388"/>
        <v>64.20059799642398</v>
      </c>
      <c r="M129" s="88">
        <f t="shared" si="388"/>
        <v>109.90090477927899</v>
      </c>
      <c r="N129" s="88">
        <f t="shared" si="388"/>
        <v>10.417474200690897</v>
      </c>
      <c r="O129" s="88">
        <f t="shared" si="388"/>
        <v>240.87102657114443</v>
      </c>
      <c r="P129" s="88">
        <f t="shared" si="388"/>
        <v>174.10150277570298</v>
      </c>
      <c r="Q129" s="88">
        <f t="shared" si="388"/>
        <v>163.68402857501206</v>
      </c>
      <c r="R129" s="89">
        <f t="shared" si="380"/>
        <v>0.26653516161879059</v>
      </c>
      <c r="S129" s="163">
        <f t="shared" si="381"/>
        <v>9.3330015927627717E-3</v>
      </c>
      <c r="T129" s="89">
        <f t="shared" si="382"/>
        <v>0.72279968767551128</v>
      </c>
      <c r="U129" s="89">
        <f t="shared" si="383"/>
        <v>0.67955050844052356</v>
      </c>
    </row>
    <row r="130" spans="1:21" ht="16">
      <c r="A130" s="58">
        <v>44651</v>
      </c>
      <c r="B130" s="83">
        <v>6528.52</v>
      </c>
      <c r="C130">
        <v>57625831.5</v>
      </c>
      <c r="D130">
        <v>616743</v>
      </c>
      <c r="E130">
        <v>1042392.5</v>
      </c>
      <c r="F130">
        <v>98135.7</v>
      </c>
      <c r="G130">
        <v>2197973.2000000002</v>
      </c>
      <c r="H130" s="84">
        <f>D130+E130</f>
        <v>1659135.5</v>
      </c>
      <c r="I130" s="85">
        <f>D130+E130-F130</f>
        <v>1560999.8</v>
      </c>
      <c r="J130" s="86">
        <f>B130/C130</f>
        <v>1.1329155397957253E-4</v>
      </c>
      <c r="K130" s="87">
        <f t="shared" ref="K130:Q130" si="389">$J130*C130</f>
        <v>6528.52</v>
      </c>
      <c r="L130" s="88">
        <f t="shared" si="389"/>
        <v>69.871772876023499</v>
      </c>
      <c r="M130" s="88">
        <f t="shared" si="389"/>
        <v>118.09426618165155</v>
      </c>
      <c r="N130" s="88">
        <f t="shared" si="389"/>
        <v>11.117945953873136</v>
      </c>
      <c r="O130" s="88">
        <f t="shared" si="389"/>
        <v>249.01179943345377</v>
      </c>
      <c r="P130" s="88">
        <f t="shared" si="389"/>
        <v>187.96603905767506</v>
      </c>
      <c r="Q130" s="88">
        <f t="shared" si="389"/>
        <v>176.84809310380192</v>
      </c>
      <c r="R130" s="89">
        <f>L130/O130</f>
        <v>0.2805962329295007</v>
      </c>
      <c r="S130" s="163">
        <f>L130/K130</f>
        <v>1.0702544049190858E-2</v>
      </c>
      <c r="T130" s="89">
        <f>P130/O130</f>
        <v>0.75484792080267404</v>
      </c>
      <c r="U130" s="89">
        <f>Q130/O130</f>
        <v>0.7101996512059382</v>
      </c>
    </row>
    <row r="131" spans="1:21" ht="16">
      <c r="A131" s="58">
        <v>44681</v>
      </c>
      <c r="B131" s="83">
        <v>7209.01</v>
      </c>
      <c r="C131">
        <v>65424129.200000003</v>
      </c>
      <c r="D131">
        <v>535575</v>
      </c>
      <c r="E131">
        <v>862455</v>
      </c>
      <c r="F131">
        <v>88218.3</v>
      </c>
      <c r="G131">
        <v>2309389.7000000002</v>
      </c>
      <c r="H131" s="84">
        <f>D131+E131</f>
        <v>1398030</v>
      </c>
      <c r="I131" s="85">
        <f>D131+E131-F131</f>
        <v>1309811.7</v>
      </c>
      <c r="J131" s="86">
        <f>B131/C131</f>
        <v>1.1018885674369816E-4</v>
      </c>
      <c r="K131" s="87">
        <f>$J131*C131</f>
        <v>7209.01</v>
      </c>
      <c r="L131" s="88">
        <f>$J131*D131</f>
        <v>59.014396950506139</v>
      </c>
      <c r="M131" s="88">
        <f>$J131*E131</f>
        <v>95.032930442886197</v>
      </c>
      <c r="N131" s="88">
        <f>$J131*F131</f>
        <v>9.7206736208725868</v>
      </c>
      <c r="O131" s="88">
        <f>$J131*G131</f>
        <v>254.46901081867207</v>
      </c>
      <c r="P131" s="88">
        <f>$J131*H131</f>
        <v>154.04732739339232</v>
      </c>
      <c r="Q131" s="88">
        <f>$J131*I131</f>
        <v>144.32665377251973</v>
      </c>
      <c r="R131" s="89">
        <f>L131/O131</f>
        <v>0.23191192027919755</v>
      </c>
      <c r="S131" s="163">
        <f>L131/K131</f>
        <v>8.1861999013049143E-3</v>
      </c>
      <c r="T131" s="89">
        <f>P131/O131</f>
        <v>0.60536772983788745</v>
      </c>
      <c r="U131" s="89">
        <f>Q131/O131</f>
        <v>0.5671678972154417</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ignoredErrors>
    <ignoredError sqref="J123:U123" evalError="1"/>
  </ignoredErrors>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242</v>
      </c>
      <c r="C1">
        <v>12</v>
      </c>
      <c r="G1" t="s">
        <v>130</v>
      </c>
      <c r="H1" t="s">
        <v>254</v>
      </c>
    </row>
    <row r="2" spans="1:8">
      <c r="A2" t="s">
        <v>159</v>
      </c>
      <c r="B2" t="s">
        <v>243</v>
      </c>
      <c r="C2">
        <v>11</v>
      </c>
      <c r="G2" t="s">
        <v>245</v>
      </c>
      <c r="H2">
        <v>9</v>
      </c>
    </row>
    <row r="3" spans="1:8">
      <c r="A3" t="s">
        <v>160</v>
      </c>
      <c r="B3" t="s">
        <v>244</v>
      </c>
      <c r="C3">
        <v>10</v>
      </c>
      <c r="G3" t="s">
        <v>249</v>
      </c>
      <c r="H3">
        <v>5</v>
      </c>
    </row>
    <row r="4" spans="1:8">
      <c r="B4" t="s">
        <v>245</v>
      </c>
      <c r="C4">
        <v>9</v>
      </c>
      <c r="G4" t="s">
        <v>253</v>
      </c>
      <c r="H4">
        <v>1</v>
      </c>
    </row>
    <row r="5" spans="1:8">
      <c r="B5" t="s">
        <v>246</v>
      </c>
      <c r="C5">
        <v>8</v>
      </c>
      <c r="G5" t="s">
        <v>243</v>
      </c>
      <c r="H5">
        <v>11</v>
      </c>
    </row>
    <row r="6" spans="1:8">
      <c r="B6" t="s">
        <v>247</v>
      </c>
      <c r="C6">
        <v>7</v>
      </c>
      <c r="G6" t="s">
        <v>242</v>
      </c>
      <c r="H6">
        <v>12</v>
      </c>
    </row>
    <row r="7" spans="1:8">
      <c r="B7" t="s">
        <v>248</v>
      </c>
      <c r="C7">
        <v>6</v>
      </c>
      <c r="G7" t="s">
        <v>248</v>
      </c>
      <c r="H7">
        <v>6</v>
      </c>
    </row>
    <row r="8" spans="1:8">
      <c r="B8" t="s">
        <v>249</v>
      </c>
      <c r="C8">
        <v>5</v>
      </c>
      <c r="G8" t="s">
        <v>247</v>
      </c>
      <c r="H8">
        <v>7</v>
      </c>
    </row>
    <row r="9" spans="1:8">
      <c r="B9" t="s">
        <v>250</v>
      </c>
      <c r="C9">
        <v>4</v>
      </c>
      <c r="G9" t="s">
        <v>244</v>
      </c>
      <c r="H9">
        <v>10</v>
      </c>
    </row>
    <row r="10" spans="1:8">
      <c r="B10" t="s">
        <v>251</v>
      </c>
      <c r="C10">
        <v>3</v>
      </c>
      <c r="G10" t="s">
        <v>246</v>
      </c>
      <c r="H10">
        <v>8</v>
      </c>
    </row>
    <row r="11" spans="1:8">
      <c r="B11" t="s">
        <v>252</v>
      </c>
      <c r="C11">
        <v>2</v>
      </c>
      <c r="G11" t="s">
        <v>252</v>
      </c>
      <c r="H11">
        <v>2</v>
      </c>
    </row>
    <row r="12" spans="1:8">
      <c r="B12" t="s">
        <v>253</v>
      </c>
      <c r="C12">
        <v>1</v>
      </c>
      <c r="G12" t="s">
        <v>251</v>
      </c>
      <c r="H12">
        <v>3</v>
      </c>
    </row>
    <row r="13" spans="1:8">
      <c r="G13" t="s">
        <v>250</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Aswath Damodaran</cp:lastModifiedBy>
  <cp:lastPrinted>2011-09-21T14:04:20Z</cp:lastPrinted>
  <dcterms:created xsi:type="dcterms:W3CDTF">2005-01-04T16:33:33Z</dcterms:created>
  <dcterms:modified xsi:type="dcterms:W3CDTF">2026-05-01T18:56:46Z</dcterms:modified>
</cp:coreProperties>
</file>