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A107EECE-6630-BA43-BFD9-EC44F5CB8944}" xr6:coauthVersionLast="47" xr6:coauthVersionMax="47" xr10:uidLastSave="{00000000-0000-0000-0000-000000000000}"/>
  <bookViews>
    <workbookView xWindow="2420" yWindow="500" windowWidth="35980" windowHeight="22860" activeTab="6" xr2:uid="{F9B2CD04-80A7-D547-B03D-7476AD2E17DA}"/>
  </bookViews>
  <sheets>
    <sheet name="Balance Sheet" sheetId="1" r:id="rId1"/>
    <sheet name="Balance Sheet LIabilities" sheetId="2" r:id="rId2"/>
    <sheet name="Income Statement" sheetId="3" r:id="rId3"/>
    <sheet name="Return on capital" sheetId="4" r:id="rId4"/>
    <sheet name="Return on Equity" sheetId="5" r:id="rId5"/>
    <sheet name="Interest &amp; Fixed Charge Coverag" sheetId="6" r:id="rId6"/>
    <sheet name="Debt ratios" sheetId="7" r:id="rId7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2" l="1"/>
  <c r="C17" i="2"/>
  <c r="B17" i="2"/>
  <c r="C8" i="1"/>
  <c r="B8" i="1"/>
  <c r="C17" i="6"/>
  <c r="B17" i="6"/>
  <c r="C3" i="6"/>
  <c r="C8" i="6" s="1"/>
  <c r="C12" i="6" s="1"/>
  <c r="C2" i="6"/>
  <c r="C4" i="6" s="1"/>
  <c r="C5" i="7"/>
  <c r="C4" i="7"/>
  <c r="C3" i="7"/>
  <c r="C2" i="7"/>
  <c r="B2" i="7"/>
  <c r="B3" i="7"/>
  <c r="B5" i="7"/>
  <c r="B4" i="7"/>
  <c r="B3" i="6"/>
  <c r="B8" i="6" s="1"/>
  <c r="B12" i="6" s="1"/>
  <c r="B2" i="6"/>
  <c r="B6" i="6" s="1"/>
  <c r="C1" i="6"/>
  <c r="B1" i="6"/>
  <c r="B1" i="7" s="1"/>
  <c r="B1" i="5"/>
  <c r="B7" i="5"/>
  <c r="C2" i="5"/>
  <c r="B2" i="5"/>
  <c r="C13" i="4"/>
  <c r="C12" i="4"/>
  <c r="C11" i="4"/>
  <c r="C10" i="4"/>
  <c r="B13" i="4"/>
  <c r="B12" i="4"/>
  <c r="B11" i="4"/>
  <c r="B10" i="4"/>
  <c r="A9" i="4"/>
  <c r="C3" i="4"/>
  <c r="C7" i="4"/>
  <c r="B7" i="4"/>
  <c r="B3" i="4"/>
  <c r="B13" i="3"/>
  <c r="B3" i="3"/>
  <c r="B1" i="2"/>
  <c r="B1" i="3" s="1"/>
  <c r="B4" i="3"/>
  <c r="B9" i="3" s="1"/>
  <c r="C4" i="3"/>
  <c r="C9" i="3" s="1"/>
  <c r="C2" i="4" s="1"/>
  <c r="C24" i="2"/>
  <c r="C4" i="5" s="1"/>
  <c r="C5" i="5" s="1"/>
  <c r="C5" i="2"/>
  <c r="C11" i="2" s="1"/>
  <c r="B11" i="2"/>
  <c r="B27" i="2" s="1"/>
  <c r="B24" i="2"/>
  <c r="B9" i="4" s="1"/>
  <c r="C14" i="1"/>
  <c r="C15" i="1" s="1"/>
  <c r="B14" i="1"/>
  <c r="B15" i="1" s="1"/>
  <c r="B9" i="6" l="1"/>
  <c r="B11" i="6"/>
  <c r="B13" i="6" s="1"/>
  <c r="B4" i="6"/>
  <c r="C6" i="6"/>
  <c r="C27" i="2"/>
  <c r="C26" i="2"/>
  <c r="C9" i="4"/>
  <c r="C14" i="4" s="1"/>
  <c r="C4" i="4" s="1"/>
  <c r="C5" i="4" s="1"/>
  <c r="C6" i="4" s="1"/>
  <c r="C6" i="7"/>
  <c r="C10" i="7" s="1"/>
  <c r="B14" i="4"/>
  <c r="B4" i="4" s="1"/>
  <c r="B5" i="4" s="1"/>
  <c r="B6" i="4" s="1"/>
  <c r="B13" i="7"/>
  <c r="B4" i="5"/>
  <c r="B5" i="5" s="1"/>
  <c r="B6" i="5" s="1"/>
  <c r="C14" i="7"/>
  <c r="B6" i="7"/>
  <c r="B9" i="7" s="1"/>
  <c r="B14" i="7"/>
  <c r="B7" i="7"/>
  <c r="B8" i="7"/>
  <c r="B10" i="7"/>
  <c r="C13" i="7"/>
  <c r="B2" i="4"/>
  <c r="B15" i="3"/>
  <c r="B17" i="3" s="1"/>
  <c r="C13" i="3"/>
  <c r="C15" i="3"/>
  <c r="C11" i="6" l="1"/>
  <c r="C13" i="6" s="1"/>
  <c r="C9" i="6"/>
  <c r="C8" i="7"/>
  <c r="C7" i="7"/>
  <c r="C9" i="7"/>
</calcChain>
</file>

<file path=xl/sharedStrings.xml><?xml version="1.0" encoding="utf-8"?>
<sst xmlns="http://schemas.openxmlformats.org/spreadsheetml/2006/main" count="110" uniqueCount="100">
  <si>
    <t>Home Depot</t>
  </si>
  <si>
    <t>Net fixed assets</t>
  </si>
  <si>
    <t>Goodwill</t>
  </si>
  <si>
    <t>Deferred income taxes</t>
  </si>
  <si>
    <t>Customer financing</t>
  </si>
  <si>
    <t>Other assets</t>
  </si>
  <si>
    <t>Accounts receivables</t>
  </si>
  <si>
    <t>Inventories</t>
  </si>
  <si>
    <t>Other current assets</t>
  </si>
  <si>
    <t>Total current assets</t>
  </si>
  <si>
    <t>Total assets</t>
  </si>
  <si>
    <t>Year ended</t>
  </si>
  <si>
    <t>Operating Lease Asset</t>
  </si>
  <si>
    <t>Accounts payable and other liabilities</t>
  </si>
  <si>
    <t>Taxes payable</t>
  </si>
  <si>
    <t>Total current liabilities</t>
  </si>
  <si>
    <t>Minority interests</t>
  </si>
  <si>
    <t>Retained earnings</t>
  </si>
  <si>
    <t>Total liabilities</t>
  </si>
  <si>
    <t>Accrued Pensioin Liabilities</t>
  </si>
  <si>
    <t>Accrued Losses</t>
  </si>
  <si>
    <t>Treasury Stock</t>
  </si>
  <si>
    <t>Other Current Liabilities</t>
  </si>
  <si>
    <t>Lease Debt</t>
  </si>
  <si>
    <t>Operating income</t>
  </si>
  <si>
    <t>Earnings before taxes</t>
  </si>
  <si>
    <t>Net earnings (Loss)</t>
  </si>
  <si>
    <t>Cost of Sales</t>
  </si>
  <si>
    <t>Gross Profit</t>
  </si>
  <si>
    <t xml:space="preserve"> - S, G &amp; A Expenses</t>
  </si>
  <si>
    <t>Book value of capital—beginning</t>
  </si>
  <si>
    <t>Book value of capital—ending</t>
  </si>
  <si>
    <t>Book value of capital—average</t>
  </si>
  <si>
    <t>Return on capital (based on average)</t>
  </si>
  <si>
    <t>Return on capital (based on beginning)</t>
  </si>
  <si>
    <t>RTX</t>
  </si>
  <si>
    <t>Net Intangibles</t>
  </si>
  <si>
    <t>Contract Assets</t>
  </si>
  <si>
    <t>Cash &amp; Eqivalents</t>
  </si>
  <si>
    <t>Accrued empluee salaries/compensation</t>
  </si>
  <si>
    <t>Short term debt</t>
  </si>
  <si>
    <t>Short-term portion of long term debt</t>
  </si>
  <si>
    <t>Current Lease Debt</t>
  </si>
  <si>
    <t>Contract Liabilities</t>
  </si>
  <si>
    <t>Deferred Revenue</t>
  </si>
  <si>
    <t>Unclaimed ESOP</t>
  </si>
  <si>
    <t>- Depreciation</t>
  </si>
  <si>
    <t>- Interest expenses</t>
  </si>
  <si>
    <t>- Income taxes</t>
  </si>
  <si>
    <t xml:space="preserve"> - Profits due to Minority Interests</t>
  </si>
  <si>
    <t>Net Income/ Loss</t>
  </si>
  <si>
    <t>Invested Capital</t>
  </si>
  <si>
    <t xml:space="preserve"> + Total Debt</t>
  </si>
  <si>
    <t xml:space="preserve"> + Total Lease Obligations</t>
  </si>
  <si>
    <t xml:space="preserve"> = Cash</t>
  </si>
  <si>
    <t xml:space="preserve"> - Goodwill</t>
  </si>
  <si>
    <t>Net income</t>
  </si>
  <si>
    <t>Book value of equity—beginning</t>
  </si>
  <si>
    <t>Book value of equity—ending</t>
  </si>
  <si>
    <t>Book value of equity—average</t>
  </si>
  <si>
    <t>Return on equity (based on average)</t>
  </si>
  <si>
    <t>Return on equity (based on beginning)</t>
  </si>
  <si>
    <t>EBIT</t>
  </si>
  <si>
    <t>Interest expense</t>
  </si>
  <si>
    <t>Interest coverage ratio</t>
  </si>
  <si>
    <t>Operating lease expenses</t>
  </si>
  <si>
    <t>Interest expenses</t>
  </si>
  <si>
    <t>Fixed charges coverage ratio</t>
  </si>
  <si>
    <t>EBITDA</t>
  </si>
  <si>
    <t>Cash fixed charges</t>
  </si>
  <si>
    <t>Cash fixed charges coverage ratio</t>
  </si>
  <si>
    <t>Cash flows from operations</t>
  </si>
  <si>
    <t>Capital expenditures</t>
  </si>
  <si>
    <t>Cash flows/Capital expenditures</t>
  </si>
  <si>
    <t>Book value of equity</t>
  </si>
  <si>
    <t>Long term lease debt</t>
  </si>
  <si>
    <t>Shofrt-term lease debt</t>
  </si>
  <si>
    <t>Market value of equity</t>
  </si>
  <si>
    <t>Total Debt/Equity</t>
  </si>
  <si>
    <t>Total Debt to Capital (Market)</t>
  </si>
  <si>
    <t>Total Debt/Equity (Market)</t>
  </si>
  <si>
    <t>Total non-current assets</t>
  </si>
  <si>
    <r>
      <t>Other long</t>
    </r>
    <r>
      <rPr>
        <sz val="12"/>
        <color rgb="FF3366FF"/>
        <rFont val="Helvetica"/>
        <family val="2"/>
      </rPr>
      <t>-</t>
    </r>
    <r>
      <rPr>
        <sz val="12"/>
        <color theme="1"/>
        <rFont val="Helvetica"/>
        <family val="2"/>
      </rPr>
      <t>term liabilities</t>
    </r>
  </si>
  <si>
    <r>
      <t>Long</t>
    </r>
    <r>
      <rPr>
        <sz val="12"/>
        <color rgb="FF3366FF"/>
        <rFont val="Helvetica"/>
        <family val="2"/>
      </rPr>
      <t>-</t>
    </r>
    <r>
      <rPr>
        <sz val="12"/>
        <color theme="1"/>
        <rFont val="Helvetica"/>
        <family val="2"/>
      </rPr>
      <t>term debt</t>
    </r>
  </si>
  <si>
    <r>
      <t>Additional paid</t>
    </r>
    <r>
      <rPr>
        <sz val="12"/>
        <color rgb="FF3366FF"/>
        <rFont val="Helvetica"/>
        <family val="2"/>
      </rPr>
      <t>-</t>
    </r>
    <r>
      <rPr>
        <sz val="12"/>
        <color theme="1"/>
        <rFont val="Helvetica"/>
        <family val="2"/>
      </rPr>
      <t>in capital</t>
    </r>
  </si>
  <si>
    <t>Total long-term liabilities</t>
  </si>
  <si>
    <t>Shareholders' equity - par value</t>
  </si>
  <si>
    <r>
      <t>Shareholders</t>
    </r>
    <r>
      <rPr>
        <sz val="12"/>
        <color rgb="FF3366FF"/>
        <rFont val="Helvetica"/>
        <family val="2"/>
      </rPr>
      <t>'</t>
    </r>
    <r>
      <rPr>
        <sz val="12"/>
        <color theme="1"/>
        <rFont val="Helvetica"/>
        <family val="2"/>
      </rPr>
      <t xml:space="preserve"> equity</t>
    </r>
  </si>
  <si>
    <t>Total Equity</t>
  </si>
  <si>
    <t xml:space="preserve"> + Other Income</t>
  </si>
  <si>
    <t xml:space="preserve"> + Non-operating Income</t>
  </si>
  <si>
    <t xml:space="preserve"> - R&amp;D expenses</t>
  </si>
  <si>
    <t>Revenues</t>
  </si>
  <si>
    <r>
      <t>After</t>
    </r>
    <r>
      <rPr>
        <sz val="12"/>
        <color rgb="FF3366FF"/>
        <rFont val="Helvetica"/>
        <family val="2"/>
      </rPr>
      <t>-</t>
    </r>
    <r>
      <rPr>
        <sz val="12"/>
        <color theme="1"/>
        <rFont val="Helvetica"/>
        <family val="2"/>
      </rPr>
      <t>tax operating income</t>
    </r>
  </si>
  <si>
    <t>Invested Capital at the end of fiscal 2023</t>
  </si>
  <si>
    <t>NA</t>
  </si>
  <si>
    <r>
      <t>Short</t>
    </r>
    <r>
      <rPr>
        <sz val="12"/>
        <color rgb="FF3366FF"/>
        <rFont val="Helvetica"/>
        <family val="2"/>
      </rPr>
      <t>-</t>
    </r>
    <r>
      <rPr>
        <sz val="12"/>
        <color theme="1"/>
        <rFont val="Helvetica"/>
        <family val="2"/>
      </rPr>
      <t>term debt</t>
    </r>
  </si>
  <si>
    <r>
      <t>Long</t>
    </r>
    <r>
      <rPr>
        <sz val="12"/>
        <color rgb="FF3366FF"/>
        <rFont val="Helvetica"/>
        <family val="2"/>
      </rPr>
      <t>-</t>
    </r>
    <r>
      <rPr>
        <sz val="12"/>
        <color theme="1"/>
        <rFont val="Helvetica"/>
        <family val="2"/>
      </rPr>
      <t>term debt/Equity</t>
    </r>
  </si>
  <si>
    <r>
      <t>Long</t>
    </r>
    <r>
      <rPr>
        <sz val="12"/>
        <color rgb="FF3366FF"/>
        <rFont val="Helvetica"/>
        <family val="2"/>
      </rPr>
      <t>-</t>
    </r>
    <r>
      <rPr>
        <sz val="12"/>
        <color theme="1"/>
        <rFont val="Helvetica"/>
        <family val="2"/>
      </rPr>
      <t>term debt/(Long</t>
    </r>
    <r>
      <rPr>
        <sz val="12"/>
        <color rgb="FF3366FF"/>
        <rFont val="Helvetica"/>
        <family val="2"/>
      </rPr>
      <t>-</t>
    </r>
    <r>
      <rPr>
        <sz val="12"/>
        <color theme="1"/>
        <rFont val="Helvetica"/>
        <family val="2"/>
      </rPr>
      <t>term debt + Equity)</t>
    </r>
  </si>
  <si>
    <t>Total Debt/(total Debt + Equity)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</si>
</sst>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  <numFmt numFmtId="165" formatCode="&quot;$&quot;#,##0"/>
  </numFmts>
  <fonts count="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Helvetica"/>
      <family val="2"/>
    </font>
    <font>
      <sz val="12"/>
      <color theme="1"/>
      <name val="Helvetica"/>
      <family val="2"/>
    </font>
    <font>
      <i/>
      <sz val="12"/>
      <color theme="1"/>
      <name val="Helvetica"/>
      <family val="2"/>
    </font>
    <font>
      <i/>
      <sz val="12"/>
      <color theme="1"/>
      <name val="Calibri"/>
      <family val="2"/>
      <scheme val="minor"/>
    </font>
    <font>
      <sz val="12"/>
      <color rgb="FF3366FF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 style="medium">
        <color theme="1"/>
      </left>
      <right style="medium">
        <color indexed="64"/>
      </right>
      <top style="medium">
        <color theme="1"/>
      </top>
      <bottom style="medium">
        <color indexed="64"/>
      </bottom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/>
      <right style="medium">
        <color theme="1"/>
      </right>
      <top style="medium">
        <color theme="1"/>
      </top>
      <bottom style="medium">
        <color indexed="64"/>
      </bottom>
      <diagonal/>
    </border>
    <border>
      <left style="medium">
        <color theme="1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indexed="64"/>
      </right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medium">
        <color indexed="64"/>
      </right>
      <top style="medium">
        <color theme="1"/>
      </top>
      <bottom/>
      <diagonal/>
    </border>
    <border>
      <left/>
      <right style="medium">
        <color indexed="64"/>
      </right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3" fillId="0" borderId="3" xfId="0" applyFont="1" applyBorder="1" applyAlignment="1">
      <alignment vertical="center" wrapText="1"/>
    </xf>
    <xf numFmtId="6" fontId="3" fillId="0" borderId="4" xfId="0" applyNumberFormat="1" applyFont="1" applyBorder="1" applyAlignment="1">
      <alignment horizontal="center" vertical="center" wrapText="1"/>
    </xf>
    <xf numFmtId="0" fontId="3" fillId="0" borderId="0" xfId="0" applyFont="1"/>
    <xf numFmtId="1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6" fontId="3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6" fontId="3" fillId="2" borderId="6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6" fontId="4" fillId="2" borderId="6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/>
    <xf numFmtId="0" fontId="3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164" fontId="3" fillId="2" borderId="6" xfId="0" applyNumberFormat="1" applyFont="1" applyFill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164" fontId="3" fillId="0" borderId="0" xfId="0" applyNumberFormat="1" applyFont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164" fontId="3" fillId="0" borderId="8" xfId="0" applyNumberFormat="1" applyFont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164" fontId="3" fillId="2" borderId="13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4" fontId="3" fillId="0" borderId="11" xfId="0" applyNumberFormat="1" applyFont="1" applyBorder="1" applyAlignment="1">
      <alignment horizontal="center" vertical="center" wrapText="1"/>
    </xf>
    <xf numFmtId="164" fontId="3" fillId="2" borderId="6" xfId="0" applyNumberFormat="1" applyFont="1" applyFill="1" applyBorder="1" applyAlignment="1">
      <alignment horizontal="center"/>
    </xf>
    <xf numFmtId="0" fontId="4" fillId="0" borderId="11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6" xfId="0" applyFont="1" applyBorder="1"/>
    <xf numFmtId="164" fontId="3" fillId="0" borderId="6" xfId="1" applyNumberFormat="1" applyFont="1" applyBorder="1" applyAlignment="1">
      <alignment horizontal="center"/>
    </xf>
    <xf numFmtId="0" fontId="3" fillId="2" borderId="3" xfId="0" applyFont="1" applyFill="1" applyBorder="1" applyAlignment="1">
      <alignment vertical="center" wrapText="1"/>
    </xf>
    <xf numFmtId="10" fontId="3" fillId="2" borderId="4" xfId="0" applyNumberFormat="1" applyFont="1" applyFill="1" applyBorder="1" applyAlignment="1">
      <alignment horizontal="center" vertical="center" wrapText="1"/>
    </xf>
    <xf numFmtId="164" fontId="3" fillId="2" borderId="6" xfId="1" applyNumberFormat="1" applyFont="1" applyFill="1" applyBorder="1" applyAlignment="1">
      <alignment horizontal="center"/>
    </xf>
    <xf numFmtId="6" fontId="3" fillId="0" borderId="7" xfId="0" applyNumberFormat="1" applyFont="1" applyBorder="1" applyAlignment="1">
      <alignment horizontal="center" vertical="center" wrapText="1"/>
    </xf>
    <xf numFmtId="0" fontId="3" fillId="2" borderId="16" xfId="0" applyFont="1" applyFill="1" applyBorder="1" applyAlignment="1">
      <alignment vertical="center" wrapText="1"/>
    </xf>
    <xf numFmtId="10" fontId="3" fillId="2" borderId="17" xfId="2" applyNumberFormat="1" applyFont="1" applyFill="1" applyBorder="1" applyAlignment="1">
      <alignment horizontal="center" vertical="center" wrapText="1"/>
    </xf>
    <xf numFmtId="10" fontId="3" fillId="2" borderId="18" xfId="0" applyNumberFormat="1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10" fontId="3" fillId="2" borderId="20" xfId="2" applyNumberFormat="1" applyFont="1" applyFill="1" applyBorder="1" applyAlignment="1">
      <alignment horizontal="center" vertical="center" wrapText="1"/>
    </xf>
    <xf numFmtId="10" fontId="3" fillId="2" borderId="21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2" fontId="3" fillId="0" borderId="23" xfId="0" applyNumberFormat="1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center" vertical="center" wrapText="1"/>
    </xf>
    <xf numFmtId="10" fontId="3" fillId="2" borderId="6" xfId="0" applyNumberFormat="1" applyFont="1" applyFill="1" applyBorder="1" applyAlignment="1">
      <alignment horizontal="center" vertical="center" wrapText="1"/>
    </xf>
    <xf numFmtId="10" fontId="3" fillId="2" borderId="6" xfId="2" applyNumberFormat="1" applyFont="1" applyFill="1" applyBorder="1" applyAlignment="1">
      <alignment horizontal="center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165" fontId="3" fillId="0" borderId="6" xfId="1" applyNumberFormat="1" applyFont="1" applyBorder="1" applyAlignment="1">
      <alignment horizontal="center"/>
    </xf>
    <xf numFmtId="0" fontId="4" fillId="0" borderId="15" xfId="0" applyFont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4FF9A-D5CA-4046-9A7E-B4E3AD5AFD9F}">
  <dimension ref="A1:C17"/>
  <sheetViews>
    <sheetView workbookViewId="0">
      <selection activeCell="B43" sqref="B43"/>
    </sheetView>
  </sheetViews>
  <sheetFormatPr baseColWidth="10" defaultRowHeight="16"/>
  <cols>
    <col min="1" max="1" width="24.6640625" style="5" customWidth="1"/>
    <col min="2" max="3" width="22.83203125" style="7" customWidth="1"/>
  </cols>
  <sheetData>
    <row r="1" spans="1:3" s="17" customFormat="1" ht="17">
      <c r="A1" s="11"/>
      <c r="B1" s="16" t="s">
        <v>35</v>
      </c>
      <c r="C1" s="16" t="s">
        <v>0</v>
      </c>
    </row>
    <row r="2" spans="1:3" ht="17">
      <c r="A2" s="9" t="s">
        <v>1</v>
      </c>
      <c r="B2" s="10">
        <v>15748</v>
      </c>
      <c r="C2" s="10">
        <v>25631</v>
      </c>
    </row>
    <row r="3" spans="1:3" ht="17">
      <c r="A3" s="9" t="s">
        <v>12</v>
      </c>
      <c r="B3" s="10">
        <v>1638</v>
      </c>
      <c r="C3" s="10">
        <v>6941</v>
      </c>
    </row>
    <row r="4" spans="1:3" ht="17">
      <c r="A4" s="9" t="s">
        <v>2</v>
      </c>
      <c r="B4" s="10">
        <v>53699</v>
      </c>
      <c r="C4" s="10">
        <v>7444</v>
      </c>
    </row>
    <row r="5" spans="1:3" ht="17">
      <c r="A5" s="9" t="s">
        <v>36</v>
      </c>
      <c r="B5" s="10">
        <v>35399</v>
      </c>
      <c r="C5" s="10">
        <v>0</v>
      </c>
    </row>
    <row r="6" spans="1:3" ht="17">
      <c r="A6" s="9" t="s">
        <v>4</v>
      </c>
      <c r="B6" s="10">
        <v>2392</v>
      </c>
      <c r="C6" s="10">
        <v>0</v>
      </c>
    </row>
    <row r="7" spans="1:3" ht="17">
      <c r="A7" s="9" t="s">
        <v>5</v>
      </c>
      <c r="B7" s="10">
        <v>4576</v>
      </c>
      <c r="C7" s="10">
        <v>3958</v>
      </c>
    </row>
    <row r="8" spans="1:3" ht="17">
      <c r="A8" s="14" t="s">
        <v>81</v>
      </c>
      <c r="B8" s="13">
        <f>SUM(B2:B7)</f>
        <v>113452</v>
      </c>
      <c r="C8" s="13">
        <f>SUM(C2:C7)</f>
        <v>43974</v>
      </c>
    </row>
    <row r="9" spans="1:3" ht="17">
      <c r="A9" s="9" t="s">
        <v>38</v>
      </c>
      <c r="B9" s="10">
        <v>6587</v>
      </c>
      <c r="C9" s="10">
        <v>2757</v>
      </c>
    </row>
    <row r="10" spans="1:3" ht="17">
      <c r="A10" s="9" t="s">
        <v>6</v>
      </c>
      <c r="B10" s="10">
        <v>10838</v>
      </c>
      <c r="C10" s="10">
        <v>3317</v>
      </c>
    </row>
    <row r="11" spans="1:3" ht="17">
      <c r="A11" s="9" t="s">
        <v>37</v>
      </c>
      <c r="B11" s="10">
        <v>12139</v>
      </c>
      <c r="C11" s="10">
        <v>0</v>
      </c>
    </row>
    <row r="12" spans="1:3" ht="17">
      <c r="A12" s="9" t="s">
        <v>7</v>
      </c>
      <c r="B12" s="10">
        <v>11777</v>
      </c>
      <c r="C12" s="10">
        <v>24886</v>
      </c>
    </row>
    <row r="13" spans="1:3" ht="17">
      <c r="A13" s="9" t="s">
        <v>8</v>
      </c>
      <c r="B13" s="10">
        <v>7076</v>
      </c>
      <c r="C13" s="10">
        <v>1511</v>
      </c>
    </row>
    <row r="14" spans="1:3" ht="17">
      <c r="A14" s="14" t="s">
        <v>9</v>
      </c>
      <c r="B14" s="15">
        <f>SUM(B9:B13)</f>
        <v>48417</v>
      </c>
      <c r="C14" s="15">
        <f>SUM(C9:C13)</f>
        <v>32471</v>
      </c>
    </row>
    <row r="15" spans="1:3" ht="17">
      <c r="A15" s="12" t="s">
        <v>10</v>
      </c>
      <c r="B15" s="13">
        <f>SUM(B2:B7)+B14</f>
        <v>161869</v>
      </c>
      <c r="C15" s="13">
        <f>SUM(C2:C7)+C14</f>
        <v>76445</v>
      </c>
    </row>
    <row r="17" spans="1:3">
      <c r="A17" s="5" t="s">
        <v>11</v>
      </c>
      <c r="B17" s="6">
        <v>45261</v>
      </c>
      <c r="C17" s="6">
        <v>44927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A3034-881D-EB4F-B0FD-2498FF4D2857}">
  <dimension ref="A1:G27"/>
  <sheetViews>
    <sheetView workbookViewId="0">
      <selection sqref="A1:C27"/>
    </sheetView>
  </sheetViews>
  <sheetFormatPr baseColWidth="10" defaultRowHeight="16"/>
  <cols>
    <col min="1" max="1" width="43.6640625" customWidth="1"/>
    <col min="2" max="2" width="19.6640625" style="1" customWidth="1"/>
    <col min="3" max="3" width="16.1640625" style="1" customWidth="1"/>
    <col min="7" max="7" width="11.1640625" bestFit="1" customWidth="1"/>
  </cols>
  <sheetData>
    <row r="1" spans="1:3" s="17" customFormat="1" ht="17">
      <c r="A1" s="21"/>
      <c r="B1" s="22" t="str">
        <f>'Balance Sheet'!B1</f>
        <v>RTX</v>
      </c>
      <c r="C1" s="22" t="s">
        <v>0</v>
      </c>
    </row>
    <row r="2" spans="1:3" ht="17">
      <c r="A2" s="9" t="s">
        <v>13</v>
      </c>
      <c r="B2" s="23">
        <v>10698</v>
      </c>
      <c r="C2" s="23">
        <v>11443</v>
      </c>
    </row>
    <row r="3" spans="1:3" ht="17">
      <c r="A3" s="9" t="s">
        <v>39</v>
      </c>
      <c r="B3" s="23">
        <v>2491</v>
      </c>
      <c r="C3" s="23">
        <v>1991</v>
      </c>
    </row>
    <row r="4" spans="1:3" ht="17">
      <c r="A4" s="9" t="s">
        <v>44</v>
      </c>
      <c r="B4" s="23">
        <v>0</v>
      </c>
      <c r="C4" s="23">
        <v>3064</v>
      </c>
    </row>
    <row r="5" spans="1:3" ht="17">
      <c r="A5" s="9" t="s">
        <v>14</v>
      </c>
      <c r="B5" s="23">
        <v>0</v>
      </c>
      <c r="C5" s="23">
        <f>528+50</f>
        <v>578</v>
      </c>
    </row>
    <row r="6" spans="1:3" ht="17">
      <c r="A6" s="9" t="s">
        <v>40</v>
      </c>
      <c r="B6" s="23">
        <v>189</v>
      </c>
      <c r="C6" s="23">
        <v>1231</v>
      </c>
    </row>
    <row r="7" spans="1:3" ht="17">
      <c r="A7" s="9" t="s">
        <v>41</v>
      </c>
      <c r="B7" s="23">
        <v>1283</v>
      </c>
      <c r="C7" s="23">
        <v>0</v>
      </c>
    </row>
    <row r="8" spans="1:3" ht="17">
      <c r="A8" s="9" t="s">
        <v>43</v>
      </c>
      <c r="B8" s="23">
        <v>17183</v>
      </c>
      <c r="C8" s="23">
        <v>0</v>
      </c>
    </row>
    <row r="9" spans="1:3" ht="17">
      <c r="A9" s="9" t="s">
        <v>42</v>
      </c>
      <c r="B9" s="23">
        <v>0</v>
      </c>
      <c r="C9" s="23">
        <v>945</v>
      </c>
    </row>
    <row r="10" spans="1:3" ht="17">
      <c r="A10" s="9" t="s">
        <v>22</v>
      </c>
      <c r="B10" s="23">
        <v>14917</v>
      </c>
      <c r="C10" s="23">
        <v>3858</v>
      </c>
    </row>
    <row r="11" spans="1:3" ht="17">
      <c r="A11" s="12" t="s">
        <v>15</v>
      </c>
      <c r="B11" s="24">
        <f>SUM(B2:B10)</f>
        <v>46761</v>
      </c>
      <c r="C11" s="24">
        <f>SUM(C2:C10)</f>
        <v>23110</v>
      </c>
    </row>
    <row r="12" spans="1:3" ht="17">
      <c r="A12" s="9" t="s">
        <v>19</v>
      </c>
      <c r="B12" s="23">
        <v>2385</v>
      </c>
      <c r="C12" s="23">
        <v>0</v>
      </c>
    </row>
    <row r="13" spans="1:3" ht="17">
      <c r="A13" s="9" t="s">
        <v>82</v>
      </c>
      <c r="B13" s="23">
        <v>7511</v>
      </c>
      <c r="C13" s="23">
        <v>2566</v>
      </c>
    </row>
    <row r="14" spans="1:3" ht="17">
      <c r="A14" s="9" t="s">
        <v>3</v>
      </c>
      <c r="B14" s="23">
        <v>0</v>
      </c>
      <c r="C14" s="23">
        <v>1019</v>
      </c>
    </row>
    <row r="15" spans="1:3" ht="17">
      <c r="A15" s="9" t="s">
        <v>83</v>
      </c>
      <c r="B15" s="23">
        <v>42355</v>
      </c>
      <c r="C15" s="23">
        <v>41962</v>
      </c>
    </row>
    <row r="16" spans="1:3" ht="17">
      <c r="A16" s="9" t="s">
        <v>23</v>
      </c>
      <c r="B16" s="23">
        <v>1412</v>
      </c>
      <c r="C16" s="23">
        <v>6226</v>
      </c>
    </row>
    <row r="17" spans="1:7" ht="17">
      <c r="A17" s="12" t="s">
        <v>85</v>
      </c>
      <c r="B17" s="24">
        <f>SUM(B12:B16)</f>
        <v>53663</v>
      </c>
      <c r="C17" s="24">
        <f>SUM(C12:C16)</f>
        <v>51773</v>
      </c>
    </row>
    <row r="18" spans="1:7" ht="17">
      <c r="A18" s="9" t="s">
        <v>86</v>
      </c>
      <c r="B18" s="23">
        <v>0</v>
      </c>
      <c r="C18" s="23">
        <v>90</v>
      </c>
    </row>
    <row r="19" spans="1:7" ht="17">
      <c r="A19" s="9" t="s">
        <v>84</v>
      </c>
      <c r="B19" s="23">
        <v>37055</v>
      </c>
      <c r="C19" s="23">
        <v>12592</v>
      </c>
    </row>
    <row r="20" spans="1:7" ht="17">
      <c r="A20" s="9" t="s">
        <v>17</v>
      </c>
      <c r="B20" s="23">
        <v>52154</v>
      </c>
      <c r="C20" s="23">
        <v>76896</v>
      </c>
    </row>
    <row r="21" spans="1:7" ht="17">
      <c r="A21" s="9" t="s">
        <v>20</v>
      </c>
      <c r="B21" s="23">
        <v>-2419</v>
      </c>
      <c r="C21" s="23">
        <v>-718</v>
      </c>
    </row>
    <row r="22" spans="1:7" ht="17">
      <c r="A22" s="9" t="s">
        <v>45</v>
      </c>
      <c r="B22" s="23">
        <v>-15</v>
      </c>
      <c r="C22" s="23">
        <v>0</v>
      </c>
    </row>
    <row r="23" spans="1:7" ht="17">
      <c r="A23" s="9" t="s">
        <v>21</v>
      </c>
      <c r="B23" s="23">
        <v>-26977</v>
      </c>
      <c r="C23" s="23">
        <v>-87298</v>
      </c>
      <c r="G23" s="2"/>
    </row>
    <row r="24" spans="1:7" ht="17">
      <c r="A24" s="12" t="s">
        <v>87</v>
      </c>
      <c r="B24" s="24">
        <f>SUM(B18:B23)</f>
        <v>59798</v>
      </c>
      <c r="C24" s="24">
        <f>SUM(C18:C23)</f>
        <v>1562</v>
      </c>
    </row>
    <row r="25" spans="1:7" ht="17">
      <c r="A25" s="9" t="s">
        <v>16</v>
      </c>
      <c r="B25" s="23">
        <v>1647</v>
      </c>
      <c r="C25" s="23">
        <v>0</v>
      </c>
    </row>
    <row r="26" spans="1:7" ht="17">
      <c r="A26" s="12" t="s">
        <v>88</v>
      </c>
      <c r="B26" s="24">
        <f>B24+B25</f>
        <v>61445</v>
      </c>
      <c r="C26" s="24">
        <f>C24+C25</f>
        <v>1562</v>
      </c>
    </row>
    <row r="27" spans="1:7" ht="17">
      <c r="A27" s="8" t="s">
        <v>18</v>
      </c>
      <c r="B27" s="25">
        <f>B11+SUM(B12:B16)+B24+B25</f>
        <v>161869</v>
      </c>
      <c r="C27" s="25">
        <f>C11+SUM(C12:C16)+C24</f>
        <v>76445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E5DED-B5B1-1C4A-BD5B-55FC16A6A927}">
  <dimension ref="A1:C17"/>
  <sheetViews>
    <sheetView workbookViewId="0">
      <selection activeCell="B6" sqref="B6"/>
    </sheetView>
  </sheetViews>
  <sheetFormatPr baseColWidth="10" defaultRowHeight="16"/>
  <cols>
    <col min="1" max="1" width="31.5" customWidth="1"/>
    <col min="2" max="2" width="26.33203125" style="1" customWidth="1"/>
    <col min="3" max="3" width="15.83203125" style="1" customWidth="1"/>
  </cols>
  <sheetData>
    <row r="1" spans="1:3" s="17" customFormat="1" ht="18" thickBot="1">
      <c r="A1" s="36"/>
      <c r="B1" s="37" t="str">
        <f>'Balance Sheet LIabilities'!B1</f>
        <v>RTX</v>
      </c>
      <c r="C1" s="37" t="s">
        <v>0</v>
      </c>
    </row>
    <row r="2" spans="1:3" ht="18" thickBot="1">
      <c r="A2" s="30" t="s">
        <v>92</v>
      </c>
      <c r="B2" s="31">
        <v>68920</v>
      </c>
      <c r="C2" s="32">
        <v>157403</v>
      </c>
    </row>
    <row r="3" spans="1:3" ht="17">
      <c r="A3" s="26" t="s">
        <v>27</v>
      </c>
      <c r="B3" s="29">
        <f>43425+13406</f>
        <v>56831</v>
      </c>
      <c r="C3" s="29">
        <v>104625</v>
      </c>
    </row>
    <row r="4" spans="1:3" ht="17">
      <c r="A4" s="12" t="s">
        <v>28</v>
      </c>
      <c r="B4" s="24">
        <f>B2-B3</f>
        <v>12089</v>
      </c>
      <c r="C4" s="24">
        <f>C2-C3</f>
        <v>52778</v>
      </c>
    </row>
    <row r="5" spans="1:3" ht="17">
      <c r="A5" s="9" t="s">
        <v>29</v>
      </c>
      <c r="B5" s="23">
        <v>5809</v>
      </c>
      <c r="C5" s="23">
        <v>26284</v>
      </c>
    </row>
    <row r="6" spans="1:3" ht="17">
      <c r="A6" s="9" t="s">
        <v>46</v>
      </c>
      <c r="B6" s="23">
        <v>0</v>
      </c>
      <c r="C6" s="23">
        <v>2455</v>
      </c>
    </row>
    <row r="7" spans="1:3" ht="17">
      <c r="A7" s="9" t="s">
        <v>91</v>
      </c>
      <c r="B7" s="23">
        <v>2805</v>
      </c>
      <c r="C7" s="23">
        <v>0</v>
      </c>
    </row>
    <row r="8" spans="1:3" ht="18" thickBot="1">
      <c r="A8" s="33" t="s">
        <v>89</v>
      </c>
      <c r="B8" s="34">
        <v>86</v>
      </c>
      <c r="C8" s="34">
        <v>0</v>
      </c>
    </row>
    <row r="9" spans="1:3" ht="18" thickBot="1">
      <c r="A9" s="30" t="s">
        <v>24</v>
      </c>
      <c r="B9" s="31">
        <f>B4-B5-B6-B7+B8</f>
        <v>3561</v>
      </c>
      <c r="C9" s="32">
        <f>C4-C5-C6-C7</f>
        <v>24039</v>
      </c>
    </row>
    <row r="10" spans="1:3" ht="17">
      <c r="A10" s="26" t="s">
        <v>90</v>
      </c>
      <c r="B10" s="29">
        <v>1780</v>
      </c>
      <c r="C10" s="29">
        <v>0</v>
      </c>
    </row>
    <row r="11" spans="1:3" ht="17">
      <c r="A11" s="9" t="s">
        <v>89</v>
      </c>
      <c r="B11" s="23">
        <v>0</v>
      </c>
      <c r="C11" s="23">
        <v>55</v>
      </c>
    </row>
    <row r="12" spans="1:3" ht="17">
      <c r="A12" s="9" t="s">
        <v>47</v>
      </c>
      <c r="B12" s="23">
        <v>1505</v>
      </c>
      <c r="C12" s="23">
        <v>1617</v>
      </c>
    </row>
    <row r="13" spans="1:3" ht="17">
      <c r="A13" s="12" t="s">
        <v>25</v>
      </c>
      <c r="B13" s="24">
        <f>B9-B12+B10+B11</f>
        <v>3836</v>
      </c>
      <c r="C13" s="24">
        <f>C9-C12+C11</f>
        <v>22477</v>
      </c>
    </row>
    <row r="14" spans="1:3" ht="17">
      <c r="A14" s="9" t="s">
        <v>48</v>
      </c>
      <c r="B14" s="23">
        <v>456</v>
      </c>
      <c r="C14" s="23">
        <v>5372</v>
      </c>
    </row>
    <row r="15" spans="1:3" ht="17">
      <c r="A15" s="12" t="s">
        <v>26</v>
      </c>
      <c r="B15" s="24">
        <f>B13-B14</f>
        <v>3380</v>
      </c>
      <c r="C15" s="24">
        <f>C13-C14</f>
        <v>17105</v>
      </c>
    </row>
    <row r="16" spans="1:3" ht="17">
      <c r="A16" s="9" t="s">
        <v>49</v>
      </c>
      <c r="B16" s="28">
        <v>185</v>
      </c>
      <c r="C16" s="27"/>
    </row>
    <row r="17" spans="1:3" ht="17">
      <c r="A17" s="12" t="s">
        <v>50</v>
      </c>
      <c r="B17" s="35">
        <f>B15-B16</f>
        <v>3195</v>
      </c>
      <c r="C17" s="2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D484C-03DF-234E-AC42-1D7BFFD4C0D3}">
  <dimension ref="A1:C14"/>
  <sheetViews>
    <sheetView workbookViewId="0">
      <selection activeCell="C14" sqref="A1:C14"/>
    </sheetView>
  </sheetViews>
  <sheetFormatPr baseColWidth="10" defaultRowHeight="16"/>
  <cols>
    <col min="1" max="1" width="38.6640625" customWidth="1"/>
    <col min="2" max="2" width="17.1640625" style="1" customWidth="1"/>
    <col min="3" max="3" width="14.6640625" style="1" customWidth="1"/>
  </cols>
  <sheetData>
    <row r="1" spans="1:3" s="17" customFormat="1" ht="18" thickBot="1">
      <c r="A1" s="19"/>
      <c r="B1" s="20" t="s">
        <v>35</v>
      </c>
      <c r="C1" s="20" t="s">
        <v>0</v>
      </c>
    </row>
    <row r="2" spans="1:3" ht="18" thickBot="1">
      <c r="A2" s="3" t="s">
        <v>93</v>
      </c>
      <c r="B2" s="4">
        <f>'Income Statement'!B9</f>
        <v>3561</v>
      </c>
      <c r="C2" s="4">
        <f>'Income Statement'!C9</f>
        <v>24039</v>
      </c>
    </row>
    <row r="3" spans="1:3" ht="18" thickBot="1">
      <c r="A3" s="3" t="s">
        <v>30</v>
      </c>
      <c r="B3" s="4">
        <f>30694+1586+595+625+74178-6220-53840</f>
        <v>47618</v>
      </c>
      <c r="C3" s="4">
        <f>1035+2447+830+36606+5353-1696-2343-7449</f>
        <v>34783</v>
      </c>
    </row>
    <row r="4" spans="1:3" ht="18" thickBot="1">
      <c r="A4" s="3" t="s">
        <v>31</v>
      </c>
      <c r="B4" s="4">
        <f>B14</f>
        <v>46398</v>
      </c>
      <c r="C4" s="4">
        <f>C14</f>
        <v>41725</v>
      </c>
    </row>
    <row r="5" spans="1:3" ht="18" thickBot="1">
      <c r="A5" s="3" t="s">
        <v>32</v>
      </c>
      <c r="B5" s="4">
        <f>(B3+B4)/2</f>
        <v>47008</v>
      </c>
      <c r="C5" s="4">
        <f>(C3+C4)/2</f>
        <v>38254</v>
      </c>
    </row>
    <row r="6" spans="1:3" ht="18" thickBot="1">
      <c r="A6" s="40" t="s">
        <v>33</v>
      </c>
      <c r="B6" s="41">
        <f>B2/B5</f>
        <v>7.5753063308373045E-2</v>
      </c>
      <c r="C6" s="41">
        <f>C2/C5</f>
        <v>0.62840487269305167</v>
      </c>
    </row>
    <row r="7" spans="1:3" ht="18" thickBot="1">
      <c r="A7" s="40" t="s">
        <v>34</v>
      </c>
      <c r="B7" s="41">
        <f>B2/B3</f>
        <v>7.4782645218194804E-2</v>
      </c>
      <c r="C7" s="41">
        <f>C2/C3</f>
        <v>0.69111347497340658</v>
      </c>
    </row>
    <row r="8" spans="1:3">
      <c r="A8" s="62" t="s">
        <v>94</v>
      </c>
      <c r="B8" s="62"/>
      <c r="C8" s="62"/>
    </row>
    <row r="9" spans="1:3">
      <c r="A9" s="38" t="str">
        <f>'Balance Sheet LIabilities'!A24</f>
        <v>Shareholders' equity</v>
      </c>
      <c r="B9" s="39">
        <f>'Balance Sheet LIabilities'!B24+'Balance Sheet LIabilities'!B25</f>
        <v>61445</v>
      </c>
      <c r="C9" s="39">
        <f>'Balance Sheet LIabilities'!C24+'Balance Sheet LIabilities'!C25</f>
        <v>1562</v>
      </c>
    </row>
    <row r="10" spans="1:3" ht="17">
      <c r="A10" s="9" t="s">
        <v>52</v>
      </c>
      <c r="B10" s="39">
        <f>'Balance Sheet LIabilities'!B15+'Balance Sheet LIabilities'!B6+'Balance Sheet LIabilities'!B7</f>
        <v>43827</v>
      </c>
      <c r="C10" s="39">
        <f>'Balance Sheet LIabilities'!C15+'Balance Sheet LIabilities'!C6+'Balance Sheet LIabilities'!C7</f>
        <v>43193</v>
      </c>
    </row>
    <row r="11" spans="1:3" ht="17">
      <c r="A11" s="9" t="s">
        <v>53</v>
      </c>
      <c r="B11" s="39">
        <f>'Balance Sheet LIabilities'!B16+'Balance Sheet LIabilities'!B9</f>
        <v>1412</v>
      </c>
      <c r="C11" s="39">
        <f>'Balance Sheet LIabilities'!C16+'Balance Sheet LIabilities'!C9</f>
        <v>7171</v>
      </c>
    </row>
    <row r="12" spans="1:3" ht="17">
      <c r="A12" s="9" t="s">
        <v>54</v>
      </c>
      <c r="B12" s="39">
        <f>'Balance Sheet'!B9</f>
        <v>6587</v>
      </c>
      <c r="C12" s="39">
        <f>'Balance Sheet'!C9</f>
        <v>2757</v>
      </c>
    </row>
    <row r="13" spans="1:3" ht="17">
      <c r="A13" s="9" t="s">
        <v>55</v>
      </c>
      <c r="B13" s="39">
        <f>'Balance Sheet'!B4</f>
        <v>53699</v>
      </c>
      <c r="C13" s="39">
        <f>'Balance Sheet'!C4</f>
        <v>7444</v>
      </c>
    </row>
    <row r="14" spans="1:3" ht="17">
      <c r="A14" s="12" t="s">
        <v>51</v>
      </c>
      <c r="B14" s="42">
        <f>B9+B10+B11-B12-B13</f>
        <v>46398</v>
      </c>
      <c r="C14" s="42">
        <f>C9+C10+C11-C12-C13</f>
        <v>41725</v>
      </c>
    </row>
  </sheetData>
  <mergeCells count="1">
    <mergeCell ref="A8:C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EEBC3-40D9-5E4E-9F42-D5FAE8999080}">
  <dimension ref="A1:C7"/>
  <sheetViews>
    <sheetView workbookViewId="0">
      <selection sqref="A1:C7"/>
    </sheetView>
  </sheetViews>
  <sheetFormatPr baseColWidth="10" defaultRowHeight="16"/>
  <cols>
    <col min="1" max="1" width="38.1640625" style="5" customWidth="1"/>
    <col min="2" max="3" width="17.33203125" style="5" customWidth="1"/>
  </cols>
  <sheetData>
    <row r="1" spans="1:3" s="17" customFormat="1" ht="18" thickBot="1">
      <c r="A1" s="19"/>
      <c r="B1" s="20" t="str">
        <f>'Return on capital'!B1</f>
        <v>RTX</v>
      </c>
      <c r="C1" s="20" t="s">
        <v>0</v>
      </c>
    </row>
    <row r="2" spans="1:3" ht="18" thickBot="1">
      <c r="A2" s="3" t="s">
        <v>56</v>
      </c>
      <c r="B2" s="4">
        <f>'Income Statement'!B17</f>
        <v>3195</v>
      </c>
      <c r="C2" s="4">
        <f>'Income Statement'!C15</f>
        <v>17105</v>
      </c>
    </row>
    <row r="3" spans="1:3" ht="18" thickBot="1">
      <c r="A3" s="3" t="s">
        <v>57</v>
      </c>
      <c r="B3" s="4">
        <v>72632</v>
      </c>
      <c r="C3" s="4">
        <v>-1696</v>
      </c>
    </row>
    <row r="4" spans="1:3" ht="18" thickBot="1">
      <c r="A4" s="3" t="s">
        <v>58</v>
      </c>
      <c r="B4" s="4">
        <f>'Balance Sheet LIabilities'!B24</f>
        <v>59798</v>
      </c>
      <c r="C4" s="4">
        <f>'Balance Sheet LIabilities'!C24</f>
        <v>1562</v>
      </c>
    </row>
    <row r="5" spans="1:3" ht="18" thickBot="1">
      <c r="A5" s="18" t="s">
        <v>59</v>
      </c>
      <c r="B5" s="43">
        <f>(B3+B4)/2</f>
        <v>66215</v>
      </c>
      <c r="C5" s="43">
        <f>(C3+C4)/2</f>
        <v>-67</v>
      </c>
    </row>
    <row r="6" spans="1:3" ht="18" thickBot="1">
      <c r="A6" s="44" t="s">
        <v>60</v>
      </c>
      <c r="B6" s="45">
        <f>B2/B5</f>
        <v>4.825190666767349E-2</v>
      </c>
      <c r="C6" s="46" t="s">
        <v>95</v>
      </c>
    </row>
    <row r="7" spans="1:3" ht="18" thickBot="1">
      <c r="A7" s="47" t="s">
        <v>61</v>
      </c>
      <c r="B7" s="48">
        <f>B2/B3</f>
        <v>4.3988875426809119E-2</v>
      </c>
      <c r="C7" s="49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AE806-5E6F-5444-9762-1388E8071B63}">
  <dimension ref="A1:C17"/>
  <sheetViews>
    <sheetView workbookViewId="0">
      <selection activeCell="H33" sqref="H33"/>
    </sheetView>
  </sheetViews>
  <sheetFormatPr baseColWidth="10" defaultRowHeight="16"/>
  <cols>
    <col min="1" max="1" width="34" style="5" customWidth="1"/>
    <col min="2" max="3" width="13.33203125" style="7" customWidth="1"/>
  </cols>
  <sheetData>
    <row r="1" spans="1:3" s="17" customFormat="1" ht="17">
      <c r="A1" s="53"/>
      <c r="B1" s="54" t="str">
        <f>'Return on Equity'!B1</f>
        <v>RTX</v>
      </c>
      <c r="C1" s="55" t="str">
        <f>'Return on Equity'!C1</f>
        <v>Home Depot</v>
      </c>
    </row>
    <row r="2" spans="1:3" ht="17">
      <c r="A2" s="9" t="s">
        <v>62</v>
      </c>
      <c r="B2" s="10">
        <f>'Income Statement'!B9</f>
        <v>3561</v>
      </c>
      <c r="C2" s="10">
        <f>'Income Statement'!C9</f>
        <v>24039</v>
      </c>
    </row>
    <row r="3" spans="1:3" ht="17">
      <c r="A3" s="9" t="s">
        <v>63</v>
      </c>
      <c r="B3" s="10">
        <f>'Income Statement'!B12</f>
        <v>1505</v>
      </c>
      <c r="C3" s="10">
        <f>'Income Statement'!C12</f>
        <v>1617</v>
      </c>
    </row>
    <row r="4" spans="1:3" ht="19" customHeight="1">
      <c r="A4" s="12" t="s">
        <v>64</v>
      </c>
      <c r="B4" s="56">
        <f>B2/B3</f>
        <v>2.3661129568106314</v>
      </c>
      <c r="C4" s="56">
        <f>C2/C3</f>
        <v>14.866419294990724</v>
      </c>
    </row>
    <row r="5" spans="1:3" ht="19" customHeight="1">
      <c r="A5" s="51"/>
      <c r="B5" s="50"/>
      <c r="C5" s="52"/>
    </row>
    <row r="6" spans="1:3" ht="17">
      <c r="A6" s="9" t="s">
        <v>62</v>
      </c>
      <c r="B6" s="10">
        <f>B2</f>
        <v>3561</v>
      </c>
      <c r="C6" s="10">
        <f>C2</f>
        <v>24039</v>
      </c>
    </row>
    <row r="7" spans="1:3" ht="17">
      <c r="A7" s="9" t="s">
        <v>65</v>
      </c>
      <c r="B7" s="10">
        <v>463</v>
      </c>
      <c r="C7" s="10">
        <v>1169</v>
      </c>
    </row>
    <row r="8" spans="1:3" ht="17">
      <c r="A8" s="9" t="s">
        <v>66</v>
      </c>
      <c r="B8" s="10">
        <f>B3</f>
        <v>1505</v>
      </c>
      <c r="C8" s="10">
        <f>C3</f>
        <v>1617</v>
      </c>
    </row>
    <row r="9" spans="1:3" ht="17">
      <c r="A9" s="12" t="s">
        <v>67</v>
      </c>
      <c r="B9" s="56">
        <f>B6/(B7+B8)</f>
        <v>1.8094512195121952</v>
      </c>
      <c r="C9" s="56">
        <f>C6/(C7+C8)</f>
        <v>8.6284996410624544</v>
      </c>
    </row>
    <row r="10" spans="1:3">
      <c r="A10" s="51"/>
      <c r="B10" s="50"/>
      <c r="C10" s="52"/>
    </row>
    <row r="11" spans="1:3" ht="17">
      <c r="A11" s="9" t="s">
        <v>68</v>
      </c>
      <c r="B11" s="10">
        <f>B6+4211</f>
        <v>7772</v>
      </c>
      <c r="C11" s="10">
        <f>C6+'Income Statement'!C6</f>
        <v>26494</v>
      </c>
    </row>
    <row r="12" spans="1:3" ht="17">
      <c r="A12" s="9" t="s">
        <v>69</v>
      </c>
      <c r="B12" s="10">
        <f>B7+B8</f>
        <v>1968</v>
      </c>
      <c r="C12" s="10">
        <f>C7+C8</f>
        <v>2786</v>
      </c>
    </row>
    <row r="13" spans="1:3" ht="17">
      <c r="A13" s="12" t="s">
        <v>70</v>
      </c>
      <c r="B13" s="56">
        <f>B11/B12</f>
        <v>3.9491869918699187</v>
      </c>
      <c r="C13" s="56">
        <f>C11/C12</f>
        <v>9.5096913137114143</v>
      </c>
    </row>
    <row r="14" spans="1:3">
      <c r="A14" s="51"/>
      <c r="B14" s="50"/>
      <c r="C14" s="52"/>
    </row>
    <row r="15" spans="1:3" ht="17">
      <c r="A15" s="9" t="s">
        <v>71</v>
      </c>
      <c r="B15" s="10">
        <v>7883</v>
      </c>
      <c r="C15" s="10">
        <v>14615</v>
      </c>
    </row>
    <row r="16" spans="1:3" ht="17">
      <c r="A16" s="9" t="s">
        <v>72</v>
      </c>
      <c r="B16" s="10">
        <v>2415</v>
      </c>
      <c r="C16" s="10">
        <v>3119</v>
      </c>
    </row>
    <row r="17" spans="1:3" ht="17">
      <c r="A17" s="12" t="s">
        <v>73</v>
      </c>
      <c r="B17" s="56">
        <f>B15/B16</f>
        <v>3.2641821946169771</v>
      </c>
      <c r="C17" s="56">
        <f>C15/C16</f>
        <v>4.6857967297210648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9E28-7596-DC47-A8EC-67A8177795A9}">
  <dimension ref="A1:C14"/>
  <sheetViews>
    <sheetView tabSelected="1" workbookViewId="0">
      <selection activeCell="B44" sqref="B44"/>
    </sheetView>
  </sheetViews>
  <sheetFormatPr baseColWidth="10" defaultRowHeight="16"/>
  <cols>
    <col min="1" max="1" width="40" style="5" customWidth="1"/>
    <col min="2" max="2" width="17.5" style="7" customWidth="1"/>
    <col min="3" max="3" width="14" style="7" bestFit="1" customWidth="1"/>
  </cols>
  <sheetData>
    <row r="1" spans="1:3" ht="17">
      <c r="A1" s="59"/>
      <c r="B1" s="60" t="str">
        <f>'Interest &amp; Fixed Charge Coverag'!B1</f>
        <v>RTX</v>
      </c>
      <c r="C1" s="60" t="s">
        <v>0</v>
      </c>
    </row>
    <row r="2" spans="1:3" ht="17">
      <c r="A2" s="9" t="s">
        <v>83</v>
      </c>
      <c r="B2" s="10">
        <f>'Balance Sheet LIabilities'!B15</f>
        <v>42355</v>
      </c>
      <c r="C2" s="10">
        <f>'Balance Sheet LIabilities'!C15</f>
        <v>41962</v>
      </c>
    </row>
    <row r="3" spans="1:3" ht="17">
      <c r="A3" s="9" t="s">
        <v>96</v>
      </c>
      <c r="B3" s="10">
        <f>'Balance Sheet LIabilities'!B6+'Balance Sheet LIabilities'!B7</f>
        <v>1472</v>
      </c>
      <c r="C3" s="10">
        <f>'Balance Sheet LIabilities'!C6+'Balance Sheet LIabilities'!C7</f>
        <v>1231</v>
      </c>
    </row>
    <row r="4" spans="1:3" ht="17">
      <c r="A4" s="9" t="s">
        <v>75</v>
      </c>
      <c r="B4" s="10">
        <f>'Balance Sheet LIabilities'!B16</f>
        <v>1412</v>
      </c>
      <c r="C4" s="10">
        <f>'Balance Sheet LIabilities'!C16</f>
        <v>6226</v>
      </c>
    </row>
    <row r="5" spans="1:3" ht="17">
      <c r="A5" s="9" t="s">
        <v>76</v>
      </c>
      <c r="B5" s="10">
        <f>'Balance Sheet LIabilities'!B9</f>
        <v>0</v>
      </c>
      <c r="C5" s="10">
        <f>'Balance Sheet LIabilities'!C9</f>
        <v>945</v>
      </c>
    </row>
    <row r="6" spans="1:3" ht="17">
      <c r="A6" s="9" t="s">
        <v>74</v>
      </c>
      <c r="B6" s="10">
        <f>'Balance Sheet LIabilities'!B24+'Balance Sheet LIabilities'!B25</f>
        <v>61445</v>
      </c>
      <c r="C6" s="10">
        <f>'Balance Sheet LIabilities'!C24+'Balance Sheet LIabilities'!C25</f>
        <v>1562</v>
      </c>
    </row>
    <row r="7" spans="1:3" ht="17">
      <c r="A7" s="12" t="s">
        <v>97</v>
      </c>
      <c r="B7" s="57">
        <f>(B2+B4)/B6</f>
        <v>0.71229554886483848</v>
      </c>
      <c r="C7" s="57">
        <f>(C2+C4)/C6</f>
        <v>30.850192061459666</v>
      </c>
    </row>
    <row r="8" spans="1:3" ht="17">
      <c r="A8" s="12" t="s">
        <v>98</v>
      </c>
      <c r="B8" s="57">
        <f>(B2+B4)/(B2+B4+B6)</f>
        <v>0.41598867049386001</v>
      </c>
      <c r="C8" s="57">
        <f>(C2+C4)/(C2+C4+C6)</f>
        <v>0.96860301507537694</v>
      </c>
    </row>
    <row r="9" spans="1:3" ht="17">
      <c r="A9" s="12" t="s">
        <v>78</v>
      </c>
      <c r="B9" s="57">
        <f>SUM(B2:B5)/B6</f>
        <v>0.73625193262267064</v>
      </c>
      <c r="C9" s="57">
        <f>SUM(C2:C5)/C6</f>
        <v>32.243277848911653</v>
      </c>
    </row>
    <row r="10" spans="1:3" ht="17">
      <c r="A10" s="12" t="s">
        <v>99</v>
      </c>
      <c r="B10" s="57">
        <f>SUM(B2:B5)/(SUM(B2:B6))</f>
        <v>0.42404671740842115</v>
      </c>
      <c r="C10" s="57">
        <f>SUM(C2:C5)/(SUM(C2:C6))</f>
        <v>0.96991873050109767</v>
      </c>
    </row>
    <row r="11" spans="1:3">
      <c r="A11" s="18"/>
    </row>
    <row r="12" spans="1:3" ht="17">
      <c r="A12" s="9" t="s">
        <v>77</v>
      </c>
      <c r="B12" s="61">
        <v>120930</v>
      </c>
      <c r="C12" s="61">
        <v>363720</v>
      </c>
    </row>
    <row r="13" spans="1:3" ht="17">
      <c r="A13" s="12" t="s">
        <v>80</v>
      </c>
      <c r="B13" s="58">
        <f>SUM(B2:B5)/B12</f>
        <v>0.3740924501777888</v>
      </c>
      <c r="C13" s="58">
        <f>SUM(C2:C5)/C12</f>
        <v>0.13846915209501814</v>
      </c>
    </row>
    <row r="14" spans="1:3" ht="17">
      <c r="A14" s="12" t="s">
        <v>79</v>
      </c>
      <c r="B14" s="58">
        <f>SUM(B2:B5)/(SUM(B2:B5)+B12)</f>
        <v>0.27224692933098232</v>
      </c>
      <c r="C14" s="58">
        <f>SUM(C2:C5)/(SUM(C2:C5)+C12)</f>
        <v>0.12162749587040311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Balance Sheet</vt:lpstr>
      <vt:lpstr>Balance Sheet LIabilities</vt:lpstr>
      <vt:lpstr>Income Statement</vt:lpstr>
      <vt:lpstr>Return on capital</vt:lpstr>
      <vt:lpstr>Return on Equity</vt:lpstr>
      <vt:lpstr>Interest &amp; Fixed Charge Coverag</vt:lpstr>
      <vt:lpstr>Debt ratios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2024-02-12T01:57:53Z</dcterms:created>
  <dcterms:modified xsi:type="dcterms:W3CDTF">2025-01-24T21:04:02Z</dcterms:modified>
</cp:coreProperties>
</file>