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chartsheets/sheet1.xml" ContentType="application/vnd.openxmlformats-officedocument.spreadsheetml.chart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drawings/drawing1.xml" ContentType="application/vnd.openxmlformats-officedocument.drawing+xml"/>
  <Override PartName="/xl/comments2.xml" ContentType="application/vnd.openxmlformats-officedocument.spreadsheetml.comments+xml"/>
  <Override PartName="/xl/tables/table1.xml" ContentType="application/vnd.openxmlformats-officedocument.spreadsheetml.table+xml"/>
  <Override PartName="/xl/comments3.xml" ContentType="application/vnd.openxmlformats-officedocument.spreadsheetml.comments+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mc:AlternateContent xmlns:mc="http://schemas.openxmlformats.org/markup-compatibility/2006">
    <mc:Choice Requires="x15">
      <x15ac:absPath xmlns:x15ac="http://schemas.microsoft.com/office/spreadsheetml/2010/11/ac" url="/Users/Shared/Previously Relocated Items/Security/All My Stuff/Home Page 2002/pc/inv4ed/"/>
    </mc:Choice>
  </mc:AlternateContent>
  <xr:revisionPtr revIDLastSave="0" documentId="13_ncr:1_{0352DCCA-26E0-CC49-AC39-AFBA920812C5}" xr6:coauthVersionLast="47" xr6:coauthVersionMax="47" xr10:uidLastSave="{00000000-0000-0000-0000-000000000000}"/>
  <bookViews>
    <workbookView xWindow="5820" yWindow="500" windowWidth="29080" windowHeight="23500" activeTab="2" xr2:uid="{00000000-000D-0000-FFFF-FFFF00000000}"/>
  </bookViews>
  <sheets>
    <sheet name="READ ME 1ST" sheetId="8" r:id="rId1"/>
    <sheet name="FAQs" sheetId="9" r:id="rId2"/>
    <sheet name="Inputs" sheetId="4" r:id="rId3"/>
    <sheet name="Optimal CS Worksheet" sheetId="3" r:id="rId4"/>
    <sheet name="Marginal tax rate by country" sheetId="12" r:id="rId5"/>
    <sheet name="Operating leases" sheetId="10" r:id="rId6"/>
    <sheet name="Default Spreads and Ratios" sheetId="5" r:id="rId7"/>
    <sheet name="ERP Calculator" sheetId="17" r:id="rId8"/>
    <sheet name="Country ERP " sheetId="16" r:id="rId9"/>
    <sheet name="Repurchase price Worksheet" sheetId="14" r:id="rId10"/>
    <sheet name="Value&amp;WACC Chart" sheetId="20" r:id="rId11"/>
    <sheet name="Summary Table" sheetId="2" r:id="rId12"/>
    <sheet name="Input choices page" sheetId="11" r:id="rId13"/>
    <sheet name="Sheet1" sheetId="15" r:id="rId14"/>
  </sheets>
  <definedNames>
    <definedName name="solver_opt" localSheetId="3" hidden="1">'Optimal CS Worksheet'!#REF!</definedName>
  </definedName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49" i="3" l="1"/>
  <c r="J49" i="3"/>
  <c r="I49" i="3"/>
  <c r="H49" i="3"/>
  <c r="G49" i="3"/>
  <c r="F49" i="3"/>
  <c r="E49" i="3"/>
  <c r="D49" i="3"/>
  <c r="C49" i="3"/>
  <c r="B38" i="4"/>
  <c r="B23" i="4"/>
  <c r="B12" i="4"/>
  <c r="B11" i="4"/>
  <c r="D195" i="16"/>
  <c r="D194" i="16"/>
  <c r="D193" i="16"/>
  <c r="D192" i="16"/>
  <c r="D191" i="16"/>
  <c r="D190" i="16"/>
  <c r="D189" i="16"/>
  <c r="D188" i="16"/>
  <c r="D187" i="16"/>
  <c r="D186" i="16"/>
  <c r="D185" i="16"/>
  <c r="D184" i="16"/>
  <c r="D183" i="16"/>
  <c r="D182" i="16"/>
  <c r="B210" i="16"/>
  <c r="B209" i="16"/>
  <c r="B208" i="16"/>
  <c r="B207" i="16"/>
  <c r="B206" i="16"/>
  <c r="B205" i="16"/>
  <c r="B204" i="16"/>
  <c r="B203" i="16"/>
  <c r="B202" i="16"/>
  <c r="B201" i="16"/>
  <c r="D181" i="16"/>
  <c r="D180" i="16"/>
  <c r="D179" i="16"/>
  <c r="D178" i="16"/>
  <c r="D177" i="16"/>
  <c r="D176" i="16"/>
  <c r="D175" i="16"/>
  <c r="D174" i="16"/>
  <c r="D173" i="16"/>
  <c r="D172" i="16"/>
  <c r="D171" i="16"/>
  <c r="D170" i="16"/>
  <c r="D169" i="16"/>
  <c r="D168" i="16"/>
  <c r="D167" i="16"/>
  <c r="D166" i="16"/>
  <c r="D165" i="16"/>
  <c r="D164" i="16"/>
  <c r="D163" i="16"/>
  <c r="D162" i="16"/>
  <c r="D161" i="16"/>
  <c r="D160" i="16"/>
  <c r="D159" i="16"/>
  <c r="D158" i="16"/>
  <c r="D157" i="16"/>
  <c r="D156" i="16"/>
  <c r="D155" i="16"/>
  <c r="D154" i="16"/>
  <c r="D153" i="16"/>
  <c r="D152" i="16"/>
  <c r="D151" i="16"/>
  <c r="D150" i="16"/>
  <c r="D149" i="16"/>
  <c r="D148" i="16"/>
  <c r="D147" i="16"/>
  <c r="D146" i="16"/>
  <c r="D145" i="16"/>
  <c r="D144" i="16"/>
  <c r="D143" i="16"/>
  <c r="D142" i="16"/>
  <c r="D141" i="16"/>
  <c r="D140" i="16"/>
  <c r="D139" i="16"/>
  <c r="D138" i="16"/>
  <c r="D137" i="16"/>
  <c r="D136" i="16"/>
  <c r="D135" i="16"/>
  <c r="D134" i="16"/>
  <c r="D133" i="16"/>
  <c r="D132" i="16"/>
  <c r="D131" i="16"/>
  <c r="D130" i="16"/>
  <c r="D129" i="16"/>
  <c r="D128" i="16"/>
  <c r="D127" i="16"/>
  <c r="D126" i="16"/>
  <c r="D125" i="16"/>
  <c r="D124" i="16"/>
  <c r="D123" i="16"/>
  <c r="D122" i="16"/>
  <c r="D121" i="16"/>
  <c r="D120" i="16"/>
  <c r="D119" i="16"/>
  <c r="D118" i="16"/>
  <c r="F117" i="16"/>
  <c r="E117" i="16"/>
  <c r="D117" i="16"/>
  <c r="C117" i="16"/>
  <c r="D116" i="16"/>
  <c r="D115" i="16"/>
  <c r="D114" i="16"/>
  <c r="D113" i="16"/>
  <c r="D112" i="16"/>
  <c r="D111" i="16"/>
  <c r="D110" i="16"/>
  <c r="D109" i="16"/>
  <c r="D108" i="16"/>
  <c r="D107" i="16"/>
  <c r="D106" i="16"/>
  <c r="D105" i="16"/>
  <c r="D104" i="16"/>
  <c r="D103" i="16"/>
  <c r="D102" i="16"/>
  <c r="D101" i="16"/>
  <c r="D100" i="16"/>
  <c r="D99" i="16"/>
  <c r="D98" i="16"/>
  <c r="D97" i="16"/>
  <c r="D96" i="16"/>
  <c r="D95" i="16"/>
  <c r="D94" i="16"/>
  <c r="D93" i="16"/>
  <c r="D92" i="16"/>
  <c r="D91" i="16"/>
  <c r="D90" i="16"/>
  <c r="D89" i="16"/>
  <c r="D88" i="16"/>
  <c r="D87" i="16"/>
  <c r="D86" i="16"/>
  <c r="D85" i="16"/>
  <c r="D84" i="16"/>
  <c r="D83" i="16"/>
  <c r="D82" i="16"/>
  <c r="D81" i="16"/>
  <c r="D80" i="16"/>
  <c r="D79" i="16"/>
  <c r="D78" i="16"/>
  <c r="D77" i="16"/>
  <c r="D76" i="16"/>
  <c r="D75" i="16"/>
  <c r="D74" i="16"/>
  <c r="D73" i="16"/>
  <c r="F72" i="16"/>
  <c r="E72" i="16"/>
  <c r="D72" i="16"/>
  <c r="C72" i="16"/>
  <c r="D71" i="16"/>
  <c r="D70" i="16"/>
  <c r="D69" i="16"/>
  <c r="D68" i="16"/>
  <c r="D67" i="16"/>
  <c r="D66" i="16"/>
  <c r="D65" i="16"/>
  <c r="D64" i="16"/>
  <c r="D63" i="16"/>
  <c r="D62" i="16"/>
  <c r="D61" i="16"/>
  <c r="D60" i="16"/>
  <c r="D59" i="16"/>
  <c r="D58" i="16"/>
  <c r="D57" i="16"/>
  <c r="D56" i="16"/>
  <c r="D55" i="16"/>
  <c r="D54" i="16"/>
  <c r="D53" i="16"/>
  <c r="D52" i="16"/>
  <c r="D51" i="16"/>
  <c r="D50" i="16"/>
  <c r="D49" i="16"/>
  <c r="D48" i="16"/>
  <c r="D47" i="16"/>
  <c r="D46" i="16"/>
  <c r="D45" i="16"/>
  <c r="D44" i="16"/>
  <c r="D43" i="16"/>
  <c r="D42" i="16"/>
  <c r="D41" i="16"/>
  <c r="D40" i="16"/>
  <c r="D39" i="16"/>
  <c r="D38" i="16"/>
  <c r="D37" i="16"/>
  <c r="D36" i="16"/>
  <c r="D35" i="16"/>
  <c r="D34" i="16"/>
  <c r="D33" i="16"/>
  <c r="D32" i="16"/>
  <c r="D31" i="16"/>
  <c r="D30" i="16"/>
  <c r="D29" i="16"/>
  <c r="D28" i="16"/>
  <c r="D27" i="16"/>
  <c r="D26" i="16"/>
  <c r="D25" i="16"/>
  <c r="D24" i="16"/>
  <c r="D23" i="16"/>
  <c r="D22" i="16"/>
  <c r="D21" i="16"/>
  <c r="D20" i="16"/>
  <c r="D19" i="16"/>
  <c r="D18" i="16"/>
  <c r="D17" i="16"/>
  <c r="D16" i="16"/>
  <c r="D15" i="16"/>
  <c r="D14" i="16"/>
  <c r="D13" i="16"/>
  <c r="D12" i="16"/>
  <c r="D11" i="16"/>
  <c r="D10" i="16"/>
  <c r="D9" i="16"/>
  <c r="D8" i="16"/>
  <c r="D7" i="16"/>
  <c r="D6" i="16"/>
  <c r="D5" i="16"/>
  <c r="B15" i="4"/>
  <c r="G32" i="3"/>
  <c r="F32" i="3"/>
  <c r="G31" i="3"/>
  <c r="F31" i="3"/>
  <c r="E40" i="3"/>
  <c r="E39" i="3"/>
  <c r="E38" i="3"/>
  <c r="E37" i="3"/>
  <c r="E36" i="3"/>
  <c r="E35" i="3"/>
  <c r="E34" i="3"/>
  <c r="E33" i="3"/>
  <c r="E32" i="3"/>
  <c r="E31" i="3"/>
  <c r="E30" i="3"/>
  <c r="E29" i="3"/>
  <c r="E28" i="3"/>
  <c r="E27" i="3"/>
  <c r="E26" i="3"/>
  <c r="D26" i="3"/>
  <c r="D39" i="3"/>
  <c r="D38" i="3"/>
  <c r="D37" i="3"/>
  <c r="D36" i="3"/>
  <c r="D35" i="3"/>
  <c r="D34" i="3"/>
  <c r="D32" i="3"/>
  <c r="D33" i="3"/>
  <c r="D31" i="3"/>
  <c r="D30" i="3"/>
  <c r="D29" i="3"/>
  <c r="D28" i="3"/>
  <c r="D27" i="3"/>
  <c r="F26" i="3"/>
  <c r="A38" i="2"/>
  <c r="A37" i="2"/>
  <c r="A36" i="2"/>
  <c r="A35" i="2"/>
  <c r="A34" i="2"/>
  <c r="A33" i="2"/>
  <c r="A32" i="2"/>
  <c r="A31" i="2"/>
  <c r="A30" i="2"/>
  <c r="A29" i="2"/>
  <c r="A28" i="2"/>
  <c r="E97" i="3"/>
  <c r="D97" i="3"/>
  <c r="E96" i="3"/>
  <c r="D96" i="3"/>
  <c r="E95" i="3"/>
  <c r="D95" i="3"/>
  <c r="E94" i="3"/>
  <c r="D94" i="3"/>
  <c r="E93" i="3"/>
  <c r="D93" i="3"/>
  <c r="E92" i="3"/>
  <c r="D92" i="3"/>
  <c r="E91" i="3"/>
  <c r="D91" i="3"/>
  <c r="E90" i="3"/>
  <c r="D90" i="3"/>
  <c r="E89" i="3"/>
  <c r="D89" i="3"/>
  <c r="E88" i="3"/>
  <c r="D88" i="3"/>
  <c r="E87" i="3"/>
  <c r="D87" i="3"/>
  <c r="E86" i="3"/>
  <c r="D86" i="3"/>
  <c r="E85" i="3"/>
  <c r="D85" i="3"/>
  <c r="E84" i="3"/>
  <c r="D84" i="3"/>
  <c r="E83" i="3"/>
  <c r="D83" i="3"/>
  <c r="D40" i="3" s="1"/>
  <c r="C12" i="17" l="1"/>
  <c r="C11" i="17"/>
  <c r="C10" i="17"/>
  <c r="C9" i="17"/>
  <c r="C8" i="17"/>
  <c r="C7" i="17"/>
  <c r="C6" i="17"/>
  <c r="C5" i="17"/>
  <c r="E5" i="17" s="1"/>
  <c r="C4" i="17"/>
  <c r="C3" i="17"/>
  <c r="C25" i="17"/>
  <c r="C23" i="17"/>
  <c r="C22" i="17"/>
  <c r="C21" i="17"/>
  <c r="C20" i="17"/>
  <c r="C18" i="17"/>
  <c r="A26" i="17"/>
  <c r="A25" i="17"/>
  <c r="A24" i="17"/>
  <c r="A23" i="17"/>
  <c r="A22" i="17"/>
  <c r="A21" i="17"/>
  <c r="A20" i="17"/>
  <c r="A19" i="17"/>
  <c r="A18" i="17"/>
  <c r="B29" i="17"/>
  <c r="D29" i="17" s="1"/>
  <c r="B15" i="17"/>
  <c r="D14" i="17"/>
  <c r="E14" i="17" s="1"/>
  <c r="D13" i="17"/>
  <c r="E13" i="17" s="1"/>
  <c r="D12" i="17"/>
  <c r="D11" i="17"/>
  <c r="D10" i="17"/>
  <c r="D9" i="17"/>
  <c r="D8" i="17"/>
  <c r="D7" i="17"/>
  <c r="D6" i="17"/>
  <c r="D5" i="17"/>
  <c r="D4" i="17"/>
  <c r="D3" i="17"/>
  <c r="C26" i="17"/>
  <c r="C24" i="17"/>
  <c r="C19" i="17"/>
  <c r="D21" i="17" l="1"/>
  <c r="E21" i="17" s="1"/>
  <c r="D19" i="17"/>
  <c r="E19" i="17" s="1"/>
  <c r="D20" i="17"/>
  <c r="E20" i="17" s="1"/>
  <c r="D27" i="17"/>
  <c r="E27" i="17" s="1"/>
  <c r="D23" i="17"/>
  <c r="D24" i="17"/>
  <c r="E24" i="17" s="1"/>
  <c r="D18" i="17"/>
  <c r="E18" i="17" s="1"/>
  <c r="D25" i="17"/>
  <c r="E25" i="17" s="1"/>
  <c r="D28" i="17"/>
  <c r="E28" i="17" s="1"/>
  <c r="D22" i="17"/>
  <c r="E22" i="17" s="1"/>
  <c r="D26" i="17"/>
  <c r="E26" i="17" s="1"/>
  <c r="E6" i="17"/>
  <c r="E10" i="17"/>
  <c r="D15" i="17"/>
  <c r="E4" i="17"/>
  <c r="E12" i="17"/>
  <c r="E3" i="17"/>
  <c r="E7" i="17"/>
  <c r="E11" i="17"/>
  <c r="E9" i="17"/>
  <c r="E8" i="17"/>
  <c r="E23" i="17"/>
  <c r="E29" i="17" l="1"/>
  <c r="E15" i="17"/>
  <c r="D20" i="10" l="1"/>
  <c r="C4" i="3"/>
  <c r="F42" i="3" s="1"/>
  <c r="C5" i="3"/>
  <c r="B21" i="4" s="1"/>
  <c r="F4" i="3" s="1"/>
  <c r="E14" i="3" s="1"/>
  <c r="C6" i="3"/>
  <c r="F7" i="3"/>
  <c r="G93" i="3" s="1"/>
  <c r="C8" i="3"/>
  <c r="F8" i="3"/>
  <c r="K29" i="3" s="1"/>
  <c r="I6" i="3"/>
  <c r="B44" i="3" s="1"/>
  <c r="B13" i="14"/>
  <c r="B3" i="14"/>
  <c r="B27" i="10"/>
  <c r="B28" i="10"/>
  <c r="A28" i="10"/>
  <c r="B29" i="10"/>
  <c r="A29" i="10"/>
  <c r="B30" i="10"/>
  <c r="A30" i="10"/>
  <c r="B31" i="10"/>
  <c r="A31" i="10"/>
  <c r="D23" i="10"/>
  <c r="B32" i="10" s="1"/>
  <c r="D21" i="10"/>
  <c r="F83" i="3"/>
  <c r="E34" i="5"/>
  <c r="F84" i="3"/>
  <c r="E35" i="5"/>
  <c r="F85" i="3"/>
  <c r="H85" i="3"/>
  <c r="F86" i="3"/>
  <c r="H86" i="3"/>
  <c r="F87" i="3"/>
  <c r="E38" i="5"/>
  <c r="F88" i="3"/>
  <c r="G35" i="3"/>
  <c r="H88" i="3"/>
  <c r="F89" i="3"/>
  <c r="H89" i="3"/>
  <c r="F90" i="3"/>
  <c r="H90" i="3"/>
  <c r="F91" i="3"/>
  <c r="E42" i="5"/>
  <c r="H91" i="3"/>
  <c r="F92" i="3"/>
  <c r="H92" i="3"/>
  <c r="F93" i="3"/>
  <c r="H93" i="3"/>
  <c r="F94" i="3"/>
  <c r="E45" i="5"/>
  <c r="F95" i="3"/>
  <c r="E46" i="5"/>
  <c r="F96" i="3"/>
  <c r="H96" i="3"/>
  <c r="F97" i="3"/>
  <c r="B65" i="3" s="1"/>
  <c r="D2" i="2" s="1"/>
  <c r="E15" i="2" s="1"/>
  <c r="G26" i="3"/>
  <c r="D15" i="2"/>
  <c r="B15" i="2"/>
  <c r="A24" i="2"/>
  <c r="A23" i="2"/>
  <c r="A22" i="2"/>
  <c r="A21" i="2"/>
  <c r="A20" i="2"/>
  <c r="A19" i="2"/>
  <c r="A18" i="2"/>
  <c r="A17" i="2"/>
  <c r="A16" i="2"/>
  <c r="A15" i="2"/>
  <c r="A2" i="3"/>
  <c r="F5" i="3"/>
  <c r="K28" i="3" s="1"/>
  <c r="E47" i="5"/>
  <c r="E43" i="5"/>
  <c r="E40" i="5"/>
  <c r="E39" i="5"/>
  <c r="E37" i="5"/>
  <c r="E36" i="5"/>
  <c r="F5" i="5"/>
  <c r="C2" i="5"/>
  <c r="A27" i="10"/>
  <c r="A32" i="10"/>
  <c r="A1" i="3"/>
  <c r="I7" i="3"/>
  <c r="B48" i="3"/>
  <c r="F27" i="3"/>
  <c r="G27" i="3"/>
  <c r="F28" i="3"/>
  <c r="F29" i="3"/>
  <c r="F30" i="3"/>
  <c r="F33" i="3"/>
  <c r="F34" i="3"/>
  <c r="G34" i="3"/>
  <c r="F35" i="3"/>
  <c r="F36" i="3"/>
  <c r="G36" i="3"/>
  <c r="F37" i="3"/>
  <c r="G37" i="3"/>
  <c r="F38" i="3"/>
  <c r="G38" i="3"/>
  <c r="F39" i="3"/>
  <c r="F40" i="3"/>
  <c r="G40" i="3"/>
  <c r="C48" i="3"/>
  <c r="D48" i="3"/>
  <c r="E48" i="3"/>
  <c r="F48" i="3"/>
  <c r="G48" i="3"/>
  <c r="H48" i="3"/>
  <c r="I48" i="3"/>
  <c r="J48" i="3"/>
  <c r="K48" i="3"/>
  <c r="B72" i="3"/>
  <c r="C72" i="3"/>
  <c r="D72" i="3"/>
  <c r="E72" i="3"/>
  <c r="F72" i="3"/>
  <c r="G72" i="3"/>
  <c r="H72" i="3"/>
  <c r="I72" i="3"/>
  <c r="J72" i="3"/>
  <c r="K72" i="3"/>
  <c r="B73" i="3"/>
  <c r="E44" i="5"/>
  <c r="H94" i="3"/>
  <c r="H83" i="3"/>
  <c r="G30" i="3"/>
  <c r="E48" i="5"/>
  <c r="H87" i="3"/>
  <c r="H97" i="3"/>
  <c r="H95" i="3"/>
  <c r="H84" i="3"/>
  <c r="G29" i="3"/>
  <c r="G39" i="3"/>
  <c r="G33" i="3"/>
  <c r="E41" i="5"/>
  <c r="G28" i="3"/>
  <c r="B42" i="3" l="1"/>
  <c r="G86" i="3"/>
  <c r="G85" i="3"/>
  <c r="M3" i="3"/>
  <c r="D67" i="3"/>
  <c r="E67" i="3"/>
  <c r="H67" i="3"/>
  <c r="K67" i="3"/>
  <c r="F67" i="3"/>
  <c r="G67" i="3"/>
  <c r="I67" i="3"/>
  <c r="J67" i="3"/>
  <c r="B67" i="3"/>
  <c r="C67" i="3"/>
  <c r="F44" i="3"/>
  <c r="G91" i="3"/>
  <c r="E16" i="3"/>
  <c r="E15" i="3"/>
  <c r="G84" i="3"/>
  <c r="G94" i="3"/>
  <c r="G96" i="3"/>
  <c r="G97" i="3"/>
  <c r="B66" i="3" s="1"/>
  <c r="G87" i="3"/>
  <c r="J44" i="3"/>
  <c r="G92" i="3"/>
  <c r="G90" i="3"/>
  <c r="G88" i="3"/>
  <c r="G89" i="3"/>
  <c r="G83" i="3"/>
  <c r="G95" i="3"/>
  <c r="E2" i="2" l="1"/>
  <c r="F15" i="2" s="1"/>
  <c r="J43" i="3" l="1"/>
  <c r="C17" i="10" l="1"/>
  <c r="C27" i="10" s="1"/>
  <c r="E17" i="3"/>
  <c r="C32" i="10" l="1"/>
  <c r="C28" i="10"/>
  <c r="C31" i="10"/>
  <c r="C30" i="10"/>
  <c r="C29" i="10"/>
  <c r="C33" i="10" l="1"/>
  <c r="F38" i="10" s="1"/>
  <c r="I5" i="3" s="1"/>
  <c r="J42" i="3" s="1"/>
  <c r="B54" i="3" s="1"/>
  <c r="C54" i="3" s="1"/>
  <c r="F36" i="10"/>
  <c r="F4" i="5"/>
  <c r="C7" i="3"/>
  <c r="B45" i="3" s="1"/>
  <c r="F37" i="10" l="1"/>
  <c r="I8" i="3" s="1"/>
  <c r="I4" i="3"/>
  <c r="F43" i="3" s="1"/>
  <c r="K25" i="3" s="1"/>
  <c r="J14" i="3"/>
  <c r="M4" i="3" s="1"/>
  <c r="B43" i="3"/>
  <c r="F3" i="5"/>
  <c r="D7" i="5" s="1"/>
  <c r="E12" i="3"/>
  <c r="E13" i="3"/>
  <c r="B60" i="3"/>
  <c r="G13" i="4"/>
  <c r="D9" i="5"/>
  <c r="D10" i="5" s="1"/>
  <c r="D8" i="5"/>
  <c r="D54" i="3"/>
  <c r="C60" i="3"/>
  <c r="B50" i="3"/>
  <c r="G16" i="4"/>
  <c r="E21" i="3"/>
  <c r="G12" i="4"/>
  <c r="M5" i="3"/>
  <c r="G14" i="4"/>
  <c r="J16" i="3"/>
  <c r="B6" i="14" l="1"/>
  <c r="H73" i="3"/>
  <c r="J73" i="3"/>
  <c r="B19" i="2"/>
  <c r="C56" i="3"/>
  <c r="C16" i="2" s="1"/>
  <c r="B16" i="2"/>
  <c r="E19" i="3"/>
  <c r="G15" i="4" s="1"/>
  <c r="B56" i="3"/>
  <c r="C15" i="2" s="1"/>
  <c r="B21" i="2"/>
  <c r="I73" i="3"/>
  <c r="B22" i="2"/>
  <c r="E73" i="3"/>
  <c r="B18" i="2"/>
  <c r="G73" i="3"/>
  <c r="B20" i="2"/>
  <c r="K26" i="3"/>
  <c r="K27" i="3"/>
  <c r="K30" i="3"/>
  <c r="F45" i="3" s="1"/>
  <c r="C73" i="3"/>
  <c r="E22" i="3"/>
  <c r="K73" i="3"/>
  <c r="B24" i="2"/>
  <c r="B23" i="2"/>
  <c r="E54" i="3"/>
  <c r="D60" i="3"/>
  <c r="B51" i="3"/>
  <c r="B74" i="3" s="1"/>
  <c r="M6" i="3"/>
  <c r="B2" i="2"/>
  <c r="B17" i="2"/>
  <c r="D73" i="3"/>
  <c r="F73" i="3" l="1"/>
  <c r="J15" i="3"/>
  <c r="J17" i="3" s="1"/>
  <c r="E20" i="3" s="1"/>
  <c r="I53" i="3"/>
  <c r="J53" i="3"/>
  <c r="H53" i="3"/>
  <c r="B53" i="3"/>
  <c r="B55" i="3" s="1"/>
  <c r="F53" i="3"/>
  <c r="F55" i="3" s="1"/>
  <c r="C53" i="3"/>
  <c r="C55" i="3" s="1"/>
  <c r="K53" i="3"/>
  <c r="D53" i="3"/>
  <c r="D55" i="3" s="1"/>
  <c r="E53" i="3"/>
  <c r="E55" i="3" s="1"/>
  <c r="G53" i="3"/>
  <c r="C2" i="2"/>
  <c r="B2" i="14"/>
  <c r="G17" i="4"/>
  <c r="E60" i="3"/>
  <c r="F54" i="3"/>
  <c r="C57" i="3" l="1"/>
  <c r="C68" i="3"/>
  <c r="G54" i="3"/>
  <c r="F60" i="3"/>
  <c r="B57" i="3"/>
  <c r="B68" i="3"/>
  <c r="B69" i="3" l="1"/>
  <c r="B75" i="3" s="1"/>
  <c r="B76" i="3" s="1"/>
  <c r="B78" i="3" s="1"/>
  <c r="F2" i="2"/>
  <c r="B58" i="3"/>
  <c r="B59" i="3" s="1"/>
  <c r="B61" i="3" s="1"/>
  <c r="G60" i="3"/>
  <c r="H54" i="3"/>
  <c r="F3" i="2"/>
  <c r="G16" i="2" s="1"/>
  <c r="C69" i="3"/>
  <c r="C50" i="3" s="1"/>
  <c r="C63" i="3"/>
  <c r="C58" i="3"/>
  <c r="C59" i="3" s="1"/>
  <c r="C61" i="3" s="1"/>
  <c r="C64" i="3" s="1"/>
  <c r="G55" i="3"/>
  <c r="C65" i="3" l="1"/>
  <c r="D3" i="2" s="1"/>
  <c r="E16" i="2" s="1"/>
  <c r="C66" i="3"/>
  <c r="C52" i="3"/>
  <c r="D16" i="2"/>
  <c r="B3" i="2"/>
  <c r="C51" i="3"/>
  <c r="C74" i="3" s="1"/>
  <c r="H60" i="3"/>
  <c r="I54" i="3"/>
  <c r="H55" i="3"/>
  <c r="G15" i="2"/>
  <c r="G2" i="2"/>
  <c r="I2" i="2"/>
  <c r="C29" i="2" s="1"/>
  <c r="H15" i="2" l="1"/>
  <c r="H2" i="2"/>
  <c r="B29" i="2" s="1"/>
  <c r="J54" i="3"/>
  <c r="I60" i="3"/>
  <c r="I55" i="3"/>
  <c r="C3" i="2"/>
  <c r="E3" i="2"/>
  <c r="C75" i="3"/>
  <c r="C76" i="3" s="1"/>
  <c r="C78" i="3" s="1"/>
  <c r="I3" i="2" l="1"/>
  <c r="C30" i="2" s="1"/>
  <c r="G3" i="2"/>
  <c r="H16" i="2" s="1"/>
  <c r="F16" i="2"/>
  <c r="J60" i="3"/>
  <c r="K54" i="3"/>
  <c r="J55" i="3"/>
  <c r="K60" i="3" l="1"/>
  <c r="K55" i="3"/>
  <c r="H3" i="2"/>
  <c r="B30" i="2" s="1"/>
  <c r="D56" i="3"/>
  <c r="D57" i="3" s="1"/>
  <c r="C17" i="2" l="1"/>
  <c r="D68" i="3"/>
  <c r="D58" i="3"/>
  <c r="D59" i="3" s="1"/>
  <c r="D61" i="3" s="1"/>
  <c r="D64" i="3" s="1"/>
  <c r="D63" i="3"/>
  <c r="D69" i="3" l="1"/>
  <c r="D50" i="3" s="1"/>
  <c r="F4" i="2"/>
  <c r="G17" i="2" s="1"/>
  <c r="D52" i="3"/>
  <c r="D66" i="3"/>
  <c r="D65" i="3"/>
  <c r="D4" i="2" s="1"/>
  <c r="E17" i="2" s="1"/>
  <c r="D17" i="2"/>
  <c r="B4" i="2" l="1"/>
  <c r="D51" i="3"/>
  <c r="D74" i="3" s="1"/>
  <c r="C4" i="2" s="1"/>
  <c r="E4" i="2"/>
  <c r="D75" i="3"/>
  <c r="D76" i="3" s="1"/>
  <c r="D78" i="3" s="1"/>
  <c r="I4" i="2" l="1"/>
  <c r="C31" i="2" s="1"/>
  <c r="F17" i="2"/>
  <c r="G4" i="2"/>
  <c r="H17" i="2" l="1"/>
  <c r="H4" i="2"/>
  <c r="B31" i="2" s="1"/>
  <c r="H12" i="4" l="1"/>
  <c r="H13" i="4"/>
  <c r="H14" i="4"/>
  <c r="H15" i="4"/>
  <c r="H16" i="4"/>
  <c r="H17" i="4"/>
  <c r="F12" i="3"/>
  <c r="G12" i="3"/>
  <c r="F13" i="3"/>
  <c r="G13" i="3"/>
  <c r="F14" i="3"/>
  <c r="G14" i="3"/>
  <c r="F15" i="3"/>
  <c r="G15" i="3"/>
  <c r="F17" i="3"/>
  <c r="G17" i="3"/>
  <c r="F19" i="3"/>
  <c r="G19" i="3"/>
  <c r="F21" i="3"/>
  <c r="G21" i="3"/>
  <c r="F22" i="3"/>
  <c r="G22" i="3"/>
  <c r="E50" i="3"/>
  <c r="F50" i="3"/>
  <c r="G50" i="3"/>
  <c r="H50" i="3"/>
  <c r="I50" i="3"/>
  <c r="J50" i="3"/>
  <c r="K50" i="3"/>
  <c r="E51" i="3"/>
  <c r="F51" i="3"/>
  <c r="G51" i="3"/>
  <c r="H51" i="3"/>
  <c r="I51" i="3"/>
  <c r="J51" i="3"/>
  <c r="K51" i="3"/>
  <c r="E52" i="3"/>
  <c r="F52" i="3"/>
  <c r="G52" i="3"/>
  <c r="H52" i="3"/>
  <c r="I52" i="3"/>
  <c r="J52" i="3"/>
  <c r="K52" i="3"/>
  <c r="E56" i="3"/>
  <c r="F56" i="3"/>
  <c r="G56" i="3"/>
  <c r="H56" i="3"/>
  <c r="I56" i="3"/>
  <c r="J56" i="3"/>
  <c r="K56" i="3"/>
  <c r="E57" i="3"/>
  <c r="F57" i="3"/>
  <c r="G57" i="3"/>
  <c r="H57" i="3"/>
  <c r="I57" i="3"/>
  <c r="J57" i="3"/>
  <c r="K57" i="3"/>
  <c r="E58" i="3"/>
  <c r="F58" i="3"/>
  <c r="G58" i="3"/>
  <c r="H58" i="3"/>
  <c r="I58" i="3"/>
  <c r="J58" i="3"/>
  <c r="K58" i="3"/>
  <c r="E59" i="3"/>
  <c r="F59" i="3"/>
  <c r="G59" i="3"/>
  <c r="H59" i="3"/>
  <c r="I59" i="3"/>
  <c r="J59" i="3"/>
  <c r="K59" i="3"/>
  <c r="E61" i="3"/>
  <c r="F61" i="3"/>
  <c r="G61" i="3"/>
  <c r="H61" i="3"/>
  <c r="I61" i="3"/>
  <c r="J61" i="3"/>
  <c r="K61" i="3"/>
  <c r="E63" i="3"/>
  <c r="F63" i="3"/>
  <c r="G63" i="3"/>
  <c r="H63" i="3"/>
  <c r="I63" i="3"/>
  <c r="J63" i="3"/>
  <c r="K63" i="3"/>
  <c r="E64" i="3"/>
  <c r="F64" i="3"/>
  <c r="G64" i="3"/>
  <c r="H64" i="3"/>
  <c r="I64" i="3"/>
  <c r="J64" i="3"/>
  <c r="K64" i="3"/>
  <c r="E65" i="3"/>
  <c r="F65" i="3"/>
  <c r="G65" i="3"/>
  <c r="H65" i="3"/>
  <c r="I65" i="3"/>
  <c r="J65" i="3"/>
  <c r="K65" i="3"/>
  <c r="E66" i="3"/>
  <c r="F66" i="3"/>
  <c r="G66" i="3"/>
  <c r="H66" i="3"/>
  <c r="I66" i="3"/>
  <c r="J66" i="3"/>
  <c r="K66" i="3"/>
  <c r="E68" i="3"/>
  <c r="F68" i="3"/>
  <c r="G68" i="3"/>
  <c r="H68" i="3"/>
  <c r="I68" i="3"/>
  <c r="J68" i="3"/>
  <c r="K68" i="3"/>
  <c r="E69" i="3"/>
  <c r="F69" i="3"/>
  <c r="G69" i="3"/>
  <c r="H69" i="3"/>
  <c r="I69" i="3"/>
  <c r="J69" i="3"/>
  <c r="K69" i="3"/>
  <c r="E74" i="3"/>
  <c r="F74" i="3"/>
  <c r="G74" i="3"/>
  <c r="H74" i="3"/>
  <c r="I74" i="3"/>
  <c r="J74" i="3"/>
  <c r="K74" i="3"/>
  <c r="E75" i="3"/>
  <c r="F75" i="3"/>
  <c r="G75" i="3"/>
  <c r="H75" i="3"/>
  <c r="I75" i="3"/>
  <c r="J75" i="3"/>
  <c r="K75" i="3"/>
  <c r="E76" i="3"/>
  <c r="F76" i="3"/>
  <c r="G76" i="3"/>
  <c r="H76" i="3"/>
  <c r="I76" i="3"/>
  <c r="J76" i="3"/>
  <c r="K76" i="3"/>
  <c r="B77" i="3"/>
  <c r="C77" i="3"/>
  <c r="D77" i="3"/>
  <c r="E77" i="3"/>
  <c r="F77" i="3"/>
  <c r="G77" i="3"/>
  <c r="H77" i="3"/>
  <c r="I77" i="3"/>
  <c r="J77" i="3"/>
  <c r="K77" i="3"/>
  <c r="E78" i="3"/>
  <c r="F78" i="3"/>
  <c r="G78" i="3"/>
  <c r="H78" i="3"/>
  <c r="I78" i="3"/>
  <c r="J78" i="3"/>
  <c r="K78" i="3"/>
  <c r="B7" i="14"/>
  <c r="B8" i="14"/>
  <c r="B9" i="14"/>
  <c r="B10" i="14"/>
  <c r="B12" i="14"/>
  <c r="B14" i="14"/>
  <c r="B15" i="14"/>
  <c r="B16" i="14"/>
  <c r="B17" i="14"/>
  <c r="B5" i="2"/>
  <c r="C5" i="2"/>
  <c r="D5" i="2"/>
  <c r="E5" i="2"/>
  <c r="F5" i="2"/>
  <c r="G5" i="2"/>
  <c r="H5" i="2"/>
  <c r="I5" i="2"/>
  <c r="B6" i="2"/>
  <c r="C6" i="2"/>
  <c r="D6" i="2"/>
  <c r="E6" i="2"/>
  <c r="F6" i="2"/>
  <c r="G6" i="2"/>
  <c r="H6" i="2"/>
  <c r="I6" i="2"/>
  <c r="B7" i="2"/>
  <c r="C7" i="2"/>
  <c r="D7" i="2"/>
  <c r="E7" i="2"/>
  <c r="F7" i="2"/>
  <c r="G7" i="2"/>
  <c r="H7" i="2"/>
  <c r="I7" i="2"/>
  <c r="B8" i="2"/>
  <c r="C8" i="2"/>
  <c r="D8" i="2"/>
  <c r="E8" i="2"/>
  <c r="F8" i="2"/>
  <c r="G8" i="2"/>
  <c r="H8" i="2"/>
  <c r="I8" i="2"/>
  <c r="B9" i="2"/>
  <c r="C9" i="2"/>
  <c r="D9" i="2"/>
  <c r="E9" i="2"/>
  <c r="F9" i="2"/>
  <c r="G9" i="2"/>
  <c r="H9" i="2"/>
  <c r="I9" i="2"/>
  <c r="B10" i="2"/>
  <c r="C10" i="2"/>
  <c r="D10" i="2"/>
  <c r="E10" i="2"/>
  <c r="F10" i="2"/>
  <c r="G10" i="2"/>
  <c r="H10" i="2"/>
  <c r="I10" i="2"/>
  <c r="B11" i="2"/>
  <c r="C11" i="2"/>
  <c r="D11" i="2"/>
  <c r="E11" i="2"/>
  <c r="F11" i="2"/>
  <c r="G11" i="2"/>
  <c r="H11" i="2"/>
  <c r="I11" i="2"/>
  <c r="C18" i="2"/>
  <c r="D18" i="2"/>
  <c r="E18" i="2"/>
  <c r="F18" i="2"/>
  <c r="G18" i="2"/>
  <c r="H18" i="2"/>
  <c r="C19" i="2"/>
  <c r="D19" i="2"/>
  <c r="E19" i="2"/>
  <c r="F19" i="2"/>
  <c r="G19" i="2"/>
  <c r="H19" i="2"/>
  <c r="C20" i="2"/>
  <c r="D20" i="2"/>
  <c r="E20" i="2"/>
  <c r="F20" i="2"/>
  <c r="G20" i="2"/>
  <c r="H20" i="2"/>
  <c r="C21" i="2"/>
  <c r="D21" i="2"/>
  <c r="E21" i="2"/>
  <c r="F21" i="2"/>
  <c r="G21" i="2"/>
  <c r="H21" i="2"/>
  <c r="C22" i="2"/>
  <c r="D22" i="2"/>
  <c r="E22" i="2"/>
  <c r="F22" i="2"/>
  <c r="G22" i="2"/>
  <c r="H22" i="2"/>
  <c r="C23" i="2"/>
  <c r="D23" i="2"/>
  <c r="E23" i="2"/>
  <c r="F23" i="2"/>
  <c r="G23" i="2"/>
  <c r="H23" i="2"/>
  <c r="C24" i="2"/>
  <c r="D24" i="2"/>
  <c r="E24" i="2"/>
  <c r="F24" i="2"/>
  <c r="G24" i="2"/>
  <c r="H24" i="2"/>
  <c r="B32" i="2"/>
  <c r="C32" i="2"/>
  <c r="B33" i="2"/>
  <c r="C33" i="2"/>
  <c r="B34" i="2"/>
  <c r="C34" i="2"/>
  <c r="B35" i="2"/>
  <c r="C35" i="2"/>
  <c r="B36" i="2"/>
  <c r="C36" i="2"/>
  <c r="B37" i="2"/>
  <c r="C37" i="2"/>
  <c r="B38" i="2"/>
  <c r="C38"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Aswath Damodaran</author>
    <author>tc={7A810B27-4B84-2A43-AF55-D17FDC6EEF07}</author>
    <author>tc={FA9AA5FC-D1CC-A94C-8E7A-FB4594B3CC07}</author>
  </authors>
  <commentList>
    <comment ref="B11" authorId="0" shapeId="0" xr:uid="{00000000-0006-0000-0200-000001000000}">
      <text>
        <r>
          <rPr>
            <sz val="9"/>
            <color rgb="FF000000"/>
            <rFont val="Geneva"/>
            <family val="2"/>
            <charset val="1"/>
          </rPr>
          <t>Preferably, the EBITDA for the most recent 12 months. If you don't have that, use the most recent year. If you had a bad year (negative or low EBITDA), you can use an average over time.</t>
        </r>
      </text>
    </comment>
    <comment ref="B12" authorId="0" shapeId="0" xr:uid="{00000000-0006-0000-0200-000002000000}">
      <text>
        <r>
          <rPr>
            <sz val="9"/>
            <color rgb="FF000000"/>
            <rFont val="Geneva"/>
            <family val="2"/>
            <charset val="1"/>
          </rPr>
          <t>Depr &amp; Amort (from statement of cash flows)</t>
        </r>
      </text>
    </comment>
    <comment ref="B13" authorId="0" shapeId="0" xr:uid="{00000000-0006-0000-0200-000003000000}">
      <text>
        <r>
          <rPr>
            <sz val="9"/>
            <color rgb="FF000000"/>
            <rFont val="Geneva"/>
            <family val="2"/>
            <charset val="1"/>
          </rPr>
          <t>Capital Expenditures (from statement of cash flows). Enter this as a positive number even though it is shown as a negative number in the cashflow statement.</t>
        </r>
      </text>
    </comment>
    <comment ref="B14" authorId="0" shapeId="0" xr:uid="{00000000-0006-0000-0200-000004000000}">
      <text>
        <r>
          <rPr>
            <sz val="9"/>
            <color rgb="FF000000"/>
            <rFont val="Geneva"/>
            <family val="2"/>
            <charset val="1"/>
          </rPr>
          <t>Interest Expense (from income statement). If you have no debt, enter 0. If you do have debt and cannot find interest expenses, make an estimate by multiplying the debt by a "reasonable" interest rate.</t>
        </r>
      </text>
    </comment>
    <comment ref="B15" authorId="0" shapeId="0" xr:uid="{00000000-0006-0000-0200-000005000000}">
      <text>
        <r>
          <rPr>
            <sz val="9"/>
            <color rgb="FF000000"/>
            <rFont val="Geneva"/>
            <family val="2"/>
            <charset val="1"/>
          </rPr>
          <t>Enter the marginal or statutory tax rate for your country. Check the worksheet in this spreadsheet for marginal tax rate by country.</t>
        </r>
      </text>
    </comment>
    <comment ref="B16" authorId="0" shapeId="0" xr:uid="{00000000-0006-0000-0200-000006000000}">
      <text>
        <r>
          <rPr>
            <sz val="9"/>
            <color rgb="FF000000"/>
            <rFont val="Geneva"/>
            <family val="2"/>
            <charset val="1"/>
          </rPr>
          <t>If your company has a bond rating from S&amp;P or Moody's, you can enter it here. If you don't, that is okay. Just pick "Not rated".</t>
        </r>
      </text>
    </comment>
    <comment ref="B17" authorId="0" shapeId="0" xr:uid="{00000000-0006-0000-0200-000007000000}">
      <text>
        <r>
          <rPr>
            <sz val="9"/>
            <color rgb="FF000000"/>
            <rFont val="Geneva"/>
            <family val="2"/>
            <charset val="1"/>
          </rPr>
          <t>You can use an actual or synthetic rating to come up with a default spread and add that spread to the risk free rate. If you don't have a rating, but have an estimate of the long term cost of borrowing now, you can enter it as well. If you don't have that either, make sure you answer "Yes" to the cell B33.</t>
        </r>
      </text>
    </comment>
    <comment ref="B19" authorId="0" shapeId="0" xr:uid="{00000000-0006-0000-0200-000008000000}">
      <text>
        <r>
          <rPr>
            <sz val="9"/>
            <color rgb="FF000000"/>
            <rFont val="Geneva"/>
            <family val="2"/>
            <charset val="1"/>
          </rPr>
          <t>Be careful to stay in same units. If earnings entered in millions, enter this in millions too. If you have more than one class of shares, use the  cumulated number.</t>
        </r>
      </text>
    </comment>
    <comment ref="B20" authorId="0" shapeId="0" xr:uid="{00000000-0006-0000-0200-000009000000}">
      <text>
        <r>
          <rPr>
            <sz val="9"/>
            <color rgb="FF000000"/>
            <rFont val="Geneva"/>
            <family val="2"/>
            <charset val="1"/>
          </rPr>
          <t>Enter the most current stock price, not price as of last statement date.</t>
        </r>
      </text>
    </comment>
    <comment ref="B21" authorId="0" shapeId="0" xr:uid="{00000000-0006-0000-0200-00000A000000}">
      <text>
        <r>
          <rPr>
            <sz val="9"/>
            <color rgb="FF000000"/>
            <rFont val="Geneva"/>
            <family val="2"/>
            <charset val="1"/>
          </rPr>
          <t>Enter the levered beta that you have chosen. Preferably, a bottom up beta but if you don't have one, use the regression beta.</t>
        </r>
      </text>
    </comment>
    <comment ref="B23" authorId="0" shapeId="0" xr:uid="{00000000-0006-0000-0200-00000B000000}">
      <text>
        <r>
          <rPr>
            <sz val="9"/>
            <color rgb="FF000000"/>
            <rFont val="Geneva"/>
            <family val="2"/>
            <charset val="1"/>
          </rPr>
          <t>Enter the book value of all interest bearing debt on the balance sheet.</t>
        </r>
      </text>
    </comment>
    <comment ref="B24" authorId="0" shapeId="0" xr:uid="{00000000-0006-0000-0200-00000C000000}">
      <text>
        <r>
          <rPr>
            <sz val="9"/>
            <color rgb="FF000000"/>
            <rFont val="Geneva"/>
            <family val="2"/>
            <charset val="1"/>
          </rPr>
          <t>Safest answer is No. If all debt is in form of traded bonds, you could answer yes.</t>
        </r>
      </text>
    </comment>
    <comment ref="B25" authorId="0" shapeId="0" xr:uid="{00000000-0006-0000-0200-00000D000000}">
      <text>
        <r>
          <rPr>
            <sz val="9"/>
            <color rgb="FF000000"/>
            <rFont val="Geneva"/>
            <family val="2"/>
            <charset val="1"/>
          </rPr>
          <t xml:space="preserve">If yes, be ready to input this number. Do not include operating leases
</t>
        </r>
        <r>
          <rPr>
            <sz val="9"/>
            <color rgb="FF000000"/>
            <rFont val="Geneva"/>
            <family val="2"/>
            <charset val="1"/>
          </rPr>
          <t>since that will be considered separately.</t>
        </r>
      </text>
    </comment>
    <comment ref="B26" authorId="0" shapeId="0" xr:uid="{00000000-0006-0000-0200-00000E000000}">
      <text>
        <r>
          <rPr>
            <sz val="9"/>
            <color rgb="FF000000"/>
            <rFont val="Geneva"/>
            <family val="2"/>
            <charset val="1"/>
          </rPr>
          <t>If you can estimate maturity of debt, enter yes. The maturity of the debt should be a footnote to your financials.</t>
        </r>
      </text>
    </comment>
    <comment ref="B27" authorId="0" shapeId="0" xr:uid="{00000000-0006-0000-0200-00000F000000}">
      <text>
        <r>
          <rPr>
            <sz val="9"/>
            <color rgb="FF000000"/>
            <rFont val="Geneva"/>
            <family val="2"/>
            <charset val="1"/>
          </rPr>
          <t>Enter the weighted average maturity of debt outstanding - should be in footnote to balance sheet</t>
        </r>
      </text>
    </comment>
    <comment ref="B28" authorId="1" shapeId="0" xr:uid="{00000000-0006-0000-0200-000010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have operating leases, you will have to fill out the operating lease worksheet.</t>
        </r>
      </text>
    </comment>
    <comment ref="B34" authorId="1" shapeId="0" xr:uid="{00000000-0006-0000-0200-00001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In the standard analysis, the operating income is assumed to stay fixed while the debt ratio (and bond rating) changes. If you feel that a declining bond rating will affect whether customers buy your products, your pricing power or your costs, enter yes. If not, enter no. If unsure, enter no and run your base case. You can always come back and enter "Yes".</t>
        </r>
      </text>
    </comment>
    <comment ref="B35" authorId="1" shapeId="0" xr:uid="{00000000-0006-0000-0200-00001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Some companies are more exposed to indirect bankruptcy costs than others.
</t>
        </r>
        <r>
          <rPr>
            <sz val="9"/>
            <color rgb="FF000000"/>
            <rFont val="Geneva"/>
            <family val="2"/>
            <charset val="1"/>
          </rPr>
          <t xml:space="preserve">High: Companies where customers may stop buying the product if the company is perceived to be in trouble, because they are afraid that product quality may suffer or that the product has a long life and may need service/parts. Also, companies whose costs may balloon out if they are perceived to be in trouble.
</t>
        </r>
        <r>
          <rPr>
            <sz val="9"/>
            <color rgb="FF000000"/>
            <rFont val="Geneva"/>
            <family val="2"/>
            <charset val="1"/>
          </rPr>
          <t xml:space="preserve">Medium: Companies that have a product that falls in the middle (some customer losses but not substantial) and/or a mix of products.
</t>
        </r>
        <r>
          <rPr>
            <sz val="9"/>
            <color rgb="FF000000"/>
            <rFont val="Geneva"/>
            <family val="2"/>
            <charset val="1"/>
          </rPr>
          <t>Low: Companies where customers are unconcerned about credit quality of the company and where costs are relatively unaffected by the perception that the company is in financial trouble.</t>
        </r>
      </text>
    </comment>
    <comment ref="B37" authorId="0" shapeId="0" xr:uid="{00000000-0006-0000-0200-000013000000}">
      <text>
        <r>
          <rPr>
            <sz val="9"/>
            <color rgb="FF000000"/>
            <rFont val="Geneva"/>
            <family val="2"/>
            <charset val="1"/>
          </rPr>
          <t>Enter the current riskfree rate in the currency of analysis. If your government is default free, it will be long term government bond rate. If your government has default risk, subtract the sovereign default spread from government bond rate.</t>
        </r>
      </text>
    </comment>
    <comment ref="B38" authorId="2" shapeId="0" xr:uid="{7A810B27-4B84-2A43-AF55-D17FDC6EEF07}">
      <text>
        <t>[Threaded comment]
Your version of Excel allows you to read this threaded comment; however, any edits to it will get removed if the file is opened in a newer version of Excel. Learn more: https://go.microsoft.com/fwlink/?linkid=870924
Comment:
    I used your country of incorporation to get the ERP, but use the ERP calculation to get a better estimate.</t>
      </text>
    </comment>
    <comment ref="B42" authorId="3" shapeId="0" xr:uid="{FA9AA5FC-D1CC-A94C-8E7A-FB4594B3CC07}">
      <text>
        <t>[Threaded comment]
Your version of Excel allows you to read this threaded comment; however, any edits to it will get removed if the file is opened in a newer version of Excel. Learn more: https://go.microsoft.com/fwlink/?linkid=870924
Comment:
    1: Large and relatively stable
2: Small and/or risky
3. Utility/Regulated with stable earnings</t>
      </text>
    </comment>
    <comment ref="B43" authorId="0" shapeId="0" xr:uid="{00000000-0006-0000-0200-000017000000}">
      <text>
        <r>
          <rPr>
            <sz val="9"/>
            <color rgb="FF000000"/>
            <rFont val="Geneva"/>
            <family val="2"/>
            <charset val="1"/>
          </rPr>
          <t xml:space="preserve">Generally safer to answer yes. If you answer no, there will be a transfer of wealth from existing bondholders to stockholders, when the firm borrows more money. </t>
        </r>
      </text>
    </comment>
    <comment ref="B44" authorId="0" shapeId="0" xr:uid="{8E177364-F100-5F49-8717-39B961BED6D7}">
      <text>
        <r>
          <rPr>
            <sz val="9"/>
            <color rgb="FF000000"/>
            <rFont val="Geneva"/>
            <family val="2"/>
            <charset val="1"/>
          </rPr>
          <t xml:space="preserve">Generally safer to answer yes. If you answer no, there will be a transfer of wealth from existing bondholders to stockholders, when the firm borrows more money.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F45" authorId="0" shapeId="0" xr:uid="{00000000-0006-0000-0600-000001000000}">
      <text>
        <r>
          <rPr>
            <b/>
            <sz val="9"/>
            <color indexed="81"/>
            <rFont val="Geneva"/>
            <family val="2"/>
          </rPr>
          <t>Aswath Damodaran:</t>
        </r>
        <r>
          <rPr>
            <sz val="9"/>
            <color indexed="81"/>
            <rFont val="Geneva"/>
            <family val="2"/>
          </rPr>
          <t xml:space="preserve">
If you are currently have a low rating, your EBITDA might already be depressed. This adjusts for this drop.</t>
        </r>
      </text>
    </comment>
    <comment ref="A67" authorId="0" shapeId="0" xr:uid="{00000000-0006-0000-0600-000002000000}">
      <text>
        <r>
          <rPr>
            <b/>
            <sz val="10"/>
            <color rgb="FF000000"/>
            <rFont val="Tahoma"/>
            <family val="2"/>
          </rPr>
          <t>Aswath Damodaran:</t>
        </r>
        <r>
          <rPr>
            <sz val="10"/>
            <color rgb="FF000000"/>
            <rFont val="Tahoma"/>
            <family val="2"/>
          </rPr>
          <t xml:space="preserve">
</t>
        </r>
        <r>
          <rPr>
            <sz val="10"/>
            <color rgb="FF000000"/>
            <rFont val="Tahoma"/>
            <family val="2"/>
          </rPr>
          <t>Checking to see in interest expenses violate your deduction constraint, and if so, adjust the tax benefits accordingly, by reducing the tax rate I use to compute after-tax cost of debt.</t>
        </r>
      </text>
    </comment>
    <comment ref="A68" authorId="0" shapeId="0" xr:uid="{00000000-0006-0000-0600-000003000000}">
      <text>
        <r>
          <rPr>
            <b/>
            <sz val="10"/>
            <color rgb="FF000000"/>
            <rFont val="Tahoma"/>
            <family val="2"/>
          </rPr>
          <t>Aswath Damodaran:</t>
        </r>
        <r>
          <rPr>
            <sz val="10"/>
            <color rgb="FF000000"/>
            <rFont val="Tahoma"/>
            <family val="2"/>
          </rPr>
          <t xml:space="preserve">
</t>
        </r>
        <r>
          <rPr>
            <sz val="10"/>
            <color rgb="FF000000"/>
            <rFont val="Tahoma"/>
            <family val="2"/>
          </rPr>
          <t>Checking to see if interest expenses exceed EBIT and if yes, take away tax benefits, by lowering the tax rate that I use in the after-tax cost of debt calculation.</t>
        </r>
      </text>
    </comment>
    <comment ref="A69" authorId="0" shapeId="0" xr:uid="{00000000-0006-0000-0600-000004000000}">
      <text>
        <r>
          <rPr>
            <b/>
            <sz val="10"/>
            <color rgb="FF000000"/>
            <rFont val="Tahoma"/>
            <family val="2"/>
          </rPr>
          <t>Aswath Damodaran:</t>
        </r>
        <r>
          <rPr>
            <sz val="10"/>
            <color rgb="FF000000"/>
            <rFont val="Tahoma"/>
            <family val="2"/>
          </rPr>
          <t xml:space="preserve">
</t>
        </r>
        <r>
          <rPr>
            <sz val="10"/>
            <color rgb="FF000000"/>
            <rFont val="Tahoma"/>
            <family val="2"/>
          </rPr>
          <t>Pick the constraint that is more binding by picking the lower of the two tax rates to use in the after-tax cost of debt calculation.</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1" authorId="0" shapeId="0" xr:uid="{3DD6472F-097F-AE48-B307-BFD42D124A9B}">
      <text>
        <r>
          <rPr>
            <b/>
            <sz val="10"/>
            <color rgb="FF000000"/>
            <rFont val="Tahoma"/>
            <family val="2"/>
          </rPr>
          <t>Microsoft Office User:</t>
        </r>
        <r>
          <rPr>
            <sz val="10"/>
            <color rgb="FF000000"/>
            <rFont val="Tahoma"/>
            <family val="2"/>
          </rPr>
          <t xml:space="preserve">
</t>
        </r>
        <r>
          <rPr>
            <sz val="10"/>
            <color rgb="FF000000"/>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List>
</comments>
</file>

<file path=xl/sharedStrings.xml><?xml version="1.0" encoding="utf-8"?>
<sst xmlns="http://schemas.openxmlformats.org/spreadsheetml/2006/main" count="1104" uniqueCount="598">
  <si>
    <t>From the current financial statements, enter the following</t>
  </si>
  <si>
    <t>Reported Operating Income (EBIT) =</t>
  </si>
  <si>
    <t>! This is the EBIT reported in the current income statement</t>
  </si>
  <si>
    <t>Reported Interest Expenses =</t>
  </si>
  <si>
    <t>Number of years embedded in yr 6 estimate =</t>
  </si>
  <si>
    <t>! I use the average lease expense over the first five years</t>
  </si>
  <si>
    <t>The details of the calculation at each debt ratio are below the summary.</t>
  </si>
  <si>
    <t>Default Spreads</t>
  </si>
  <si>
    <t>This spreadsheet has interest coverage ratios, ratings and default spreads built into it in</t>
  </si>
  <si>
    <t>Sure. If your operating income is either negative or very low, relative to your firm value,</t>
  </si>
  <si>
    <t>Value (perpetual growth)</t>
  </si>
  <si>
    <t>References</t>
  </si>
  <si>
    <t>Interest expenses with Operating leases classified as debt =</t>
  </si>
  <si>
    <t>If interest coverage ratio is</t>
  </si>
  <si>
    <t>&gt;</t>
  </si>
  <si>
    <t>is abnormal, either because of extraordinary losses/gains or some other occurrence, use</t>
  </si>
  <si>
    <t>an average operating income over the last few years.</t>
  </si>
  <si>
    <t>Balance Sheet</t>
  </si>
  <si>
    <t>Rating based upon coverage =</t>
  </si>
  <si>
    <t>General Data</t>
  </si>
  <si>
    <t>General Market Data</t>
  </si>
  <si>
    <t>you can end up at an optimal debt ratio of 0%. For instance, if you have EBIT of 100 on a</t>
  </si>
  <si>
    <t>firm value of 10000, a 10% debt ratio would probably push you into a C rating and give</t>
  </si>
  <si>
    <t>Assumes perpeutal growth</t>
  </si>
  <si>
    <r>
      <t xml:space="preserve">The key income input is the </t>
    </r>
    <r>
      <rPr>
        <sz val="10"/>
        <color indexed="10"/>
        <rFont val="Times"/>
        <family val="1"/>
      </rPr>
      <t>earnings before long term interest expenses and depreciation</t>
    </r>
    <r>
      <rPr>
        <sz val="10"/>
        <rFont val="Times"/>
        <family val="1"/>
      </rPr>
      <t>.</t>
    </r>
  </si>
  <si>
    <t>Operating Lease Converter</t>
  </si>
  <si>
    <t>Operating lease expenses are really financial expenses, and should be treated as such. Accounting standards allow them to</t>
  </si>
  <si>
    <t>be treated as operating expenses. This program will convert commitments to make operating leases into debt and</t>
  </si>
  <si>
    <t>adjust the operating income accordingly, by adding back the imputed interest expense on this debt.</t>
  </si>
  <si>
    <t>Operating lease expense in current year =</t>
  </si>
  <si>
    <t>Operating Lease Commitments (From footnote to financials)</t>
  </si>
  <si>
    <t>Year</t>
  </si>
  <si>
    <t>Commitment</t>
  </si>
  <si>
    <t>! Year 1 is next year, ….</t>
  </si>
  <si>
    <t>6 and beyond</t>
  </si>
  <si>
    <t>Pre-tax Cost of Debt =</t>
  </si>
  <si>
    <t>! If you do not have a cost of debt, use the attached ratings estimator</t>
  </si>
  <si>
    <t>Market price per share:</t>
  </si>
  <si>
    <t>Beta of the stock:</t>
  </si>
  <si>
    <t>(Yes or No)</t>
  </si>
  <si>
    <t>Do you want me to try and estimate market value of debt?</t>
  </si>
  <si>
    <t>Yes</t>
  </si>
  <si>
    <t>Risk premium (for use in the CAPM)</t>
  </si>
  <si>
    <t>greater than</t>
  </si>
  <si>
    <t>≤ to</t>
  </si>
  <si>
    <t>to estimate the number of years of expenses in yr 6</t>
  </si>
  <si>
    <t>Converting Operating Leases into debt</t>
  </si>
  <si>
    <t>Present Value</t>
  </si>
  <si>
    <t>! Commitment beyond year 6 converted into an annuity for ten years</t>
  </si>
  <si>
    <t>Debt Value of leases =</t>
  </si>
  <si>
    <t>Restated Financials</t>
  </si>
  <si>
    <t>Operating Income with Operating leases reclassified as debt =</t>
  </si>
  <si>
    <t>Do you want to assume that existing debt is refinanced at the 'new' rate?</t>
  </si>
  <si>
    <t>Capital Structure</t>
  </si>
  <si>
    <t>Value/share (Perpetual Growth) =</t>
  </si>
  <si>
    <t>Implied Growth Rate Calculation</t>
  </si>
  <si>
    <t>number. Alternatively, input the average maturity of the debt and I will estimate the</t>
  </si>
  <si>
    <t xml:space="preserve">market value of debt. </t>
  </si>
  <si>
    <t>Market Data</t>
  </si>
  <si>
    <t>Number of shares outstanding:</t>
  </si>
  <si>
    <t>If this number is &gt;your riskfree rate, I use the riskfree rate as a perpetual growth rate.</t>
  </si>
  <si>
    <t>Rating is</t>
  </si>
  <si>
    <t>Enter the type of firm =</t>
  </si>
  <si>
    <t>(Add back only long term interest expense for financial firms)</t>
  </si>
  <si>
    <t>(Use only long term interest expense for financial firms)</t>
  </si>
  <si>
    <t>Output</t>
  </si>
  <si>
    <t>Interest  coverage ratio =</t>
  </si>
  <si>
    <t>Estimated Bond Rating =</t>
  </si>
  <si>
    <t>READING THE OUTPUT</t>
  </si>
  <si>
    <t>Summary</t>
  </si>
  <si>
    <t xml:space="preserve">the worksheet. You can choose between two tables, one for large and stable </t>
  </si>
  <si>
    <t>firms, and the other for small or risky firms. If you want you can change the interest</t>
  </si>
  <si>
    <t>coverage ratios and ratings in these tables.</t>
  </si>
  <si>
    <t>Market Value of interest-bearing debt =</t>
  </si>
  <si>
    <t>Current interest rate on debt =</t>
  </si>
  <si>
    <t xml:space="preserve">The summary provides a picture of your firm's current cost of capital and debt ratio, and </t>
  </si>
  <si>
    <t>Details</t>
  </si>
  <si>
    <t xml:space="preserve"> - Rating Differences: One of the costs of rating a company based only on the interest</t>
  </si>
  <si>
    <t>coverage ratio is that the rating might be very different from the actual rating. Thus, your</t>
  </si>
  <si>
    <t>Corporate Finance: Theory and Practice, Chapter 18</t>
  </si>
  <si>
    <t>Applied Corporate Finance: Chapter 8</t>
  </si>
  <si>
    <t>Objective</t>
  </si>
  <si>
    <t>COST OF CAPITAL CALCULATIONS</t>
  </si>
  <si>
    <t>Cost of Capital</t>
  </si>
  <si>
    <t>Ratings comparison at current debt ratio</t>
  </si>
  <si>
    <t>Rating</t>
  </si>
  <si>
    <t>Coverage gt</t>
  </si>
  <si>
    <t>and lt</t>
  </si>
  <si>
    <t>Spread</t>
  </si>
  <si>
    <t>Current Interest coverage ratio =</t>
  </si>
  <si>
    <t>you a very high cost of capital.</t>
  </si>
  <si>
    <t>Q5: My cost of capital at my optimal debt ratio is higher</t>
  </si>
  <si>
    <t>than the current cost of capital. I thought it was supposed</t>
  </si>
  <si>
    <t>to be lower.</t>
  </si>
  <si>
    <t>Generally, you are right. However, I would suggest that you look at three factors:</t>
  </si>
  <si>
    <t>Bond Rating</t>
  </si>
  <si>
    <t>Interest rate on debt</t>
  </si>
  <si>
    <t>Tax Rate</t>
  </si>
  <si>
    <t>Cost of Debt (after-tax)</t>
  </si>
  <si>
    <t>WACC</t>
  </si>
  <si>
    <t>Please enter the name of the company you are analyzing:</t>
  </si>
  <si>
    <t>Depreciation and Amortization:</t>
  </si>
  <si>
    <t>Capital Spending:</t>
  </si>
  <si>
    <t>A</t>
  </si>
  <si>
    <t>Current Interest rate (Company)=</t>
  </si>
  <si>
    <t>Tax rate=</t>
  </si>
  <si>
    <t>Current Rating=</t>
  </si>
  <si>
    <t>Current T.Bond rate=</t>
  </si>
  <si>
    <t>WORKSHEET FOR ESTIMATING RATINGS/INTEREST RATES</t>
  </si>
  <si>
    <t>D/(D+E)</t>
  </si>
  <si>
    <t>D/E</t>
  </si>
  <si>
    <t>$ Debt</t>
  </si>
  <si>
    <t>EBITDA</t>
  </si>
  <si>
    <t>Depreciation</t>
  </si>
  <si>
    <t>EBIT</t>
  </si>
  <si>
    <t>Interest</t>
  </si>
  <si>
    <t>Taxable Income</t>
  </si>
  <si>
    <t>Tax</t>
  </si>
  <si>
    <t>Net Income</t>
  </si>
  <si>
    <t>(+)Deprec'n</t>
  </si>
  <si>
    <t>Funds from Op.</t>
  </si>
  <si>
    <t>Pre-tax Int. cov</t>
  </si>
  <si>
    <t>∞</t>
  </si>
  <si>
    <t>Funds/Debt</t>
  </si>
  <si>
    <t>Likely Rating</t>
  </si>
  <si>
    <t>Cost of equity</t>
  </si>
  <si>
    <t>Cost of debt</t>
  </si>
  <si>
    <t>Interest cov</t>
  </si>
  <si>
    <t>RATING</t>
  </si>
  <si>
    <t>Interest rate</t>
  </si>
  <si>
    <t>Low</t>
  </si>
  <si>
    <t>High</t>
  </si>
  <si>
    <t>Debt Ratio</t>
  </si>
  <si>
    <t>Beta</t>
  </si>
  <si>
    <t>Cost of Equity</t>
  </si>
  <si>
    <t>your books at much lower rates, the interest expense that I report will be much higher than</t>
  </si>
  <si>
    <t>your actual interest expense. This, in turn, can affect your interest coverage ratio and rating.</t>
  </si>
  <si>
    <t>This, too, you can fix by locking in debt at current rates in the input sheet.</t>
  </si>
  <si>
    <t>Pre-tax cost of debt =</t>
  </si>
  <si>
    <t>the current cost of capital (in the input sheet).</t>
  </si>
  <si>
    <t>Earnings before interest and taxes (EBIT) =</t>
  </si>
  <si>
    <t>Current interest expenses =</t>
  </si>
  <si>
    <t>Estimated Default Spread =</t>
  </si>
  <si>
    <t>Estimated Cost of Debt =</t>
  </si>
  <si>
    <t>Current FCFF =</t>
  </si>
  <si>
    <t>! I am ignoring working capital</t>
  </si>
  <si>
    <t>Before you start</t>
  </si>
  <si>
    <t>premium you would like to use to estimate your cost of equity and the current rating for</t>
  </si>
  <si>
    <t>your firm. If you do not have a rating, there is an option for you at the very bottom of</t>
  </si>
  <si>
    <t>the spreadsheet to compute a synthetic rating.</t>
  </si>
  <si>
    <t>PRELIMINARY STUFF AND INPUTS</t>
  </si>
  <si>
    <t>Enter the most updated numbers you have for each (even if they are 12-month trailing</t>
  </si>
  <si>
    <t>numbers). If the most recent period for which you have data has an operating income that</t>
  </si>
  <si>
    <t>Current Interest Expense =</t>
  </si>
  <si>
    <t>RESULTS FROM ANALYSIS</t>
  </si>
  <si>
    <t>Current</t>
  </si>
  <si>
    <t>Optimal</t>
  </si>
  <si>
    <t>Change</t>
  </si>
  <si>
    <t>D/(D+E) Ratio =</t>
  </si>
  <si>
    <t>Beta for the  Stock =</t>
  </si>
  <si>
    <t>Cost of Equity    =</t>
  </si>
  <si>
    <t>Implied Growth Rate =</t>
  </si>
  <si>
    <t>We use the following default spreads in our analysis. Change them in the input sheet if necessary:</t>
  </si>
  <si>
    <t>Inputs</t>
  </si>
  <si>
    <t>Drop in operating income based on current rating</t>
  </si>
  <si>
    <t>Adjusted EBITDA =</t>
  </si>
  <si>
    <t>Current rating for company =</t>
  </si>
  <si>
    <t>Q1: What do I do excel says there are circular references?</t>
  </si>
  <si>
    <t>current cost of capital is based upon your current rating, and the optimal is based upon</t>
  </si>
  <si>
    <t>Financial Information</t>
  </si>
  <si>
    <t>Do you have any operating leases?</t>
  </si>
  <si>
    <t>I am constrained to work in 10% increments of the debt ratio. If the true optimal were</t>
  </si>
  <si>
    <t>the synthetic ratings, and the two don't match, the current and the optimal cost of capital</t>
  </si>
  <si>
    <t xml:space="preserve"> - If your optimal is just slightly higher or lower than your current debt ratio, it is possible that you</t>
  </si>
  <si>
    <t>are closer to the optimal than the stated optimal. Let me explain. Assume that you are at a 24% debt ratio</t>
  </si>
  <si>
    <t>and the optimal comes out to 30%. The true optimal is really somewhere around 30% since</t>
  </si>
  <si>
    <t>Interest rate based upon coverage =</t>
  </si>
  <si>
    <t>Current beta=</t>
  </si>
  <si>
    <t>Current Equity=</t>
  </si>
  <si>
    <t>Current Depreciation=</t>
  </si>
  <si>
    <t>Current  Debt=</t>
  </si>
  <si>
    <t>Current EBITDA=</t>
  </si>
  <si>
    <t>firm value is computed at each debt ratio, based upon how the expected operating income</t>
  </si>
  <si>
    <t>and the cost of capital. The optimal debt ratio is that ratio at which firm value is</t>
  </si>
  <si>
    <t>maximized. It might not be the same point at which cost of capital is minimized.</t>
  </si>
  <si>
    <t>Question</t>
  </si>
  <si>
    <t>Answer</t>
  </si>
  <si>
    <t>Go into preferences, choose calculation options and make sure the iteration box has a check in it.</t>
  </si>
  <si>
    <t>Which spread/ratio table would you like to use for your anlaysis?</t>
  </si>
  <si>
    <t>Inputs for synthetic rating estimation</t>
  </si>
  <si>
    <t>You probably forgot to check the iteration box (see Q1)</t>
  </si>
  <si>
    <t>26%, your current debt ratio of 24% is closer to the optimal.</t>
  </si>
  <si>
    <t>Pre-tax cost of debt</t>
  </si>
  <si>
    <t>Spread is</t>
  </si>
  <si>
    <t>can be mismatched. You can get around this by switching to a synthetic rating for computing</t>
  </si>
  <si>
    <t xml:space="preserve"> - Existing debt at low rates: I assume in the spreadsheet that existing debt gets refinanced at</t>
  </si>
  <si>
    <t>Current WACC =</t>
  </si>
  <si>
    <t>the new pre-tax cost of debt at each debt ratio. Consequently, if you have a lot of old debt on</t>
  </si>
  <si>
    <t>compares it to your firm's optimal debt ratio and the cost of capital at that level. The</t>
  </si>
  <si>
    <t>Open preferences in excel, go into calculation options and put a check in the iteration box.</t>
  </si>
  <si>
    <t>If it is already checked, leave it as is.</t>
  </si>
  <si>
    <t xml:space="preserve">The inputs are primarily in the input sheet. If your company has operating leases, </t>
  </si>
  <si>
    <t>use the operating lease worksheet to enter your lease or rental commitments.</t>
  </si>
  <si>
    <t>Units</t>
  </si>
  <si>
    <t>Enter all numbers in the same units (000s, millions or even billions)</t>
  </si>
  <si>
    <t>Income inputs</t>
  </si>
  <si>
    <t>Financial Market</t>
  </si>
  <si>
    <t>Income Statement</t>
  </si>
  <si>
    <t>Current MV of Equity =</t>
  </si>
  <si>
    <t>Current Beta for Stock =</t>
  </si>
  <si>
    <t>Current EBITDA =</t>
  </si>
  <si>
    <t>Current Bond Rating =</t>
  </si>
  <si>
    <t>Current Depreciation =</t>
  </si>
  <si>
    <t># of Shares Outstanding =</t>
  </si>
  <si>
    <t>Current Tax Rate =</t>
  </si>
  <si>
    <t>Current Capital Spending=</t>
  </si>
  <si>
    <t>D</t>
  </si>
  <si>
    <t>C</t>
  </si>
  <si>
    <t>CC</t>
  </si>
  <si>
    <t>CCC</t>
  </si>
  <si>
    <t>B-</t>
  </si>
  <si>
    <t>B</t>
  </si>
  <si>
    <t>B+</t>
  </si>
  <si>
    <t>BB</t>
  </si>
  <si>
    <t>BBB</t>
  </si>
  <si>
    <t>A-</t>
  </si>
  <si>
    <t>A+</t>
  </si>
  <si>
    <t>AA</t>
  </si>
  <si>
    <t>AAA</t>
  </si>
  <si>
    <t>Summary of Inputs</t>
  </si>
  <si>
    <t>Drop in</t>
  </si>
  <si>
    <t>Drop in EBITDA</t>
  </si>
  <si>
    <t>No</t>
  </si>
  <si>
    <t>% Drop in EBITDA</t>
  </si>
  <si>
    <t>Country Default spread (for cost of debt)</t>
  </si>
  <si>
    <t xml:space="preserve">Q6: I am getting an optimal debt ratio at a mix where my cost </t>
  </si>
  <si>
    <t>of capital is not minimized? Is something wrong?</t>
  </si>
  <si>
    <t>Not necessarily. If you chose to build in indirect bankruptcy costs (an option on the input page),</t>
  </si>
  <si>
    <t xml:space="preserve">your operating income also changes as your debt ratio changes. Since the objective ultimately is to </t>
  </si>
  <si>
    <t>maximize firm value, it is possible that the net effect (lower cost of capital is good but it could be offset</t>
  </si>
  <si>
    <t>by lower operating income) is resulting in an optimal at a higher debt ratio.</t>
  </si>
  <si>
    <t>Q2: My spreadsheet has gone crazy. I get errors all over. What did I do wrong?</t>
  </si>
  <si>
    <t>I am sorry to say this, but you probably just made an input error. While you might have fixed it, the iterations in the spreadsheet make it very sensitive and the errors will not go away. The only fix (Sorry, sorry…) is to copy the inputs into a fresh version of the spreadsheet.</t>
  </si>
  <si>
    <t>Q3: I am entering the inputs for my company but the optimal numbers do not seem to change from the originals.</t>
  </si>
  <si>
    <t>Q4: I am getting an optimal debt ratio of 0%. This can't be right. Can it?</t>
  </si>
  <si>
    <t>Please enter the date that you are doing this analysis</t>
  </si>
  <si>
    <t>Aaa/AAA</t>
  </si>
  <si>
    <t>Aa2/AA</t>
  </si>
  <si>
    <t>A2/A</t>
  </si>
  <si>
    <t>A3/A-</t>
  </si>
  <si>
    <t>Baa2/BBB</t>
  </si>
  <si>
    <t>Ba1/BB+</t>
  </si>
  <si>
    <t>Ba2/BB</t>
  </si>
  <si>
    <t>B1/B+</t>
  </si>
  <si>
    <t>B2/B</t>
  </si>
  <si>
    <t>B3/B-</t>
  </si>
  <si>
    <t>Caa/CCC</t>
  </si>
  <si>
    <t>Ca2/CC</t>
  </si>
  <si>
    <t>C2/C</t>
  </si>
  <si>
    <t>D2/D</t>
  </si>
  <si>
    <t>Low IBC</t>
  </si>
  <si>
    <t>Medium</t>
  </si>
  <si>
    <t xml:space="preserve"> High IBC</t>
  </si>
  <si>
    <t>Marginal tax rate to use for pre-tax cost of debt</t>
  </si>
  <si>
    <t>Country</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</si>
  <si>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</si>
  <si>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</si>
  <si>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</si>
  <si>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</si>
  <si>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</si>
  <si>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</si>
  <si>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</si>
  <si>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</si>
  <si>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</si>
  <si>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</si>
  <si>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</si>
  <si>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</si>
  <si>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</si>
  <si>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</si>
  <si>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</si>
  <si>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</si>
  <si>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</si>
  <si>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</si>
  <si>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</si>
  <si>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</si>
  <si>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</si>
  <si>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</si>
  <si>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</si>
  <si>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</si>
  <si>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</si>
  <si>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</si>
  <si>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</si>
  <si>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</si>
  <si>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</si>
  <si>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</si>
  <si>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</si>
  <si>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</si>
  <si>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</si>
  <si>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</si>
  <si>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El Salvador</t>
  </si>
  <si>
    <t>Fiji</t>
  </si>
  <si>
    <t>Finland</t>
  </si>
  <si>
    <t>France</t>
  </si>
  <si>
    <t>Georgia</t>
  </si>
  <si>
    <t>Germany</t>
  </si>
  <si>
    <t>Gibraltar</t>
  </si>
  <si>
    <t>Greece</t>
  </si>
  <si>
    <t>Guatemala</t>
  </si>
  <si>
    <t>Honduras</t>
  </si>
  <si>
    <t>Hungary</t>
  </si>
  <si>
    <t>Iceland</t>
  </si>
  <si>
    <t>India</t>
  </si>
  <si>
    <t>Indonesia</t>
  </si>
  <si>
    <t>Ireland</t>
  </si>
  <si>
    <t>Isle of Man</t>
  </si>
  <si>
    <t>Israel</t>
  </si>
  <si>
    <t>Italy</t>
  </si>
  <si>
    <t>Jamaica</t>
  </si>
  <si>
    <t>Japan</t>
  </si>
  <si>
    <t>Jordan</t>
  </si>
  <si>
    <t>Kazakhstan</t>
  </si>
  <si>
    <t>Kenya</t>
  </si>
  <si>
    <t>Kuwait</t>
  </si>
  <si>
    <t>Latvia</t>
  </si>
  <si>
    <t>Libya</t>
  </si>
  <si>
    <t>Liechtenstein</t>
  </si>
  <si>
    <t>Lithuania</t>
  </si>
  <si>
    <t>Luxembourg</t>
  </si>
  <si>
    <t>Macau</t>
  </si>
  <si>
    <t>Macedonia</t>
  </si>
  <si>
    <t>Malawi</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</si>
  <si>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</si>
  <si>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</si>
  <si>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</si>
  <si>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</si>
  <si>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</si>
  <si>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</si>
  <si>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</si>
  <si>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</si>
  <si>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</si>
  <si>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</si>
  <si>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</si>
  <si>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</si>
  <si>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</si>
  <si>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</si>
  <si>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</si>
  <si>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</si>
  <si>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</si>
  <si>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</si>
  <si>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</si>
  <si>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</si>
  <si>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</si>
  <si>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</si>
  <si>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</si>
  <si>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</si>
  <si>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</si>
  <si>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</si>
  <si>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</si>
  <si>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</si>
  <si>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</si>
  <si>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</si>
  <si>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Sudan</t>
  </si>
  <si>
    <t>Sweden</t>
  </si>
  <si>
    <t>Switzerland</t>
  </si>
  <si>
    <t>Syria</t>
  </si>
  <si>
    <t>Taiwan</t>
  </si>
  <si>
    <t>Tanzania</t>
  </si>
  <si>
    <t>Thailand</t>
  </si>
  <si>
    <t>Tunisia</t>
  </si>
  <si>
    <t>Turkey</t>
  </si>
  <si>
    <t>Uganda</t>
  </si>
  <si>
    <t>Ukraine</t>
  </si>
  <si>
    <t>United Arab Emirates</t>
  </si>
  <si>
    <t>United Kingdom</t>
  </si>
  <si>
    <t>United States</t>
  </si>
  <si>
    <t>Uruguay</t>
  </si>
  <si>
    <t>Venezuela</t>
  </si>
  <si>
    <t>Vietnam</t>
  </si>
  <si>
    <t>Yemen</t>
  </si>
  <si>
    <t>Zambia</t>
  </si>
  <si>
    <t>Zimbabwe</t>
  </si>
  <si>
    <t>Current riskfree rate in the currency of analysis =</t>
  </si>
  <si>
    <t>Market Information &amp; information on debt</t>
  </si>
  <si>
    <t>Indirect bankruptcy costs &amp; ratings constraints (if any)</t>
  </si>
  <si>
    <t>Do you want to incorporate indirect bankruptcy costs into your optimal?</t>
  </si>
  <si>
    <t>Yes/No</t>
  </si>
  <si>
    <t>If yes, specify the magnitude of your indirect bankruptcy costs</t>
  </si>
  <si>
    <t>IBC</t>
  </si>
  <si>
    <t>Type of firm</t>
  </si>
  <si>
    <t>Rating on Debt</t>
  </si>
  <si>
    <t>After-tax cost of Debt =</t>
  </si>
  <si>
    <t>Debt Value of Operating leases =</t>
  </si>
  <si>
    <t>Equity Risk Premium =</t>
  </si>
  <si>
    <t>Enter the current pre-tax cost of debt for your company</t>
  </si>
  <si>
    <t>Not rated</t>
  </si>
  <si>
    <t>Do you want the firm's current rating &amp; cost of debt to be adjusted to the synthetic rating?</t>
  </si>
  <si>
    <t>If so, enter the market value of "interest bearing" debt:</t>
  </si>
  <si>
    <t>Can you estimate the market value of the interest bearing debt?</t>
  </si>
  <si>
    <t>If yes, enter the weighted average maturity of outstanding debt?</t>
  </si>
  <si>
    <t>Interest expense on debt:</t>
  </si>
  <si>
    <t>Book value of debt:</t>
  </si>
  <si>
    <t>Drivers of the optimal debt ratio</t>
  </si>
  <si>
    <t>Marginal tax rate =</t>
  </si>
  <si>
    <t>Unlevered beta =</t>
  </si>
  <si>
    <t>Current Bond Rating on debt (if available):</t>
  </si>
  <si>
    <t>A1/A+</t>
  </si>
  <si>
    <r>
      <t xml:space="preserve">Enter the book value of </t>
    </r>
    <r>
      <rPr>
        <sz val="10"/>
        <color indexed="10"/>
        <rFont val="Times"/>
        <family val="1"/>
      </rPr>
      <t>total debt</t>
    </r>
    <r>
      <rPr>
        <sz val="10"/>
        <rFont val="Times"/>
        <family val="1"/>
      </rPr>
      <t xml:space="preserve">. If you have a market value enter that </t>
    </r>
  </si>
  <si>
    <t>This spreadsheet allows you to compute the optimal capital structure for a non-financial</t>
  </si>
  <si>
    <t>service firm</t>
  </si>
  <si>
    <t>Enter the current stock price, the current risk free rate, the equity  risk</t>
  </si>
  <si>
    <t>Enter a marginal tax rate, if you can find it. Otherwise, use the marginal tax rate of country</t>
  </si>
  <si>
    <t>Earnings before interest expenses, depreciation &amp; amortization (EBITDA)</t>
  </si>
  <si>
    <t>Depreciation with operating leases classified as debt =</t>
  </si>
  <si>
    <t>Interest Expense</t>
  </si>
  <si>
    <t>Interest Coverage Ratio</t>
  </si>
  <si>
    <t>Tax rate</t>
  </si>
  <si>
    <t>After-tax cost of debt</t>
  </si>
  <si>
    <t>Cash and marketable securities =</t>
  </si>
  <si>
    <t>Enterprise value =</t>
  </si>
  <si>
    <t xml:space="preserve">Enterprise value </t>
  </si>
  <si>
    <t>Enterprise Value</t>
  </si>
  <si>
    <t>EBITDA/ Enterprise value =</t>
  </si>
  <si>
    <t>EBIT/ Enterprise value =</t>
  </si>
  <si>
    <t>Current Debt =</t>
  </si>
  <si>
    <t>Debt at Optimal =</t>
  </si>
  <si>
    <t>New Debt issued =</t>
  </si>
  <si>
    <t>Stock price buyback effect</t>
  </si>
  <si>
    <t>Current Stock price =</t>
  </si>
  <si>
    <t>Expected buyback price =</t>
  </si>
  <si>
    <t># Shares bought back =</t>
  </si>
  <si>
    <t>Shares outstanding after buyback =</t>
  </si>
  <si>
    <t># Shares outstanding before buyback =</t>
  </si>
  <si>
    <t>Enterprise value after buyback =</t>
  </si>
  <si>
    <t xml:space="preserve"> + Cash</t>
  </si>
  <si>
    <t xml:space="preserve"> - Debt</t>
  </si>
  <si>
    <t xml:space="preserve">Equity value after buyback </t>
  </si>
  <si>
    <t>/ Number of shares after buyback</t>
  </si>
  <si>
    <t>Value per share for remaining shares</t>
  </si>
  <si>
    <t>Output Summary</t>
  </si>
  <si>
    <t>Debt to Capital</t>
  </si>
  <si>
    <t>Cost of capital</t>
  </si>
  <si>
    <t>Enterprise value</t>
  </si>
  <si>
    <t>Value per share</t>
  </si>
  <si>
    <t>For details, check "Optimal Capital Structure" worksheet</t>
  </si>
  <si>
    <t>Enter this number</t>
  </si>
  <si>
    <t>Algeria</t>
  </si>
  <si>
    <t>Cameroon</t>
  </si>
  <si>
    <t>Ghana</t>
  </si>
  <si>
    <t>Iraq</t>
  </si>
  <si>
    <t>Lebanon</t>
  </si>
  <si>
    <t>Moldova</t>
  </si>
  <si>
    <t>Morocco</t>
  </si>
  <si>
    <t>Sierra Leone</t>
  </si>
  <si>
    <t>Slovakia</t>
  </si>
  <si>
    <t>Suriname</t>
  </si>
  <si>
    <t>Anguilla</t>
  </si>
  <si>
    <t>Azerbaijan</t>
  </si>
  <si>
    <t>Benin</t>
  </si>
  <si>
    <t>Burkina Faso</t>
  </si>
  <si>
    <t>Ethiopia</t>
  </si>
  <si>
    <t>Gabon</t>
  </si>
  <si>
    <t>Gambia</t>
  </si>
  <si>
    <t>Ivory Coast</t>
  </si>
  <si>
    <t>Kyrgyzstan</t>
  </si>
  <si>
    <t>Madagascar</t>
  </si>
  <si>
    <t>Monaco</t>
  </si>
  <si>
    <t>Mongolia</t>
  </si>
  <si>
    <t>Myanmar</t>
  </si>
  <si>
    <t>Nicaragua</t>
  </si>
  <si>
    <t>Rwanda</t>
  </si>
  <si>
    <t>Saint Lucia</t>
  </si>
  <si>
    <t>Senegal</t>
  </si>
  <si>
    <t>Solomon Islands</t>
  </si>
  <si>
    <t>Swaziland</t>
  </si>
  <si>
    <t>Uzbekistan</t>
  </si>
  <si>
    <t>In December 2017, Congress passed a major tax reform that not only lowered the tax rate for US companies but alao imposed limits on interst tax deductions for tax purposes. Starting in 2018, interest will be deductible, for tax purposes, only if it is less than 30% of taxable income. However, Congress in its wisdom has defined EBITDA as taxable income until 2022 and EBIT thereafter. I have added an option to the spreadsheet to allow you to incorporate this limit.  If you are working with a company outside the US, just set the option to constrain interest expenses to no and you should be ready to go.</t>
  </si>
  <si>
    <t>Are there any restrictions on interest deductions for tax purposes?</t>
  </si>
  <si>
    <t>If yes, what earnings or operating measure is the restriction tied to?</t>
  </si>
  <si>
    <t>Earnings/Operating Measure</t>
  </si>
  <si>
    <t>Enter the maximum percentage of that measure that is deductible</t>
  </si>
  <si>
    <t>Tax rate for debt tax benefits (Interest limits)</t>
  </si>
  <si>
    <t>Tax rate for debt (deduction constraint)</t>
  </si>
  <si>
    <t>Interest deduction constraints</t>
  </si>
  <si>
    <t>Tax rate to use in after-tax cost of debt</t>
  </si>
  <si>
    <r>
      <t>Circular Reasoning/ Iteration</t>
    </r>
    <r>
      <rPr>
        <sz val="12"/>
        <rFont val="Calibri"/>
        <family val="2"/>
      </rPr>
      <t>I: When you open this spreadsheet, you may be warned that there is circular reasoning. That is a feature, not a bug, since I need to use circular reasoning to get to the interest rate at each level of debt. To get the spreadsheet working properly, go to Calculation options in Excel and make sure the iteraion box is checked.</t>
    </r>
  </si>
  <si>
    <t>Important: This spreadsheet includes circular references, by design. Please go into calculation options and check the iteration box.</t>
  </si>
  <si>
    <t>Country of incorporatiion</t>
  </si>
  <si>
    <t>Mature Market ERP +</t>
  </si>
  <si>
    <t>Changing this number will update all your country equity risk premiums.</t>
  </si>
  <si>
    <t>Moody's rating</t>
  </si>
  <si>
    <t>Adj. Default Spread</t>
  </si>
  <si>
    <t>Equity Risk Premium</t>
  </si>
  <si>
    <t>Country Risk Premium</t>
  </si>
  <si>
    <t>Corporate Tax Rate</t>
  </si>
  <si>
    <t>Abu Dhabi</t>
  </si>
  <si>
    <t>Aa2</t>
  </si>
  <si>
    <t>B1</t>
  </si>
  <si>
    <t>NR</t>
  </si>
  <si>
    <t>Andorra (Principality of)</t>
  </si>
  <si>
    <t>Baa2</t>
  </si>
  <si>
    <t>B3</t>
  </si>
  <si>
    <t>Ca</t>
  </si>
  <si>
    <t>Ba3</t>
  </si>
  <si>
    <t>Aaa</t>
  </si>
  <si>
    <t>Aa1</t>
  </si>
  <si>
    <t>Ba1</t>
  </si>
  <si>
    <t>B2</t>
  </si>
  <si>
    <t>Caa1</t>
  </si>
  <si>
    <t>Aa3</t>
  </si>
  <si>
    <t>Belize</t>
  </si>
  <si>
    <t>Caa2</t>
  </si>
  <si>
    <t>A2</t>
  </si>
  <si>
    <t>A3</t>
  </si>
  <si>
    <t>Ba2</t>
  </si>
  <si>
    <t>Brunei</t>
  </si>
  <si>
    <t>Baa1</t>
  </si>
  <si>
    <t>Cape Verde</t>
  </si>
  <si>
    <t>A1</t>
  </si>
  <si>
    <t>Congo (Democratic Republic of)</t>
  </si>
  <si>
    <t>Congo (Republic of)</t>
  </si>
  <si>
    <t>Cook Islands</t>
  </si>
  <si>
    <t>Cuba</t>
  </si>
  <si>
    <t>Caa3</t>
  </si>
  <si>
    <t>Guernsey (States of)</t>
  </si>
  <si>
    <t>Guinea</t>
  </si>
  <si>
    <t>Guinea-Bissau</t>
  </si>
  <si>
    <t>Guyana</t>
  </si>
  <si>
    <t>Haiti</t>
  </si>
  <si>
    <t>Hong Kong</t>
  </si>
  <si>
    <t>Baa3</t>
  </si>
  <si>
    <t>Iran</t>
  </si>
  <si>
    <t>Jersey (States of)</t>
  </si>
  <si>
    <t>Korea, D.P.R.</t>
  </si>
  <si>
    <t>Laos</t>
  </si>
  <si>
    <t>Liberia</t>
  </si>
  <si>
    <t>Maldives</t>
  </si>
  <si>
    <t>Mali</t>
  </si>
  <si>
    <t>Montserrat</t>
  </si>
  <si>
    <t>Niger</t>
  </si>
  <si>
    <t>Ras Al Khaimah (Emirate of)</t>
  </si>
  <si>
    <t>Sharjah</t>
  </si>
  <si>
    <t>Somalia</t>
  </si>
  <si>
    <t>St. Maarten</t>
  </si>
  <si>
    <t>St. Vincent &amp; the Grenadines</t>
  </si>
  <si>
    <t>Tajikistan</t>
  </si>
  <si>
    <t>Togo</t>
  </si>
  <si>
    <t>Region</t>
  </si>
  <si>
    <t>Africa</t>
  </si>
  <si>
    <t>Asia</t>
  </si>
  <si>
    <t>Australia &amp; New Zealand</t>
  </si>
  <si>
    <t>Caribbean</t>
  </si>
  <si>
    <t>Central and South America</t>
  </si>
  <si>
    <t>Eastern Europe &amp; Russia</t>
  </si>
  <si>
    <t>Middle East</t>
  </si>
  <si>
    <t>North America</t>
  </si>
  <si>
    <t>Western Europe</t>
  </si>
  <si>
    <t>Global</t>
  </si>
  <si>
    <t>Debt to EBITDA</t>
  </si>
  <si>
    <t>Interest Coverage</t>
  </si>
  <si>
    <t>Total Debt =</t>
  </si>
  <si>
    <t>(I use the country of incorporation. If you want to override it, you can)</t>
  </si>
  <si>
    <t>If you are a multinational company and have a breakdown by country, you can use this table (for up to 10 countries)</t>
  </si>
  <si>
    <t>Revenues</t>
  </si>
  <si>
    <t>ERP</t>
  </si>
  <si>
    <t>Weight</t>
  </si>
  <si>
    <t>Weighted ERP</t>
  </si>
  <si>
    <t>The last two rows in each of country/regiion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</si>
  <si>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Total</t>
  </si>
  <si>
    <t>If you are a multinational company and have a breakdown only by region, you can use this table instead</t>
  </si>
  <si>
    <t>Input Cell</t>
  </si>
  <si>
    <t>Calculated/Output Cell</t>
  </si>
  <si>
    <t>For infrastructure companies/Utilities</t>
  </si>
  <si>
    <t>Riskfree Rate =</t>
  </si>
  <si>
    <t>Current riskfree rate =</t>
  </si>
  <si>
    <t>Disney</t>
  </si>
  <si>
    <t>BB+</t>
  </si>
  <si>
    <t>2023</t>
  </si>
  <si>
    <t>Antigua &amp; Barbuda</t>
  </si>
  <si>
    <t>British Virgin Islands</t>
  </si>
  <si>
    <t>Channel Islands</t>
  </si>
  <si>
    <t>Curaçao</t>
  </si>
  <si>
    <t>Falkland Islands</t>
  </si>
  <si>
    <t>French Guiana</t>
  </si>
  <si>
    <t>Greenland</t>
  </si>
  <si>
    <t>Martinique</t>
  </si>
  <si>
    <t>Netherlands Antilles</t>
  </si>
  <si>
    <t>Palestinian Authority</t>
  </si>
  <si>
    <t>Reunion</t>
  </si>
  <si>
    <t>South Korea</t>
  </si>
  <si>
    <t>Trinidad &amp;' Tobago</t>
  </si>
  <si>
    <t>Turks &amp; Caicos Islands</t>
  </si>
  <si>
    <t>(See marginal tax rate worksheet)</t>
  </si>
  <si>
    <t>Updated January 1, 2024</t>
  </si>
  <si>
    <t>Default Spread</t>
  </si>
  <si>
    <t>CRP</t>
  </si>
  <si>
    <t>(Enter 1 if  safe &amp; large market cap firm, 2 if risky or small market cap firm, 3 I inflrastructure company or utility)</t>
  </si>
  <si>
    <t>For large non-financial service firms</t>
  </si>
  <si>
    <t>For smaller and riskier non-financial service firms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</si>
</sst>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5" formatCode="&quot;$&quot;#,##0_);\(&quot;$&quot;#,##0\)"/>
    <numFmt numFmtId="6" formatCode="&quot;$&quot;#,##0_);[Red]\(&quot;$&quot;#,##0\)"/>
    <numFmt numFmtId="7" formatCode="&quot;$&quot;#,##0.00_);\(&quot;$&quot;#,##0.00\)"/>
    <numFmt numFmtId="8" formatCode="&quot;$&quot;#,##0.00_);[Red]\(&quot;$&quot;#,##0.00\)"/>
    <numFmt numFmtId="44" formatCode="_(&quot;$&quot;* #,##0.00_);_(&quot;$&quot;* \(#,##0.00\);_(&quot;$&quot;* &quot;-&quot;??_);_(@_)"/>
    <numFmt numFmtId="164" formatCode="0.0%"/>
    <numFmt numFmtId="165" formatCode="[$-409]mmmm\ d\,\ yyyy;@"/>
    <numFmt numFmtId="166" formatCode="0.0000"/>
    <numFmt numFmtId="167" formatCode="&quot;$&quot;#,##0.00"/>
    <numFmt numFmtId="168" formatCode="&quot;$&quot;#,##0"/>
    <numFmt numFmtId="169" formatCode="0.0000%"/>
    <numFmt numFmtId="170" formatCode="[$₹-4009]\ #,##0;[Red][$₹-4009]\ \-#,##0"/>
  </numFmts>
  <fonts count="40">
    <font>
      <sz val="10"/>
      <name val="Geneva"/>
    </font>
    <font>
      <sz val="12"/>
      <name val="Calibri"/>
      <family val="2"/>
    </font>
    <font>
      <sz val="12"/>
      <color theme="1"/>
      <name val="Calibri"/>
      <family val="2"/>
      <scheme val="minor"/>
    </font>
    <font>
      <sz val="12"/>
      <color theme="1"/>
      <name val="Calibri"/>
      <family val="2"/>
      <scheme val="minor"/>
    </font>
    <font>
      <b/>
      <sz val="10"/>
      <name val="Geneva"/>
      <family val="2"/>
    </font>
    <font>
      <sz val="10"/>
      <name val="Geneva"/>
      <family val="2"/>
    </font>
    <font>
      <sz val="12"/>
      <name val="Times"/>
      <family val="1"/>
    </font>
    <font>
      <b/>
      <sz val="10"/>
      <name val="Times"/>
      <family val="1"/>
    </font>
    <font>
      <sz val="10"/>
      <name val="Times"/>
      <family val="1"/>
    </font>
    <font>
      <i/>
      <sz val="10"/>
      <name val="Times"/>
      <family val="1"/>
    </font>
    <font>
      <b/>
      <i/>
      <sz val="10"/>
      <name val="Times"/>
      <family val="1"/>
    </font>
    <font>
      <sz val="9"/>
      <color indexed="81"/>
      <name val="Geneva"/>
      <family val="2"/>
    </font>
    <font>
      <b/>
      <sz val="9"/>
      <color indexed="81"/>
      <name val="Geneva"/>
      <family val="2"/>
    </font>
    <font>
      <b/>
      <sz val="14"/>
      <name val="Times"/>
      <family val="1"/>
    </font>
    <font>
      <sz val="10"/>
      <color indexed="10"/>
      <name val="Times"/>
      <family val="1"/>
    </font>
    <font>
      <b/>
      <i/>
      <sz val="14"/>
      <name val="Times"/>
      <family val="1"/>
    </font>
    <font>
      <b/>
      <sz val="10"/>
      <color indexed="10"/>
      <name val="Times"/>
      <family val="1"/>
    </font>
    <font>
      <b/>
      <i/>
      <sz val="10"/>
      <color indexed="10"/>
      <name val="Times"/>
      <family val="1"/>
    </font>
    <font>
      <i/>
      <sz val="10"/>
      <color indexed="10"/>
      <name val="Times"/>
      <family val="1"/>
    </font>
    <font>
      <sz val="8"/>
      <name val="Geneva"/>
      <family val="2"/>
    </font>
    <font>
      <sz val="8"/>
      <name val="Verdana"/>
      <family val="2"/>
    </font>
    <font>
      <b/>
      <sz val="14"/>
      <name val="Geneva"/>
      <family val="2"/>
    </font>
    <font>
      <sz val="10"/>
      <name val="Calibri"/>
      <family val="2"/>
      <scheme val="minor"/>
    </font>
    <font>
      <i/>
      <sz val="10"/>
      <name val="Calibri"/>
      <family val="2"/>
      <scheme val="minor"/>
    </font>
    <font>
      <b/>
      <sz val="12"/>
      <name val="Calibri"/>
      <family val="2"/>
      <scheme val="minor"/>
    </font>
    <font>
      <sz val="10"/>
      <color rgb="FFFF0000"/>
      <name val="Geneva"/>
      <family val="2"/>
    </font>
    <font>
      <sz val="12"/>
      <name val="Calibri"/>
      <family val="2"/>
      <scheme val="minor"/>
    </font>
    <font>
      <i/>
      <sz val="12"/>
      <name val="Calibri"/>
      <family val="2"/>
      <scheme val="minor"/>
    </font>
    <font>
      <b/>
      <i/>
      <sz val="12"/>
      <name val="Calibri"/>
      <family val="2"/>
      <scheme val="minor"/>
    </font>
    <font>
      <sz val="9"/>
      <color rgb="FF000000"/>
      <name val="Geneva"/>
      <family val="2"/>
      <charset val="1"/>
    </font>
    <font>
      <b/>
      <sz val="9"/>
      <color rgb="FF000000"/>
      <name val="Geneva"/>
      <family val="2"/>
      <charset val="1"/>
    </font>
    <font>
      <i/>
      <sz val="12"/>
      <color theme="1"/>
      <name val="Calibri"/>
      <family val="2"/>
      <scheme val="minor"/>
    </font>
    <font>
      <i/>
      <sz val="10"/>
      <name val="Geneva"/>
      <family val="2"/>
      <charset val="1"/>
    </font>
    <font>
      <i/>
      <sz val="12"/>
      <name val="Times"/>
      <family val="1"/>
    </font>
    <font>
      <i/>
      <sz val="9"/>
      <name val="Geneva"/>
      <family val="2"/>
      <charset val="1"/>
    </font>
    <font>
      <b/>
      <sz val="10"/>
      <color rgb="FF000000"/>
      <name val="Tahoma"/>
      <family val="2"/>
    </font>
    <font>
      <sz val="10"/>
      <color rgb="FF000000"/>
      <name val="Tahoma"/>
      <family val="2"/>
    </font>
    <font>
      <b/>
      <i/>
      <sz val="12"/>
      <name val="Times"/>
      <family val="1"/>
    </font>
    <font>
      <sz val="12"/>
      <color theme="1"/>
      <name val="Arial"/>
      <family val="2"/>
    </font>
    <font>
      <sz val="12"/>
      <name val="Times New Roman"/>
      <family val="1"/>
    </font>
  </fonts>
  <fills count="11">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indexed="43"/>
        <bgColor indexed="64"/>
      </patternFill>
    </fill>
    <fill>
      <patternFill patternType="solid">
        <fgColor rgb="FFCCFFCC"/>
        <bgColor indexed="64"/>
      </patternFill>
    </fill>
    <fill>
      <patternFill patternType="solid">
        <fgColor rgb="FFFFFF00"/>
        <bgColor indexed="64"/>
      </patternFill>
    </fill>
    <fill>
      <patternFill patternType="solid">
        <fgColor theme="0"/>
        <bgColor indexed="64"/>
      </patternFill>
    </fill>
    <fill>
      <patternFill patternType="solid">
        <fgColor theme="2"/>
        <bgColor indexed="64"/>
      </patternFill>
    </fill>
    <fill>
      <patternFill patternType="solid">
        <fgColor theme="0" tint="-0.14999847407452621"/>
        <bgColor indexed="64"/>
      </patternFill>
    </fill>
    <fill>
      <patternFill patternType="solid">
        <fgColor theme="2"/>
        <bgColor theme="0" tint="-0.14999847407452621"/>
      </patternFill>
    </fill>
  </fills>
  <borders count="49">
    <border>
      <left/>
      <right/>
      <top/>
      <bottom/>
      <diagonal/>
    </border>
    <border>
      <left style="thin">
        <color indexed="64"/>
      </left>
      <right style="thin">
        <color indexed="64"/>
      </right>
      <top style="thin">
        <color indexed="64"/>
      </top>
      <bottom style="thin">
        <color indexed="64"/>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diagonal/>
    </border>
    <border>
      <left style="thin">
        <color indexed="64"/>
      </left>
      <right/>
      <top/>
      <bottom style="double">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double">
        <color indexed="64"/>
      </right>
      <top/>
      <bottom style="double">
        <color indexed="64"/>
      </bottom>
      <diagonal/>
    </border>
    <border>
      <left style="thin">
        <color indexed="64"/>
      </left>
      <right style="thin">
        <color indexed="64"/>
      </right>
      <top/>
      <bottom/>
      <diagonal/>
    </border>
    <border>
      <left/>
      <right style="thin">
        <color indexed="64"/>
      </right>
      <top/>
      <bottom style="thin">
        <color indexed="64"/>
      </bottom>
      <diagonal/>
    </border>
    <border>
      <left/>
      <right style="thin">
        <color indexed="64"/>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style="double">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theme="6" tint="0.79998168889431442"/>
      </top>
      <bottom style="thin">
        <color theme="6" tint="0.79998168889431442"/>
      </bottom>
      <diagonal/>
    </border>
    <border>
      <left style="thin">
        <color theme="1"/>
      </left>
      <right style="thin">
        <color theme="1"/>
      </right>
      <top style="thin">
        <color theme="1"/>
      </top>
      <bottom style="thin">
        <color theme="1"/>
      </bottom>
      <diagonal/>
    </border>
  </borders>
  <cellStyleXfs count="4">
    <xf numFmtId="0" fontId="0" fillId="0" borderId="0"/>
    <xf numFmtId="4" fontId="5" fillId="0" borderId="0" applyFont="0" applyFill="0" applyBorder="0" applyAlignment="0" applyProtection="0"/>
    <xf numFmtId="8" fontId="5" fillId="0" borderId="0" applyFont="0" applyFill="0" applyBorder="0" applyAlignment="0" applyProtection="0"/>
    <xf numFmtId="9" fontId="5" fillId="0" borderId="0" applyFont="0" applyFill="0" applyBorder="0" applyAlignment="0" applyProtection="0"/>
  </cellStyleXfs>
  <cellXfs count="295">
    <xf numFmtId="0" fontId="0" fillId="0" borderId="0" xfId="0"/>
    <xf numFmtId="0" fontId="6" fillId="0" borderId="0" xfId="0" applyFont="1"/>
    <xf numFmtId="0" fontId="7" fillId="0" borderId="0" xfId="0" applyFont="1"/>
    <xf numFmtId="0" fontId="8" fillId="0" borderId="0" xfId="0" applyFont="1"/>
    <xf numFmtId="0" fontId="8" fillId="0" borderId="0" xfId="0" applyFont="1" applyAlignment="1">
      <alignment horizontal="center"/>
    </xf>
    <xf numFmtId="0" fontId="9" fillId="0" borderId="0" xfId="0" applyFont="1"/>
    <xf numFmtId="0" fontId="8" fillId="0" borderId="1" xfId="0" applyFont="1" applyBorder="1" applyAlignment="1">
      <alignment horizontal="center"/>
    </xf>
    <xf numFmtId="10" fontId="8" fillId="0" borderId="1" xfId="0" applyNumberFormat="1" applyFont="1" applyBorder="1" applyAlignment="1">
      <alignment horizontal="center"/>
    </xf>
    <xf numFmtId="0" fontId="10" fillId="0" borderId="0" xfId="0" applyFont="1"/>
    <xf numFmtId="10" fontId="8" fillId="0" borderId="0" xfId="0" applyNumberFormat="1" applyFont="1" applyAlignment="1">
      <alignment horizontal="center"/>
    </xf>
    <xf numFmtId="0" fontId="9" fillId="0" borderId="2" xfId="0" applyFont="1" applyBorder="1"/>
    <xf numFmtId="0" fontId="9" fillId="0" borderId="3" xfId="0" applyFont="1" applyBorder="1"/>
    <xf numFmtId="0" fontId="9" fillId="0" borderId="4" xfId="0" applyFont="1" applyBorder="1"/>
    <xf numFmtId="0" fontId="8" fillId="0" borderId="5" xfId="0" applyFont="1" applyBorder="1"/>
    <xf numFmtId="10" fontId="8" fillId="0" borderId="6" xfId="0" applyNumberFormat="1" applyFont="1" applyBorder="1" applyAlignment="1">
      <alignment horizontal="center"/>
    </xf>
    <xf numFmtId="0" fontId="8" fillId="0" borderId="7" xfId="0" applyFont="1" applyBorder="1"/>
    <xf numFmtId="0" fontId="8" fillId="0" borderId="8" xfId="0" applyFont="1" applyBorder="1"/>
    <xf numFmtId="10" fontId="8" fillId="0" borderId="8" xfId="0" applyNumberFormat="1" applyFont="1" applyBorder="1" applyAlignment="1">
      <alignment horizontal="center"/>
    </xf>
    <xf numFmtId="0" fontId="9" fillId="0" borderId="9" xfId="0" applyFont="1" applyBorder="1" applyAlignment="1">
      <alignment horizontal="centerContinuous"/>
    </xf>
    <xf numFmtId="0" fontId="9" fillId="0" borderId="10" xfId="0" applyFont="1" applyBorder="1" applyAlignment="1">
      <alignment horizontal="centerContinuous"/>
    </xf>
    <xf numFmtId="0" fontId="9" fillId="0" borderId="11" xfId="0" applyFont="1" applyBorder="1" applyAlignment="1">
      <alignment horizontal="centerContinuous"/>
    </xf>
    <xf numFmtId="2" fontId="8" fillId="0" borderId="1" xfId="0" applyNumberFormat="1" applyFont="1" applyBorder="1" applyAlignment="1">
      <alignment horizontal="center"/>
    </xf>
    <xf numFmtId="0" fontId="8" fillId="0" borderId="12" xfId="0" applyFont="1" applyBorder="1"/>
    <xf numFmtId="10" fontId="8" fillId="0" borderId="0" xfId="0" applyNumberFormat="1" applyFont="1"/>
    <xf numFmtId="10" fontId="7" fillId="0" borderId="0" xfId="0" applyNumberFormat="1" applyFont="1" applyAlignment="1">
      <alignment horizontal="center"/>
    </xf>
    <xf numFmtId="0" fontId="8" fillId="0" borderId="13" xfId="0" applyFont="1" applyBorder="1"/>
    <xf numFmtId="10" fontId="8" fillId="0" borderId="14" xfId="0" applyNumberFormat="1" applyFont="1" applyBorder="1" applyAlignment="1">
      <alignment horizontal="center"/>
    </xf>
    <xf numFmtId="10" fontId="8" fillId="0" borderId="15" xfId="0" applyNumberFormat="1" applyFont="1" applyBorder="1" applyAlignment="1">
      <alignment horizontal="center"/>
    </xf>
    <xf numFmtId="0" fontId="8" fillId="0" borderId="0" xfId="0" applyFont="1" applyAlignment="1">
      <alignment horizontal="left"/>
    </xf>
    <xf numFmtId="5" fontId="8" fillId="0" borderId="0" xfId="0" applyNumberFormat="1" applyFont="1" applyAlignment="1">
      <alignment horizontal="center"/>
    </xf>
    <xf numFmtId="0" fontId="8" fillId="0" borderId="18" xfId="0" applyFont="1" applyBorder="1" applyAlignment="1">
      <alignment horizontal="center"/>
    </xf>
    <xf numFmtId="0" fontId="8" fillId="0" borderId="19" xfId="0" applyFont="1" applyBorder="1" applyAlignment="1">
      <alignment horizontal="center"/>
    </xf>
    <xf numFmtId="9" fontId="8" fillId="0" borderId="1" xfId="0" applyNumberFormat="1" applyFont="1" applyBorder="1" applyAlignment="1">
      <alignment horizontal="center"/>
    </xf>
    <xf numFmtId="10" fontId="8" fillId="0" borderId="1" xfId="3" applyNumberFormat="1" applyFont="1" applyBorder="1" applyAlignment="1">
      <alignment horizontal="center"/>
    </xf>
    <xf numFmtId="5" fontId="8" fillId="0" borderId="1" xfId="0" applyNumberFormat="1" applyFont="1" applyBorder="1" applyAlignment="1">
      <alignment horizontal="center"/>
    </xf>
    <xf numFmtId="0" fontId="8" fillId="0" borderId="1" xfId="0" applyFont="1" applyBorder="1"/>
    <xf numFmtId="0" fontId="13" fillId="0" borderId="0" xfId="0" applyFont="1"/>
    <xf numFmtId="0" fontId="5" fillId="0" borderId="0" xfId="0" applyFont="1"/>
    <xf numFmtId="2" fontId="7" fillId="0" borderId="20" xfId="0" applyNumberFormat="1" applyFont="1" applyBorder="1" applyAlignment="1">
      <alignment horizontal="center"/>
    </xf>
    <xf numFmtId="0" fontId="4" fillId="0" borderId="21" xfId="0" applyFont="1" applyBorder="1" applyAlignment="1">
      <alignment horizontal="center"/>
    </xf>
    <xf numFmtId="10" fontId="4" fillId="0" borderId="20" xfId="3" applyNumberFormat="1" applyFont="1" applyBorder="1" applyAlignment="1">
      <alignment horizontal="center"/>
    </xf>
    <xf numFmtId="10" fontId="7" fillId="0" borderId="20" xfId="0" applyNumberFormat="1" applyFont="1" applyBorder="1" applyAlignment="1">
      <alignment horizontal="center"/>
    </xf>
    <xf numFmtId="0" fontId="9" fillId="0" borderId="1" xfId="0" applyFont="1" applyBorder="1" applyAlignment="1">
      <alignment horizontal="centerContinuous"/>
    </xf>
    <xf numFmtId="0" fontId="9" fillId="0" borderId="1" xfId="0" applyFont="1" applyBorder="1"/>
    <xf numFmtId="0" fontId="9" fillId="0" borderId="1" xfId="0" applyFont="1" applyBorder="1" applyAlignment="1">
      <alignment horizontal="center"/>
    </xf>
    <xf numFmtId="0" fontId="8" fillId="0" borderId="18" xfId="0" applyFont="1" applyBorder="1"/>
    <xf numFmtId="2" fontId="8" fillId="0" borderId="0" xfId="0" applyNumberFormat="1" applyFont="1" applyAlignment="1">
      <alignment horizontal="center"/>
    </xf>
    <xf numFmtId="10" fontId="8" fillId="0" borderId="0" xfId="3" applyNumberFormat="1" applyFont="1"/>
    <xf numFmtId="10" fontId="8" fillId="0" borderId="1" xfId="0" applyNumberFormat="1" applyFont="1" applyBorder="1"/>
    <xf numFmtId="10" fontId="8" fillId="0" borderId="1" xfId="3" applyNumberFormat="1" applyFont="1" applyBorder="1"/>
    <xf numFmtId="0" fontId="9" fillId="0" borderId="18" xfId="0" applyFont="1" applyBorder="1" applyAlignment="1">
      <alignment horizontal="center"/>
    </xf>
    <xf numFmtId="0" fontId="9" fillId="0" borderId="19" xfId="0" applyFont="1" applyBorder="1" applyAlignment="1">
      <alignment horizontal="center"/>
    </xf>
    <xf numFmtId="0" fontId="9" fillId="0" borderId="18" xfId="0" applyFont="1" applyBorder="1"/>
    <xf numFmtId="0" fontId="9" fillId="0" borderId="19" xfId="0" applyFont="1" applyBorder="1"/>
    <xf numFmtId="0" fontId="8" fillId="0" borderId="19" xfId="0" applyFont="1" applyBorder="1"/>
    <xf numFmtId="0" fontId="9" fillId="0" borderId="23" xfId="0" applyFont="1" applyBorder="1"/>
    <xf numFmtId="0" fontId="8" fillId="0" borderId="23" xfId="0" applyFont="1" applyBorder="1"/>
    <xf numFmtId="0" fontId="8" fillId="0" borderId="11" xfId="0" applyFont="1" applyBorder="1" applyAlignment="1">
      <alignment horizontal="left"/>
    </xf>
    <xf numFmtId="0" fontId="8" fillId="0" borderId="24" xfId="0" applyFont="1" applyBorder="1" applyAlignment="1">
      <alignment horizontal="left"/>
    </xf>
    <xf numFmtId="0" fontId="9" fillId="0" borderId="18" xfId="0" applyFont="1" applyBorder="1" applyAlignment="1">
      <alignment horizontal="left"/>
    </xf>
    <xf numFmtId="0" fontId="10" fillId="0" borderId="19" xfId="0" applyFont="1" applyBorder="1" applyAlignment="1">
      <alignment horizontal="center"/>
    </xf>
    <xf numFmtId="0" fontId="13" fillId="0" borderId="0" xfId="0" applyFont="1" applyAlignment="1">
      <alignment horizontal="centerContinuous"/>
    </xf>
    <xf numFmtId="0" fontId="6" fillId="0" borderId="9" xfId="0" applyFont="1" applyBorder="1" applyAlignment="1">
      <alignment horizontal="left"/>
    </xf>
    <xf numFmtId="0" fontId="6" fillId="0" borderId="10" xfId="0" applyFont="1" applyBorder="1" applyAlignment="1">
      <alignment horizontal="centerContinuous"/>
    </xf>
    <xf numFmtId="0" fontId="6" fillId="0" borderId="11" xfId="0" applyFont="1" applyBorder="1" applyAlignment="1">
      <alignment horizontal="centerContinuous"/>
    </xf>
    <xf numFmtId="0" fontId="6" fillId="0" borderId="0" xfId="0" applyFont="1" applyAlignment="1">
      <alignment horizontal="centerContinuous"/>
    </xf>
    <xf numFmtId="0" fontId="6" fillId="0" borderId="16" xfId="0" applyFont="1" applyBorder="1" applyAlignment="1">
      <alignment horizontal="left"/>
    </xf>
    <xf numFmtId="0" fontId="6" fillId="0" borderId="25" xfId="0" applyFont="1" applyBorder="1" applyAlignment="1">
      <alignment horizontal="centerContinuous"/>
    </xf>
    <xf numFmtId="0" fontId="6" fillId="0" borderId="26" xfId="0" applyFont="1" applyBorder="1" applyAlignment="1">
      <alignment horizontal="left"/>
    </xf>
    <xf numFmtId="0" fontId="6" fillId="0" borderId="12" xfId="0" applyFont="1" applyBorder="1" applyAlignment="1">
      <alignment horizontal="left"/>
    </xf>
    <xf numFmtId="0" fontId="6" fillId="0" borderId="24" xfId="0" applyFont="1" applyBorder="1" applyAlignment="1">
      <alignment horizontal="left"/>
    </xf>
    <xf numFmtId="0" fontId="6" fillId="0" borderId="0" xfId="0" applyFont="1" applyAlignment="1">
      <alignment horizontal="left"/>
    </xf>
    <xf numFmtId="8" fontId="8" fillId="3" borderId="1" xfId="2" applyFont="1" applyFill="1" applyBorder="1"/>
    <xf numFmtId="44" fontId="8" fillId="3" borderId="1" xfId="2" applyNumberFormat="1" applyFont="1" applyFill="1" applyBorder="1"/>
    <xf numFmtId="10" fontId="8" fillId="0" borderId="20" xfId="0" applyNumberFormat="1" applyFont="1" applyBorder="1" applyAlignment="1">
      <alignment horizontal="center"/>
    </xf>
    <xf numFmtId="8" fontId="7" fillId="0" borderId="0" xfId="2" applyFont="1" applyBorder="1"/>
    <xf numFmtId="0" fontId="8" fillId="2" borderId="1" xfId="0" applyFont="1" applyFill="1" applyBorder="1" applyAlignment="1">
      <alignment horizontal="center"/>
    </xf>
    <xf numFmtId="44" fontId="8" fillId="2" borderId="1" xfId="0" applyNumberFormat="1" applyFont="1" applyFill="1" applyBorder="1"/>
    <xf numFmtId="8" fontId="8" fillId="2" borderId="1" xfId="2" applyFont="1" applyFill="1" applyBorder="1"/>
    <xf numFmtId="44" fontId="8" fillId="2" borderId="18" xfId="0" applyNumberFormat="1" applyFont="1" applyFill="1" applyBorder="1"/>
    <xf numFmtId="8" fontId="8" fillId="2" borderId="18" xfId="2" applyFont="1" applyFill="1" applyBorder="1"/>
    <xf numFmtId="0" fontId="8" fillId="0" borderId="20" xfId="0" applyFont="1" applyBorder="1"/>
    <xf numFmtId="44" fontId="8" fillId="2" borderId="20" xfId="0" applyNumberFormat="1" applyFont="1" applyFill="1" applyBorder="1"/>
    <xf numFmtId="44" fontId="8" fillId="2" borderId="21" xfId="0" applyNumberFormat="1" applyFont="1" applyFill="1" applyBorder="1"/>
    <xf numFmtId="0" fontId="9" fillId="0" borderId="27" xfId="0" applyFont="1" applyBorder="1" applyAlignment="1">
      <alignment horizontal="centerContinuous"/>
    </xf>
    <xf numFmtId="0" fontId="9" fillId="0" borderId="27" xfId="0" applyFont="1" applyBorder="1"/>
    <xf numFmtId="0" fontId="9" fillId="0" borderId="24" xfId="0" applyFont="1" applyBorder="1" applyAlignment="1">
      <alignment horizontal="center"/>
    </xf>
    <xf numFmtId="0" fontId="8" fillId="0" borderId="24" xfId="0" applyFont="1" applyBorder="1" applyAlignment="1">
      <alignment horizontal="center"/>
    </xf>
    <xf numFmtId="2" fontId="8" fillId="0" borderId="19" xfId="0" applyNumberFormat="1" applyFont="1" applyBorder="1" applyAlignment="1">
      <alignment horizontal="center"/>
    </xf>
    <xf numFmtId="0" fontId="8" fillId="0" borderId="27" xfId="0" applyFont="1" applyBorder="1" applyAlignment="1">
      <alignment horizontal="centerContinuous"/>
    </xf>
    <xf numFmtId="0" fontId="8" fillId="0" borderId="27" xfId="0" applyFont="1" applyBorder="1" applyAlignment="1">
      <alignment horizontal="center"/>
    </xf>
    <xf numFmtId="0" fontId="0" fillId="0" borderId="0" xfId="0" applyAlignment="1">
      <alignment horizontal="center"/>
    </xf>
    <xf numFmtId="0" fontId="8" fillId="0" borderId="1" xfId="0" applyFont="1" applyBorder="1" applyAlignment="1">
      <alignment horizontal="left"/>
    </xf>
    <xf numFmtId="0" fontId="0" fillId="0" borderId="1" xfId="0" applyBorder="1" applyAlignment="1">
      <alignment horizontal="center"/>
    </xf>
    <xf numFmtId="0" fontId="23" fillId="0" borderId="1" xfId="0" applyFont="1" applyBorder="1" applyAlignment="1">
      <alignment horizontal="center"/>
    </xf>
    <xf numFmtId="0" fontId="22" fillId="0" borderId="1" xfId="0" applyFont="1" applyBorder="1" applyAlignment="1">
      <alignment horizontal="center"/>
    </xf>
    <xf numFmtId="10" fontId="22" fillId="0" borderId="1" xfId="3" applyNumberFormat="1" applyFont="1" applyBorder="1" applyAlignment="1">
      <alignment horizontal="center"/>
    </xf>
    <xf numFmtId="9" fontId="22" fillId="0" borderId="1" xfId="0" applyNumberFormat="1" applyFont="1" applyBorder="1" applyAlignment="1">
      <alignment horizontal="center"/>
    </xf>
    <xf numFmtId="0" fontId="22" fillId="0" borderId="16" xfId="0" applyFont="1" applyBorder="1" applyAlignment="1">
      <alignment horizontal="center"/>
    </xf>
    <xf numFmtId="0" fontId="24" fillId="0" borderId="0" xfId="0" applyFont="1"/>
    <xf numFmtId="0" fontId="16" fillId="0" borderId="0" xfId="0" applyFont="1"/>
    <xf numFmtId="10" fontId="10" fillId="0" borderId="0" xfId="0" applyNumberFormat="1" applyFont="1" applyAlignment="1">
      <alignment horizontal="center"/>
    </xf>
    <xf numFmtId="10" fontId="8" fillId="0" borderId="1" xfId="0" applyNumberFormat="1" applyFont="1" applyBorder="1" applyAlignment="1">
      <alignment horizontal="left"/>
    </xf>
    <xf numFmtId="8" fontId="8" fillId="5" borderId="20" xfId="0" applyNumberFormat="1" applyFont="1" applyFill="1" applyBorder="1"/>
    <xf numFmtId="10" fontId="8" fillId="5" borderId="20" xfId="0" applyNumberFormat="1" applyFont="1" applyFill="1" applyBorder="1"/>
    <xf numFmtId="0" fontId="8" fillId="5" borderId="20" xfId="0" applyFont="1" applyFill="1" applyBorder="1"/>
    <xf numFmtId="8" fontId="8" fillId="5" borderId="1" xfId="2" applyFont="1" applyFill="1" applyBorder="1"/>
    <xf numFmtId="0" fontId="8" fillId="0" borderId="28" xfId="0" applyFont="1" applyBorder="1"/>
    <xf numFmtId="10" fontId="8" fillId="0" borderId="29" xfId="0" applyNumberFormat="1" applyFont="1" applyBorder="1"/>
    <xf numFmtId="10" fontId="8" fillId="0" borderId="29" xfId="3" applyNumberFormat="1" applyFont="1" applyBorder="1"/>
    <xf numFmtId="0" fontId="8" fillId="0" borderId="30" xfId="0" applyFont="1" applyBorder="1"/>
    <xf numFmtId="0" fontId="8" fillId="0" borderId="31" xfId="0" applyFont="1" applyBorder="1"/>
    <xf numFmtId="6" fontId="8" fillId="0" borderId="0" xfId="0" applyNumberFormat="1" applyFont="1"/>
    <xf numFmtId="166" fontId="8" fillId="0" borderId="1" xfId="0" applyNumberFormat="1" applyFont="1" applyBorder="1" applyAlignment="1">
      <alignment horizontal="center"/>
    </xf>
    <xf numFmtId="44" fontId="0" fillId="5" borderId="0" xfId="0" applyNumberFormat="1" applyFill="1"/>
    <xf numFmtId="5" fontId="8" fillId="0" borderId="0" xfId="0" applyNumberFormat="1" applyFont="1"/>
    <xf numFmtId="7" fontId="8" fillId="0" borderId="0" xfId="0" applyNumberFormat="1" applyFont="1"/>
    <xf numFmtId="164" fontId="8" fillId="0" borderId="0" xfId="3" applyNumberFormat="1" applyFont="1"/>
    <xf numFmtId="5" fontId="9" fillId="0" borderId="0" xfId="0" applyNumberFormat="1" applyFont="1"/>
    <xf numFmtId="8" fontId="8" fillId="0" borderId="0" xfId="0" applyNumberFormat="1" applyFont="1"/>
    <xf numFmtId="166" fontId="8" fillId="0" borderId="32" xfId="0" applyNumberFormat="1" applyFont="1" applyBorder="1"/>
    <xf numFmtId="0" fontId="21" fillId="0" borderId="0" xfId="0" applyFont="1"/>
    <xf numFmtId="167" fontId="0" fillId="6" borderId="1" xfId="0" applyNumberFormat="1" applyFill="1" applyBorder="1"/>
    <xf numFmtId="6" fontId="0" fillId="5" borderId="1" xfId="0" applyNumberFormat="1" applyFill="1" applyBorder="1"/>
    <xf numFmtId="168" fontId="0" fillId="5" borderId="1" xfId="0" applyNumberFormat="1" applyFill="1" applyBorder="1"/>
    <xf numFmtId="0" fontId="0" fillId="5" borderId="1" xfId="0" applyFill="1" applyBorder="1"/>
    <xf numFmtId="2" fontId="0" fillId="5" borderId="1" xfId="0" applyNumberFormat="1" applyFill="1" applyBorder="1"/>
    <xf numFmtId="7" fontId="0" fillId="5" borderId="1" xfId="0" applyNumberFormat="1" applyFill="1" applyBorder="1"/>
    <xf numFmtId="8" fontId="0" fillId="5" borderId="1" xfId="0" applyNumberFormat="1" applyFill="1" applyBorder="1"/>
    <xf numFmtId="8" fontId="25" fillId="5" borderId="1" xfId="0" applyNumberFormat="1" applyFont="1" applyFill="1" applyBorder="1"/>
    <xf numFmtId="2" fontId="7" fillId="5" borderId="1" xfId="0" applyNumberFormat="1" applyFont="1" applyFill="1" applyBorder="1" applyAlignment="1">
      <alignment horizontal="center"/>
    </xf>
    <xf numFmtId="10" fontId="7" fillId="5" borderId="1" xfId="0" applyNumberFormat="1" applyFont="1" applyFill="1" applyBorder="1" applyAlignment="1">
      <alignment horizontal="center"/>
    </xf>
    <xf numFmtId="6" fontId="7" fillId="5" borderId="1" xfId="2" applyNumberFormat="1" applyFont="1" applyFill="1" applyBorder="1" applyAlignment="1">
      <alignment horizontal="center"/>
    </xf>
    <xf numFmtId="0" fontId="26" fillId="0" borderId="13" xfId="0" applyFont="1" applyBorder="1"/>
    <xf numFmtId="0" fontId="27" fillId="0" borderId="14" xfId="0" applyFont="1" applyBorder="1" applyAlignment="1">
      <alignment horizontal="center"/>
    </xf>
    <xf numFmtId="0" fontId="27" fillId="0" borderId="15" xfId="0" applyFont="1" applyBorder="1" applyAlignment="1">
      <alignment horizontal="center"/>
    </xf>
    <xf numFmtId="0" fontId="26" fillId="0" borderId="33" xfId="0" applyFont="1" applyBorder="1"/>
    <xf numFmtId="0" fontId="26" fillId="0" borderId="34" xfId="0" applyFont="1" applyBorder="1"/>
    <xf numFmtId="10" fontId="26" fillId="5" borderId="1" xfId="0" applyNumberFormat="1" applyFont="1" applyFill="1" applyBorder="1" applyAlignment="1">
      <alignment horizontal="center"/>
    </xf>
    <xf numFmtId="10" fontId="22" fillId="0" borderId="24" xfId="3" applyNumberFormat="1" applyFont="1" applyBorder="1" applyAlignment="1">
      <alignment horizontal="center"/>
    </xf>
    <xf numFmtId="0" fontId="26" fillId="0" borderId="0" xfId="0" applyFont="1"/>
    <xf numFmtId="0" fontId="26" fillId="3" borderId="1" xfId="0" applyFont="1" applyFill="1" applyBorder="1" applyAlignment="1">
      <alignment horizontal="center"/>
    </xf>
    <xf numFmtId="17" fontId="26" fillId="3" borderId="1" xfId="0" applyNumberFormat="1" applyFont="1" applyFill="1" applyBorder="1" applyAlignment="1">
      <alignment horizontal="center"/>
    </xf>
    <xf numFmtId="0" fontId="28" fillId="0" borderId="0" xfId="0" applyFont="1"/>
    <xf numFmtId="0" fontId="26" fillId="0" borderId="0" xfId="0" applyFont="1" applyAlignment="1">
      <alignment horizontal="center"/>
    </xf>
    <xf numFmtId="8" fontId="26" fillId="3" borderId="1" xfId="2" applyFont="1" applyFill="1" applyBorder="1" applyAlignment="1">
      <alignment horizontal="center"/>
    </xf>
    <xf numFmtId="10" fontId="26" fillId="3" borderId="1" xfId="0" applyNumberFormat="1" applyFont="1" applyFill="1" applyBorder="1" applyAlignment="1">
      <alignment horizontal="center"/>
    </xf>
    <xf numFmtId="0" fontId="28" fillId="0" borderId="0" xfId="0" applyFont="1" applyAlignment="1">
      <alignment horizontal="center"/>
    </xf>
    <xf numFmtId="166" fontId="26" fillId="3" borderId="1" xfId="0" applyNumberFormat="1" applyFont="1" applyFill="1" applyBorder="1" applyAlignment="1">
      <alignment horizontal="center"/>
    </xf>
    <xf numFmtId="4" fontId="26" fillId="3" borderId="1" xfId="1" applyFont="1" applyFill="1" applyBorder="1" applyAlignment="1">
      <alignment horizontal="center"/>
    </xf>
    <xf numFmtId="8" fontId="26" fillId="7" borderId="0" xfId="2" applyFont="1" applyFill="1" applyBorder="1" applyAlignment="1">
      <alignment horizontal="center"/>
    </xf>
    <xf numFmtId="2" fontId="26" fillId="0" borderId="0" xfId="0" applyNumberFormat="1" applyFont="1" applyAlignment="1">
      <alignment horizontal="left"/>
    </xf>
    <xf numFmtId="0" fontId="27" fillId="0" borderId="35" xfId="0" applyFont="1" applyBorder="1"/>
    <xf numFmtId="0" fontId="26" fillId="0" borderId="36" xfId="0" applyFont="1" applyBorder="1"/>
    <xf numFmtId="0" fontId="26" fillId="0" borderId="27" xfId="0" applyFont="1" applyBorder="1"/>
    <xf numFmtId="0" fontId="27" fillId="0" borderId="0" xfId="0" applyFont="1"/>
    <xf numFmtId="8" fontId="26" fillId="0" borderId="0" xfId="2" applyFont="1" applyFill="1" applyBorder="1" applyAlignment="1">
      <alignment horizontal="center"/>
    </xf>
    <xf numFmtId="0" fontId="0" fillId="6" borderId="1" xfId="0" applyFill="1" applyBorder="1" applyAlignment="1">
      <alignment horizontal="center"/>
    </xf>
    <xf numFmtId="10" fontId="0" fillId="6" borderId="1" xfId="0" applyNumberFormat="1" applyFill="1" applyBorder="1" applyAlignment="1">
      <alignment horizontal="center"/>
    </xf>
    <xf numFmtId="0" fontId="7" fillId="0" borderId="1" xfId="0" applyFont="1" applyBorder="1" applyAlignment="1">
      <alignment horizontal="center"/>
    </xf>
    <xf numFmtId="0" fontId="10" fillId="0" borderId="1" xfId="0" applyFont="1" applyBorder="1" applyAlignment="1">
      <alignment horizontal="center"/>
    </xf>
    <xf numFmtId="10" fontId="8" fillId="0" borderId="0" xfId="3" applyNumberFormat="1" applyFont="1" applyBorder="1"/>
    <xf numFmtId="0" fontId="31" fillId="0" borderId="19" xfId="0" applyFont="1" applyBorder="1" applyAlignment="1">
      <alignment horizontal="center"/>
    </xf>
    <xf numFmtId="0" fontId="27" fillId="0" borderId="0" xfId="0" applyFont="1" applyAlignment="1">
      <alignment horizontal="center"/>
    </xf>
    <xf numFmtId="0" fontId="26" fillId="0" borderId="1" xfId="0" applyFont="1" applyBorder="1"/>
    <xf numFmtId="0" fontId="26" fillId="0" borderId="18" xfId="0" applyFont="1" applyBorder="1"/>
    <xf numFmtId="0" fontId="26" fillId="0" borderId="23" xfId="0" applyFont="1" applyBorder="1"/>
    <xf numFmtId="0" fontId="26" fillId="0" borderId="19" xfId="0" applyFont="1" applyBorder="1"/>
    <xf numFmtId="0" fontId="27" fillId="0" borderId="0" xfId="0" applyFont="1" applyAlignment="1">
      <alignment horizontal="center" wrapText="1"/>
    </xf>
    <xf numFmtId="0" fontId="26" fillId="0" borderId="1" xfId="0" applyFont="1" applyBorder="1" applyAlignment="1">
      <alignment wrapText="1"/>
    </xf>
    <xf numFmtId="0" fontId="26" fillId="0" borderId="18" xfId="0" applyFont="1" applyBorder="1" applyAlignment="1">
      <alignment wrapText="1"/>
    </xf>
    <xf numFmtId="0" fontId="26" fillId="0" borderId="23" xfId="0" applyFont="1" applyBorder="1" applyAlignment="1">
      <alignment wrapText="1"/>
    </xf>
    <xf numFmtId="0" fontId="26" fillId="0" borderId="19" xfId="0" applyFont="1" applyBorder="1" applyAlignment="1">
      <alignment wrapText="1"/>
    </xf>
    <xf numFmtId="0" fontId="26" fillId="0" borderId="0" xfId="0" applyFont="1" applyAlignment="1">
      <alignment wrapText="1"/>
    </xf>
    <xf numFmtId="10" fontId="0" fillId="6" borderId="1" xfId="0" applyNumberFormat="1" applyFill="1" applyBorder="1"/>
    <xf numFmtId="0" fontId="32" fillId="0" borderId="0" xfId="0" applyFont="1"/>
    <xf numFmtId="10" fontId="0" fillId="0" borderId="0" xfId="0" applyNumberFormat="1" applyAlignment="1">
      <alignment horizontal="center"/>
    </xf>
    <xf numFmtId="2" fontId="26" fillId="5" borderId="1" xfId="0" applyNumberFormat="1" applyFont="1" applyFill="1" applyBorder="1" applyAlignment="1">
      <alignment horizontal="center"/>
    </xf>
    <xf numFmtId="0" fontId="9" fillId="8" borderId="1" xfId="0" applyFont="1" applyFill="1" applyBorder="1"/>
    <xf numFmtId="0" fontId="9" fillId="8" borderId="1" xfId="0" applyFont="1" applyFill="1" applyBorder="1" applyAlignment="1">
      <alignment horizontal="center"/>
    </xf>
    <xf numFmtId="0" fontId="18" fillId="8" borderId="1" xfId="0" applyFont="1" applyFill="1" applyBorder="1" applyAlignment="1">
      <alignment horizontal="center"/>
    </xf>
    <xf numFmtId="0" fontId="8" fillId="8" borderId="1" xfId="0" applyFont="1" applyFill="1" applyBorder="1"/>
    <xf numFmtId="10" fontId="8" fillId="8" borderId="1" xfId="0" applyNumberFormat="1" applyFont="1" applyFill="1" applyBorder="1" applyAlignment="1">
      <alignment horizontal="center"/>
    </xf>
    <xf numFmtId="10" fontId="14" fillId="8" borderId="1" xfId="0" applyNumberFormat="1" applyFont="1" applyFill="1" applyBorder="1" applyAlignment="1">
      <alignment horizontal="center"/>
    </xf>
    <xf numFmtId="0" fontId="8" fillId="8" borderId="1" xfId="0" applyFont="1" applyFill="1" applyBorder="1" applyAlignment="1">
      <alignment horizontal="center"/>
    </xf>
    <xf numFmtId="2" fontId="14" fillId="8" borderId="1" xfId="0" applyNumberFormat="1" applyFont="1" applyFill="1" applyBorder="1" applyAlignment="1">
      <alignment horizontal="center"/>
    </xf>
    <xf numFmtId="4" fontId="8" fillId="8" borderId="1" xfId="0" applyNumberFormat="1" applyFont="1" applyFill="1" applyBorder="1" applyAlignment="1">
      <alignment horizontal="center"/>
    </xf>
    <xf numFmtId="0" fontId="14" fillId="8" borderId="1" xfId="0" applyFont="1" applyFill="1" applyBorder="1" applyAlignment="1">
      <alignment horizontal="center"/>
    </xf>
    <xf numFmtId="0" fontId="8" fillId="8" borderId="1" xfId="0" applyFont="1" applyFill="1" applyBorder="1" applyAlignment="1">
      <alignment horizontal="left"/>
    </xf>
    <xf numFmtId="0" fontId="27" fillId="0" borderId="0" xfId="0" applyFont="1" applyAlignment="1">
      <alignment horizontal="left"/>
    </xf>
    <xf numFmtId="0" fontId="37" fillId="0" borderId="0" xfId="0" applyFont="1"/>
    <xf numFmtId="0" fontId="15" fillId="0" borderId="0" xfId="0" applyFont="1"/>
    <xf numFmtId="0" fontId="10" fillId="0" borderId="1" xfId="0" applyFont="1" applyBorder="1"/>
    <xf numFmtId="0" fontId="8" fillId="6" borderId="1" xfId="0" applyFont="1" applyFill="1" applyBorder="1"/>
    <xf numFmtId="10" fontId="8" fillId="5" borderId="1" xfId="3" applyNumberFormat="1" applyFont="1" applyFill="1" applyBorder="1"/>
    <xf numFmtId="0" fontId="0" fillId="6" borderId="1" xfId="0" applyFill="1" applyBorder="1"/>
    <xf numFmtId="0" fontId="8" fillId="5" borderId="1" xfId="0" applyFont="1" applyFill="1" applyBorder="1"/>
    <xf numFmtId="10" fontId="8" fillId="5" borderId="1" xfId="0" applyNumberFormat="1" applyFont="1" applyFill="1" applyBorder="1"/>
    <xf numFmtId="169" fontId="8" fillId="5" borderId="1" xfId="3" applyNumberFormat="1" applyFont="1" applyFill="1" applyBorder="1"/>
    <xf numFmtId="10" fontId="8" fillId="6" borderId="1" xfId="0" applyNumberFormat="1" applyFont="1" applyFill="1" applyBorder="1"/>
    <xf numFmtId="169" fontId="8" fillId="5" borderId="1" xfId="0" applyNumberFormat="1" applyFont="1" applyFill="1" applyBorder="1"/>
    <xf numFmtId="0" fontId="0" fillId="0" borderId="0" xfId="0" applyAlignment="1">
      <alignment vertical="center" wrapText="1"/>
    </xf>
    <xf numFmtId="0" fontId="26" fillId="6" borderId="1" xfId="0" applyFont="1" applyFill="1" applyBorder="1" applyAlignment="1">
      <alignment horizontal="center"/>
    </xf>
    <xf numFmtId="0" fontId="8" fillId="0" borderId="1" xfId="3" applyNumberFormat="1" applyFont="1" applyBorder="1" applyAlignment="1">
      <alignment horizontal="center"/>
    </xf>
    <xf numFmtId="10" fontId="8" fillId="0" borderId="0" xfId="3" applyNumberFormat="1" applyFont="1" applyAlignment="1">
      <alignment horizontal="center"/>
    </xf>
    <xf numFmtId="170" fontId="8" fillId="0" borderId="1" xfId="0" applyNumberFormat="1" applyFont="1" applyBorder="1"/>
    <xf numFmtId="167" fontId="26" fillId="3" borderId="1" xfId="2" applyNumberFormat="1" applyFont="1" applyFill="1" applyBorder="1" applyAlignment="1">
      <alignment horizontal="center"/>
    </xf>
    <xf numFmtId="167" fontId="26" fillId="3" borderId="1" xfId="0" applyNumberFormat="1" applyFont="1" applyFill="1" applyBorder="1" applyAlignment="1">
      <alignment horizontal="center"/>
    </xf>
    <xf numFmtId="167" fontId="8" fillId="0" borderId="0" xfId="2" applyNumberFormat="1" applyFont="1" applyAlignment="1">
      <alignment horizontal="center"/>
    </xf>
    <xf numFmtId="6" fontId="8" fillId="8" borderId="1" xfId="2" applyNumberFormat="1" applyFont="1" applyFill="1" applyBorder="1" applyAlignment="1">
      <alignment horizontal="center"/>
    </xf>
    <xf numFmtId="6" fontId="14" fillId="8" borderId="1" xfId="2" applyNumberFormat="1" applyFont="1" applyFill="1" applyBorder="1" applyAlignment="1">
      <alignment horizontal="center"/>
    </xf>
    <xf numFmtId="6" fontId="8" fillId="0" borderId="6" xfId="2" applyNumberFormat="1" applyFont="1" applyBorder="1" applyAlignment="1">
      <alignment horizontal="center"/>
    </xf>
    <xf numFmtId="6" fontId="8" fillId="0" borderId="22" xfId="2" applyNumberFormat="1" applyFont="1" applyBorder="1" applyAlignment="1">
      <alignment horizontal="center"/>
    </xf>
    <xf numFmtId="168" fontId="8" fillId="0" borderId="0" xfId="2" applyNumberFormat="1" applyFont="1" applyAlignment="1">
      <alignment horizontal="center"/>
    </xf>
    <xf numFmtId="168" fontId="8" fillId="0" borderId="0" xfId="2" applyNumberFormat="1" applyFont="1" applyBorder="1" applyAlignment="1">
      <alignment horizontal="center"/>
    </xf>
    <xf numFmtId="6" fontId="7" fillId="5" borderId="0" xfId="2" applyNumberFormat="1" applyFont="1" applyFill="1" applyAlignment="1">
      <alignment horizontal="center"/>
    </xf>
    <xf numFmtId="6" fontId="8" fillId="0" borderId="1" xfId="2" applyNumberFormat="1" applyFont="1" applyBorder="1" applyAlignment="1">
      <alignment horizontal="center"/>
    </xf>
    <xf numFmtId="6" fontId="8" fillId="0" borderId="0" xfId="2" applyNumberFormat="1" applyFont="1" applyAlignment="1">
      <alignment horizontal="center"/>
    </xf>
    <xf numFmtId="8" fontId="26" fillId="5" borderId="1" xfId="2" applyFont="1" applyFill="1" applyBorder="1" applyAlignment="1">
      <alignment horizontal="center"/>
    </xf>
    <xf numFmtId="6" fontId="26" fillId="5" borderId="1" xfId="2" applyNumberFormat="1" applyFont="1" applyFill="1" applyBorder="1" applyAlignment="1">
      <alignment horizontal="center"/>
    </xf>
    <xf numFmtId="0" fontId="14" fillId="0" borderId="0" xfId="0" applyFont="1" applyAlignment="1">
      <alignment horizontal="right"/>
    </xf>
    <xf numFmtId="2" fontId="26" fillId="3" borderId="1" xfId="0" applyNumberFormat="1" applyFont="1" applyFill="1" applyBorder="1" applyAlignment="1">
      <alignment horizontal="center"/>
    </xf>
    <xf numFmtId="0" fontId="33" fillId="8" borderId="1" xfId="0" applyFont="1" applyFill="1" applyBorder="1"/>
    <xf numFmtId="0" fontId="6" fillId="8" borderId="1" xfId="0" applyFont="1" applyFill="1" applyBorder="1"/>
    <xf numFmtId="10" fontId="26" fillId="0" borderId="1" xfId="0" applyNumberFormat="1" applyFont="1" applyBorder="1" applyAlignment="1">
      <alignment horizontal="center"/>
    </xf>
    <xf numFmtId="0" fontId="3" fillId="10" borderId="1" xfId="0" applyFont="1" applyFill="1" applyBorder="1"/>
    <xf numFmtId="0" fontId="3" fillId="8" borderId="1" xfId="0" applyFont="1" applyFill="1" applyBorder="1"/>
    <xf numFmtId="0" fontId="38" fillId="8" borderId="47" xfId="0" applyFont="1" applyFill="1" applyBorder="1" applyAlignment="1">
      <alignment horizontal="left"/>
    </xf>
    <xf numFmtId="0" fontId="38" fillId="0" borderId="47" xfId="0" applyFont="1" applyBorder="1" applyAlignment="1">
      <alignment horizontal="left"/>
    </xf>
    <xf numFmtId="10" fontId="26" fillId="6" borderId="1" xfId="0" applyNumberFormat="1" applyFont="1" applyFill="1" applyBorder="1" applyAlignment="1">
      <alignment horizontal="center"/>
    </xf>
    <xf numFmtId="0" fontId="6" fillId="8" borderId="1" xfId="0" applyFont="1" applyFill="1" applyBorder="1" applyAlignment="1">
      <alignment horizontal="center"/>
    </xf>
    <xf numFmtId="0" fontId="33" fillId="8" borderId="1" xfId="0" applyFont="1" applyFill="1" applyBorder="1" applyAlignment="1">
      <alignment horizontal="center"/>
    </xf>
    <xf numFmtId="0" fontId="26" fillId="0" borderId="1" xfId="0" applyFont="1" applyBorder="1" applyAlignment="1">
      <alignment horizontal="center"/>
    </xf>
    <xf numFmtId="0" fontId="2" fillId="10" borderId="1" xfId="0" applyFont="1" applyFill="1" applyBorder="1"/>
    <xf numFmtId="0" fontId="2" fillId="8" borderId="1" xfId="0" applyFont="1" applyFill="1" applyBorder="1"/>
    <xf numFmtId="0" fontId="34" fillId="0" borderId="48" xfId="0" applyFont="1" applyBorder="1"/>
    <xf numFmtId="0" fontId="34" fillId="0" borderId="48" xfId="0" applyFont="1" applyBorder="1" applyAlignment="1">
      <alignment horizontal="center"/>
    </xf>
    <xf numFmtId="0" fontId="0" fillId="0" borderId="48" xfId="0" applyBorder="1"/>
    <xf numFmtId="10" fontId="0" fillId="0" borderId="48" xfId="0" applyNumberFormat="1" applyBorder="1" applyAlignment="1">
      <alignment horizontal="center"/>
    </xf>
    <xf numFmtId="10" fontId="26" fillId="0" borderId="0" xfId="0" applyNumberFormat="1" applyFont="1" applyAlignment="1">
      <alignment horizontal="center"/>
    </xf>
    <xf numFmtId="167" fontId="8" fillId="8" borderId="1" xfId="2" applyNumberFormat="1" applyFont="1" applyFill="1" applyBorder="1" applyAlignment="1">
      <alignment horizontal="center"/>
    </xf>
    <xf numFmtId="167" fontId="14" fillId="8" borderId="1" xfId="2" applyNumberFormat="1" applyFont="1" applyFill="1" applyBorder="1" applyAlignment="1">
      <alignment horizontal="center"/>
    </xf>
    <xf numFmtId="0" fontId="39" fillId="0" borderId="0" xfId="0" applyFont="1"/>
    <xf numFmtId="168" fontId="8" fillId="0" borderId="1" xfId="2" applyNumberFormat="1" applyFont="1" applyBorder="1" applyAlignment="1">
      <alignment horizontal="center"/>
    </xf>
    <xf numFmtId="168" fontId="8" fillId="0" borderId="1" xfId="0" applyNumberFormat="1" applyFont="1" applyBorder="1" applyAlignment="1">
      <alignment horizontal="center"/>
    </xf>
    <xf numFmtId="0" fontId="10" fillId="0" borderId="35" xfId="0" applyFont="1" applyBorder="1" applyAlignment="1">
      <alignment horizontal="center"/>
    </xf>
    <xf numFmtId="0" fontId="10" fillId="0" borderId="27" xfId="0" applyFont="1" applyBorder="1" applyAlignment="1">
      <alignment horizontal="center"/>
    </xf>
    <xf numFmtId="0" fontId="10" fillId="0" borderId="0" xfId="0" applyFont="1" applyAlignment="1">
      <alignment horizontal="center"/>
    </xf>
    <xf numFmtId="0" fontId="26" fillId="0" borderId="18" xfId="0" applyFont="1" applyBorder="1" applyAlignment="1">
      <alignment horizontal="left" vertical="center" wrapText="1" shrinkToFit="1"/>
    </xf>
    <xf numFmtId="0" fontId="26" fillId="0" borderId="23" xfId="0" applyFont="1" applyBorder="1" applyAlignment="1">
      <alignment horizontal="left" vertical="center" wrapText="1" shrinkToFit="1"/>
    </xf>
    <xf numFmtId="0" fontId="26" fillId="0" borderId="19" xfId="0" applyFont="1" applyBorder="1" applyAlignment="1">
      <alignment horizontal="left" vertical="center" wrapText="1" shrinkToFit="1"/>
    </xf>
    <xf numFmtId="0" fontId="26" fillId="0" borderId="18" xfId="0" applyFont="1" applyBorder="1" applyAlignment="1">
      <alignment horizontal="left" vertical="center" wrapText="1"/>
    </xf>
    <xf numFmtId="0" fontId="26" fillId="0" borderId="23" xfId="0" applyFont="1" applyBorder="1" applyAlignment="1">
      <alignment horizontal="left" vertical="center" wrapText="1"/>
    </xf>
    <xf numFmtId="0" fontId="26" fillId="0" borderId="19" xfId="0" applyFont="1" applyBorder="1" applyAlignment="1">
      <alignment horizontal="left" vertical="center" wrapText="1"/>
    </xf>
    <xf numFmtId="0" fontId="26" fillId="0" borderId="18" xfId="0" applyFont="1" applyBorder="1" applyAlignment="1">
      <alignment horizontal="left" vertical="center"/>
    </xf>
    <xf numFmtId="0" fontId="26" fillId="0" borderId="23" xfId="0" applyFont="1" applyBorder="1" applyAlignment="1">
      <alignment horizontal="left" vertical="center"/>
    </xf>
    <xf numFmtId="0" fontId="26" fillId="0" borderId="19" xfId="0" applyFont="1" applyBorder="1" applyAlignment="1">
      <alignment horizontal="left" vertical="center"/>
    </xf>
    <xf numFmtId="0" fontId="24" fillId="0" borderId="37" xfId="0" applyFont="1" applyBorder="1" applyAlignment="1">
      <alignment horizontal="center"/>
    </xf>
    <xf numFmtId="0" fontId="5" fillId="8" borderId="13" xfId="0" applyFont="1" applyFill="1" applyBorder="1" applyAlignment="1">
      <alignment horizontal="left" vertical="top" wrapText="1"/>
    </xf>
    <xf numFmtId="0" fontId="5" fillId="8" borderId="14" xfId="0" applyFont="1" applyFill="1" applyBorder="1" applyAlignment="1">
      <alignment horizontal="left" vertical="top" wrapText="1"/>
    </xf>
    <xf numFmtId="0" fontId="5" fillId="8" borderId="15" xfId="0" applyFont="1" applyFill="1" applyBorder="1" applyAlignment="1">
      <alignment horizontal="left" vertical="top" wrapText="1"/>
    </xf>
    <xf numFmtId="0" fontId="5" fillId="8" borderId="33" xfId="0" applyFont="1" applyFill="1" applyBorder="1" applyAlignment="1">
      <alignment horizontal="left" vertical="top" wrapText="1"/>
    </xf>
    <xf numFmtId="0" fontId="5" fillId="8" borderId="0" xfId="0" applyFont="1" applyFill="1" applyAlignment="1">
      <alignment horizontal="left" vertical="top" wrapText="1"/>
    </xf>
    <xf numFmtId="0" fontId="5" fillId="8" borderId="38" xfId="0" applyFont="1" applyFill="1" applyBorder="1" applyAlignment="1">
      <alignment horizontal="left" vertical="top" wrapText="1"/>
    </xf>
    <xf numFmtId="0" fontId="5" fillId="8" borderId="34" xfId="0" applyFont="1" applyFill="1" applyBorder="1" applyAlignment="1">
      <alignment horizontal="left" vertical="top" wrapText="1"/>
    </xf>
    <xf numFmtId="0" fontId="5" fillId="8" borderId="37" xfId="0" applyFont="1" applyFill="1" applyBorder="1" applyAlignment="1">
      <alignment horizontal="left" vertical="top" wrapText="1"/>
    </xf>
    <xf numFmtId="0" fontId="5" fillId="8" borderId="39" xfId="0" applyFont="1" applyFill="1" applyBorder="1" applyAlignment="1">
      <alignment horizontal="left" vertical="top" wrapText="1"/>
    </xf>
    <xf numFmtId="0" fontId="24" fillId="8" borderId="9" xfId="0" applyFont="1" applyFill="1" applyBorder="1" applyAlignment="1">
      <alignment horizontal="left" vertical="top" wrapText="1"/>
    </xf>
    <xf numFmtId="0" fontId="26" fillId="8" borderId="10" xfId="0" applyFont="1" applyFill="1" applyBorder="1" applyAlignment="1">
      <alignment horizontal="left" vertical="top" wrapText="1"/>
    </xf>
    <xf numFmtId="0" fontId="26" fillId="8" borderId="11" xfId="0" applyFont="1" applyFill="1" applyBorder="1" applyAlignment="1">
      <alignment horizontal="left" vertical="top" wrapText="1"/>
    </xf>
    <xf numFmtId="0" fontId="26" fillId="8" borderId="16" xfId="0" applyFont="1" applyFill="1" applyBorder="1" applyAlignment="1">
      <alignment horizontal="left" vertical="top" wrapText="1"/>
    </xf>
    <xf numFmtId="0" fontId="26" fillId="8" borderId="0" xfId="0" applyFont="1" applyFill="1" applyAlignment="1">
      <alignment horizontal="left" vertical="top" wrapText="1"/>
    </xf>
    <xf numFmtId="0" fontId="26" fillId="8" borderId="25" xfId="0" applyFont="1" applyFill="1" applyBorder="1" applyAlignment="1">
      <alignment horizontal="left" vertical="top" wrapText="1"/>
    </xf>
    <xf numFmtId="0" fontId="26" fillId="8" borderId="26" xfId="0" applyFont="1" applyFill="1" applyBorder="1" applyAlignment="1">
      <alignment horizontal="left" vertical="top" wrapText="1"/>
    </xf>
    <xf numFmtId="0" fontId="26" fillId="8" borderId="12" xfId="0" applyFont="1" applyFill="1" applyBorder="1" applyAlignment="1">
      <alignment horizontal="left" vertical="top" wrapText="1"/>
    </xf>
    <xf numFmtId="0" fontId="26" fillId="8" borderId="24" xfId="0" applyFont="1" applyFill="1" applyBorder="1" applyAlignment="1">
      <alignment horizontal="left" vertical="top" wrapText="1"/>
    </xf>
    <xf numFmtId="0" fontId="25" fillId="8" borderId="40" xfId="0" applyFont="1" applyFill="1" applyBorder="1" applyAlignment="1">
      <alignment horizontal="center" vertical="top" wrapText="1"/>
    </xf>
    <xf numFmtId="0" fontId="5" fillId="8" borderId="41" xfId="0" applyFont="1" applyFill="1" applyBorder="1" applyAlignment="1">
      <alignment horizontal="center" vertical="top" wrapText="1"/>
    </xf>
    <xf numFmtId="0" fontId="5" fillId="8" borderId="42" xfId="0" applyFont="1" applyFill="1" applyBorder="1" applyAlignment="1">
      <alignment horizontal="center" vertical="top" wrapText="1"/>
    </xf>
    <xf numFmtId="0" fontId="14" fillId="4" borderId="40" xfId="0" applyFont="1" applyFill="1" applyBorder="1" applyAlignment="1">
      <alignment horizontal="center"/>
    </xf>
    <xf numFmtId="0" fontId="14" fillId="4" borderId="41" xfId="0" applyFont="1" applyFill="1" applyBorder="1" applyAlignment="1">
      <alignment horizontal="center"/>
    </xf>
    <xf numFmtId="0" fontId="14" fillId="4" borderId="42" xfId="0" applyFont="1" applyFill="1" applyBorder="1" applyAlignment="1">
      <alignment horizontal="center"/>
    </xf>
    <xf numFmtId="0" fontId="15" fillId="0" borderId="40" xfId="0" applyFont="1" applyBorder="1" applyAlignment="1">
      <alignment horizontal="center"/>
    </xf>
    <xf numFmtId="0" fontId="15" fillId="0" borderId="41" xfId="0" applyFont="1" applyBorder="1" applyAlignment="1">
      <alignment horizontal="center"/>
    </xf>
    <xf numFmtId="0" fontId="15" fillId="0" borderId="42" xfId="0" applyFont="1" applyBorder="1" applyAlignment="1">
      <alignment horizontal="center"/>
    </xf>
    <xf numFmtId="0" fontId="17" fillId="8" borderId="2" xfId="0" applyFont="1" applyFill="1" applyBorder="1" applyAlignment="1">
      <alignment horizontal="center"/>
    </xf>
    <xf numFmtId="0" fontId="17" fillId="8" borderId="3" xfId="0" applyFont="1" applyFill="1" applyBorder="1" applyAlignment="1">
      <alignment horizontal="center"/>
    </xf>
    <xf numFmtId="0" fontId="17" fillId="8" borderId="4" xfId="0" applyFont="1" applyFill="1" applyBorder="1" applyAlignment="1">
      <alignment horizontal="center"/>
    </xf>
    <xf numFmtId="165" fontId="15" fillId="0" borderId="17" xfId="0" applyNumberFormat="1" applyFont="1" applyBorder="1" applyAlignment="1">
      <alignment horizontal="center"/>
    </xf>
    <xf numFmtId="165" fontId="15" fillId="0" borderId="8" xfId="0" applyNumberFormat="1" applyFont="1" applyBorder="1" applyAlignment="1">
      <alignment horizontal="center"/>
    </xf>
    <xf numFmtId="165" fontId="15" fillId="0" borderId="43" xfId="0" applyNumberFormat="1" applyFont="1" applyBorder="1" applyAlignment="1">
      <alignment horizontal="center"/>
    </xf>
    <xf numFmtId="0" fontId="7" fillId="0" borderId="44" xfId="0" applyFont="1" applyBorder="1" applyAlignment="1">
      <alignment horizontal="center"/>
    </xf>
    <xf numFmtId="0" fontId="7" fillId="0" borderId="45" xfId="0" applyFont="1" applyBorder="1" applyAlignment="1">
      <alignment horizontal="center"/>
    </xf>
    <xf numFmtId="0" fontId="7" fillId="0" borderId="46" xfId="0" applyFont="1" applyBorder="1" applyAlignment="1">
      <alignment horizontal="center"/>
    </xf>
    <xf numFmtId="0" fontId="0" fillId="9" borderId="0" xfId="0" applyFill="1" applyAlignment="1">
      <alignment horizontal="center" vertical="center" wrapText="1"/>
    </xf>
  </cellXfs>
  <cellStyles count="4">
    <cellStyle name="Comma" xfId="1" builtinId="3"/>
    <cellStyle name="Currency" xfId="2" builtinId="4"/>
    <cellStyle name="Normal" xfId="0" builtinId="0"/>
    <cellStyle name="Percent" xfId="3" builtinId="5"/>
  </cellStyles>
  <dxfs count="7">
    <dxf>
      <font>
        <b val="0"/>
        <i val="0"/>
        <strike val="0"/>
        <condense val="0"/>
        <extend val="0"/>
        <outline val="0"/>
        <shadow val="0"/>
        <u val="none"/>
        <vertAlign val="baseline"/>
        <sz val="12"/>
        <color theme="1"/>
        <name val="Calibri"/>
        <family val="2"/>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sz val="12"/>
        <color rgb="FF333333"/>
        <name val="Times"/>
        <family val="1"/>
      </font>
      <fill>
        <patternFill patternType="solid">
          <fgColor indexed="64"/>
          <bgColor theme="2"/>
        </patternFill>
      </fill>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Calibri"/>
        <scheme val="minor"/>
      </font>
      <alignment horizontal="center" vertical="bottom" textRotation="0" wrapText="0" indent="0" justifyLastLine="0" shrinkToFit="0"/>
    </dxf>
    <dxf>
      <border>
        <bottom style="thin">
          <color indexed="64"/>
        </bottom>
      </border>
    </dxf>
    <dxf>
      <font>
        <b val="0"/>
        <i/>
        <strike val="0"/>
        <condense val="0"/>
        <extend val="0"/>
        <outline val="0"/>
        <shadow val="0"/>
        <u val="none"/>
        <vertAlign val="baseline"/>
        <sz val="12"/>
        <color theme="1"/>
        <name val="Calibri"/>
        <scheme val="minor"/>
      </font>
      <alignment horizontal="center" vertical="bottom" textRotation="0" wrapText="0" indent="0" justifyLastLine="0" shrinkToFit="0"/>
      <border diagonalUp="0" diagonalDown="0">
        <left style="thin">
          <color indexed="64"/>
        </left>
        <right style="thin">
          <color indexed="64"/>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CCFFCC"/>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2.xml"/><Relationship Id="rId1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1.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hartsheet" Target="chartsheets/sheet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1" u="none" strike="noStrike" kern="1200" spc="0" baseline="0">
                <a:solidFill>
                  <a:schemeClr val="tx1">
                    <a:lumMod val="65000"/>
                    <a:lumOff val="35000"/>
                  </a:schemeClr>
                </a:solidFill>
                <a:latin typeface="+mn-lt"/>
                <a:ea typeface="+mn-ea"/>
                <a:cs typeface="+mn-cs"/>
              </a:defRPr>
            </a:pPr>
            <a:r>
              <a:rPr lang="en-US" i="1"/>
              <a:t>Cost</a:t>
            </a:r>
            <a:r>
              <a:rPr lang="en-US" i="1" baseline="0"/>
              <a:t> of Capital &amp; Enterprise Value across Financing Mix Choices</a:t>
            </a:r>
            <a:endParaRPr lang="en-US" i="1"/>
          </a:p>
        </c:rich>
      </c:tx>
      <c:overlay val="0"/>
      <c:spPr>
        <a:noFill/>
        <a:ln>
          <a:noFill/>
        </a:ln>
        <a:effectLst/>
      </c:spPr>
      <c:txPr>
        <a:bodyPr rot="0" spcFirstLastPara="1" vertOverflow="ellipsis" vert="horz" wrap="square" anchor="ctr" anchorCtr="1"/>
        <a:lstStyle/>
        <a:p>
          <a:pPr>
            <a:defRPr sz="1400" b="0" i="1"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2"/>
          <c:order val="1"/>
          <c:tx>
            <c:strRef>
              <c:f>'Summary Table'!$C$28</c:f>
              <c:strCache>
                <c:ptCount val="1"/>
                <c:pt idx="0">
                  <c:v>Enterprise Value</c:v>
                </c:pt>
              </c:strCache>
            </c:strRef>
          </c:tx>
          <c:spPr>
            <a:solidFill>
              <a:srgbClr val="FF0000"/>
            </a:solidFill>
            <a:ln>
              <a:solidFill>
                <a:srgbClr val="FF0000"/>
              </a:solidFill>
            </a:ln>
            <a:effectLst/>
          </c:spPr>
          <c:invertIfNegative val="0"/>
          <c:cat>
            <c:numRef>
              <c:f>'Summary Table'!$A$29:$A$38</c:f>
              <c:numCache>
                <c:formatCode>0.00%</c:formatCode>
                <c:ptCount val="10"/>
                <c:pt idx="0">
                  <c:v>0</c:v>
                </c:pt>
                <c:pt idx="1">
                  <c:v>0.1</c:v>
                </c:pt>
                <c:pt idx="2">
                  <c:v>0.2</c:v>
                </c:pt>
                <c:pt idx="3">
                  <c:v>0.3</c:v>
                </c:pt>
                <c:pt idx="4">
                  <c:v>0.4</c:v>
                </c:pt>
                <c:pt idx="5">
                  <c:v>0.5</c:v>
                </c:pt>
                <c:pt idx="6">
                  <c:v>0.6</c:v>
                </c:pt>
                <c:pt idx="7">
                  <c:v>0.7</c:v>
                </c:pt>
                <c:pt idx="8">
                  <c:v>0.8</c:v>
                </c:pt>
                <c:pt idx="9">
                  <c:v>0.9</c:v>
                </c:pt>
              </c:numCache>
            </c:numRef>
          </c:cat>
          <c:val>
            <c:numRef>
              <c:f>'Summary Table'!$C$29:$C$38</c:f>
              <c:numCache>
                <c:formatCode>"$"#,##0_);[Red]\("$"#,##0\)</c:formatCode>
                <c:ptCount val="10"/>
                <c:pt idx="0">
                  <c:v>208150.58249757529</c:v>
                </c:pt>
                <c:pt idx="1">
                  <c:v>216842.29605743344</c:v>
                </c:pt>
                <c:pt idx="2">
                  <c:v>222443.55225038435</c:v>
                </c:pt>
                <c:pt idx="3">
                  <c:v>228591.23745668039</c:v>
                </c:pt>
                <c:pt idx="4">
                  <c:v>206348.95201554321</c:v>
                </c:pt>
                <c:pt idx="5">
                  <c:v>86037.587733884488</c:v>
                </c:pt>
                <c:pt idx="6">
                  <c:v>73536.915826268538</c:v>
                </c:pt>
                <c:pt idx="7">
                  <c:v>64473.592516807439</c:v>
                </c:pt>
                <c:pt idx="8">
                  <c:v>57510.578473605841</c:v>
                </c:pt>
                <c:pt idx="9">
                  <c:v>51958.67025774705</c:v>
                </c:pt>
              </c:numCache>
            </c:numRef>
          </c:val>
          <c:extLst>
            <c:ext xmlns:c16="http://schemas.microsoft.com/office/drawing/2014/chart" uri="{C3380CC4-5D6E-409C-BE32-E72D297353CC}">
              <c16:uniqueId val="{00000002-B64D-2B4C-8642-5275B44E00C3}"/>
            </c:ext>
          </c:extLst>
        </c:ser>
        <c:dLbls>
          <c:showLegendKey val="0"/>
          <c:showVal val="0"/>
          <c:showCatName val="0"/>
          <c:showSerName val="0"/>
          <c:showPercent val="0"/>
          <c:showBubbleSize val="0"/>
        </c:dLbls>
        <c:gapWidth val="150"/>
        <c:axId val="1628264064"/>
        <c:axId val="2018761920"/>
      </c:barChart>
      <c:lineChart>
        <c:grouping val="standard"/>
        <c:varyColors val="0"/>
        <c:ser>
          <c:idx val="1"/>
          <c:order val="0"/>
          <c:tx>
            <c:strRef>
              <c:f>'Summary Table'!$B$28</c:f>
              <c:strCache>
                <c:ptCount val="1"/>
                <c:pt idx="0">
                  <c:v>Cost of Capital</c:v>
                </c:pt>
              </c:strCache>
            </c:strRef>
          </c:tx>
          <c:spPr>
            <a:ln w="50800" cap="rnd">
              <a:solidFill>
                <a:schemeClr val="tx1"/>
              </a:solidFill>
              <a:round/>
            </a:ln>
            <a:effectLst/>
          </c:spPr>
          <c:marker>
            <c:symbol val="none"/>
          </c:marker>
          <c:cat>
            <c:numRef>
              <c:f>'Summary Table'!$A$29:$A$38</c:f>
              <c:numCache>
                <c:formatCode>0.00%</c:formatCode>
                <c:ptCount val="10"/>
                <c:pt idx="0">
                  <c:v>0</c:v>
                </c:pt>
                <c:pt idx="1">
                  <c:v>0.1</c:v>
                </c:pt>
                <c:pt idx="2">
                  <c:v>0.2</c:v>
                </c:pt>
                <c:pt idx="3">
                  <c:v>0.3</c:v>
                </c:pt>
                <c:pt idx="4">
                  <c:v>0.4</c:v>
                </c:pt>
                <c:pt idx="5">
                  <c:v>0.5</c:v>
                </c:pt>
                <c:pt idx="6">
                  <c:v>0.6</c:v>
                </c:pt>
                <c:pt idx="7">
                  <c:v>0.7</c:v>
                </c:pt>
                <c:pt idx="8">
                  <c:v>0.8</c:v>
                </c:pt>
                <c:pt idx="9">
                  <c:v>0.9</c:v>
                </c:pt>
              </c:numCache>
            </c:numRef>
          </c:cat>
          <c:val>
            <c:numRef>
              <c:f>'Summary Table'!$B$29:$B$38</c:f>
              <c:numCache>
                <c:formatCode>0.00%</c:formatCode>
                <c:ptCount val="10"/>
                <c:pt idx="0">
                  <c:v>9.0249289405764613E-2</c:v>
                </c:pt>
                <c:pt idx="1">
                  <c:v>8.8435557170620502E-2</c:v>
                </c:pt>
                <c:pt idx="2">
                  <c:v>8.7341824935476375E-2</c:v>
                </c:pt>
                <c:pt idx="3">
                  <c:v>8.6203092700332259E-2</c:v>
                </c:pt>
                <c:pt idx="4">
                  <c:v>9.0644360465188145E-2</c:v>
                </c:pt>
                <c:pt idx="5">
                  <c:v>0.15447152512624293</c:v>
                </c:pt>
                <c:pt idx="6">
                  <c:v>0.17308078556983444</c:v>
                </c:pt>
                <c:pt idx="7">
                  <c:v>0.19108563878235788</c:v>
                </c:pt>
                <c:pt idx="8">
                  <c:v>0.20877275620230304</c:v>
                </c:pt>
                <c:pt idx="9">
                  <c:v>0.22627226699006861</c:v>
                </c:pt>
              </c:numCache>
            </c:numRef>
          </c:val>
          <c:smooth val="0"/>
          <c:extLst>
            <c:ext xmlns:c16="http://schemas.microsoft.com/office/drawing/2014/chart" uri="{C3380CC4-5D6E-409C-BE32-E72D297353CC}">
              <c16:uniqueId val="{00000001-B64D-2B4C-8642-5275B44E00C3}"/>
            </c:ext>
          </c:extLst>
        </c:ser>
        <c:dLbls>
          <c:showLegendKey val="0"/>
          <c:showVal val="0"/>
          <c:showCatName val="0"/>
          <c:showSerName val="0"/>
          <c:showPercent val="0"/>
          <c:showBubbleSize val="0"/>
        </c:dLbls>
        <c:marker val="1"/>
        <c:smooth val="0"/>
        <c:axId val="1868671920"/>
        <c:axId val="1868669472"/>
      </c:lineChart>
      <c:catAx>
        <c:axId val="1628264064"/>
        <c:scaling>
          <c:orientation val="minMax"/>
        </c:scaling>
        <c:delete val="0"/>
        <c:axPos val="b"/>
        <c:numFmt formatCode="0.00%"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18761920"/>
        <c:crosses val="autoZero"/>
        <c:auto val="1"/>
        <c:lblAlgn val="ctr"/>
        <c:lblOffset val="100"/>
        <c:noMultiLvlLbl val="0"/>
      </c:catAx>
      <c:valAx>
        <c:axId val="2018761920"/>
        <c:scaling>
          <c:orientation val="minMax"/>
        </c:scaling>
        <c:delete val="0"/>
        <c:axPos val="l"/>
        <c:majorGridlines>
          <c:spPr>
            <a:ln w="9525" cap="flat" cmpd="sng" algn="ctr">
              <a:solidFill>
                <a:schemeClr val="tx1">
                  <a:lumMod val="15000"/>
                  <a:lumOff val="85000"/>
                </a:schemeClr>
              </a:solidFill>
              <a:round/>
            </a:ln>
            <a:effectLst/>
          </c:spPr>
        </c:majorGridlines>
        <c:numFmt formatCode="&quot;$&quot;#,##0_);[Red]\(&quot;$&quot;#,##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28264064"/>
        <c:crosses val="autoZero"/>
        <c:crossBetween val="between"/>
      </c:valAx>
      <c:valAx>
        <c:axId val="1868669472"/>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68671920"/>
        <c:crosses val="max"/>
        <c:crossBetween val="between"/>
      </c:valAx>
      <c:catAx>
        <c:axId val="1868671920"/>
        <c:scaling>
          <c:orientation val="minMax"/>
        </c:scaling>
        <c:delete val="1"/>
        <c:axPos val="b"/>
        <c:numFmt formatCode="0.00%" sourceLinked="1"/>
        <c:majorTickMark val="out"/>
        <c:minorTickMark val="none"/>
        <c:tickLblPos val="nextTo"/>
        <c:crossAx val="1868669472"/>
        <c:crosses val="autoZero"/>
        <c:auto val="1"/>
        <c:lblAlgn val="ctr"/>
        <c:lblOffset val="100"/>
        <c:noMultiLvlLbl val="0"/>
      </c:cat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2.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75BC0B3C-6915-C944-A677-B07F4FF57BDA}">
  <sheetPr/>
  <sheetViews>
    <sheetView zoomScale="148" workbookViewId="0" zoomToFit="1"/>
  </sheetViews>
  <pageMargins left="0.7" right="0.7" top="0.75" bottom="0.75" header="0.3" footer="0.3"/>
  <drawing r:id="rId1"/>
</chartsheet>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4</xdr:col>
      <xdr:colOff>698500</xdr:colOff>
      <xdr:row>18</xdr:row>
      <xdr:rowOff>63500</xdr:rowOff>
    </xdr:from>
    <xdr:to>
      <xdr:col>7</xdr:col>
      <xdr:colOff>850900</xdr:colOff>
      <xdr:row>19</xdr:row>
      <xdr:rowOff>76200</xdr:rowOff>
    </xdr:to>
    <xdr:sp macro="" textlink="">
      <xdr:nvSpPr>
        <xdr:cNvPr id="1434" name="Line 24">
          <a:extLst>
            <a:ext uri="{FF2B5EF4-FFF2-40B4-BE49-F238E27FC236}">
              <a16:creationId xmlns:a16="http://schemas.microsoft.com/office/drawing/2014/main" id="{61AF24AB-B73B-124B-83C5-9ABF532234AD}"/>
            </a:ext>
          </a:extLst>
        </xdr:cNvPr>
        <xdr:cNvSpPr>
          <a:spLocks noChangeShapeType="1"/>
        </xdr:cNvSpPr>
      </xdr:nvSpPr>
      <xdr:spPr bwMode="auto">
        <a:xfrm flipH="1">
          <a:off x="5892800" y="3492500"/>
          <a:ext cx="2844800" cy="190500"/>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xdr:col>
      <xdr:colOff>342900</xdr:colOff>
      <xdr:row>20</xdr:row>
      <xdr:rowOff>88900</xdr:rowOff>
    </xdr:from>
    <xdr:to>
      <xdr:col>1</xdr:col>
      <xdr:colOff>825500</xdr:colOff>
      <xdr:row>20</xdr:row>
      <xdr:rowOff>88900</xdr:rowOff>
    </xdr:to>
    <xdr:sp macro="" textlink="">
      <xdr:nvSpPr>
        <xdr:cNvPr id="1435" name="Line 26">
          <a:extLst>
            <a:ext uri="{FF2B5EF4-FFF2-40B4-BE49-F238E27FC236}">
              <a16:creationId xmlns:a16="http://schemas.microsoft.com/office/drawing/2014/main" id="{2FA39D19-E2C2-7D4B-BAA7-29ABCA5A0DC3}"/>
            </a:ext>
          </a:extLst>
        </xdr:cNvPr>
        <xdr:cNvSpPr>
          <a:spLocks noChangeShapeType="1"/>
        </xdr:cNvSpPr>
      </xdr:nvSpPr>
      <xdr:spPr bwMode="auto">
        <a:xfrm>
          <a:off x="2946400" y="3873500"/>
          <a:ext cx="482600" cy="0"/>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absoluteAnchor>
    <xdr:pos x="0" y="0"/>
    <xdr:ext cx="8675473" cy="6281351"/>
    <xdr:graphicFrame macro="">
      <xdr:nvGraphicFramePr>
        <xdr:cNvPr id="2" name="Chart 1">
          <a:extLst>
            <a:ext uri="{FF2B5EF4-FFF2-40B4-BE49-F238E27FC236}">
              <a16:creationId xmlns:a16="http://schemas.microsoft.com/office/drawing/2014/main" id="{FDB80C0D-D070-C640-91C0-B288B5828E8A}"/>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persons/person.xml><?xml version="1.0" encoding="utf-8"?>
<personList xmlns="http://schemas.microsoft.com/office/spreadsheetml/2018/threadedcomments" xmlns:x="http://schemas.openxmlformats.org/spreadsheetml/2006/main">
  <person displayName="Aswath Damodaran" id="{73C9CFE9-AB55-9843-AC79-2C7E133423F8}" userId="589fc2f8758a430e" providerId="Windows Liv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DC705CD-B327-0344-A6B9-F8248C85CBD0}" name="Table132" displayName="Table132" ref="A1:B192" totalsRowShown="0" headerRowDxfId="6" dataDxfId="4" headerRowBorderDxfId="5" tableBorderDxfId="3" totalsRowBorderDxfId="2">
  <autoFilter ref="A1:B192" xr:uid="{EDC705CD-B327-0344-A6B9-F8248C85CBD0}"/>
  <tableColumns count="2">
    <tableColumn id="1" xr3:uid="{1AA7DEC3-0758-B441-8272-0F317E51D445}" name="Country" dataDxfId="1"/>
    <tableColumn id="7" xr3:uid="{5412D07B-5194-414F-9FE7-573B4A31AE6C}" name="2023" dataDxfId="0"/>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38" dT="2023-02-26T17:59:16.94" personId="{73C9CFE9-AB55-9843-AC79-2C7E133423F8}" id="{7A810B27-4B84-2A43-AF55-D17FDC6EEF07}">
    <text>I used your country of incorporation to get the ERP, but use the ERP calculation to get a better estimate.</text>
  </threadedComment>
  <threadedComment ref="B42" dT="2023-02-26T18:22:30.70" personId="{73C9CFE9-AB55-9843-AC79-2C7E133423F8}" id="{FA9AA5FC-D1CC-A94C-8E7A-FB4594B3CC07}">
    <text>1: Large and relatively stable
2: Small and/or risky
3. Utility/Regulated with stable earnings</text>
  </threadedComment>
</ThreadedComments>
</file>

<file path=xl/worksheets/_rels/sheet3.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table" Target="../tables/table1.xml"/></Relationships>
</file>

<file path=xl/worksheets/_rels/sheet9.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36"/>
  <sheetViews>
    <sheetView workbookViewId="0">
      <selection sqref="A1:IV36"/>
    </sheetView>
  </sheetViews>
  <sheetFormatPr baseColWidth="10" defaultRowHeight="14"/>
  <cols>
    <col min="1" max="1" width="31.7109375" bestFit="1" customWidth="1"/>
    <col min="2" max="2" width="52.7109375" bestFit="1" customWidth="1"/>
  </cols>
  <sheetData>
    <row r="1" spans="1:5" s="2" customFormat="1" ht="13">
      <c r="A1" s="247" t="s">
        <v>150</v>
      </c>
      <c r="B1" s="247"/>
      <c r="C1" s="247"/>
      <c r="D1" s="247"/>
      <c r="E1" s="247"/>
    </row>
    <row r="2" spans="1:5" s="2" customFormat="1" ht="13">
      <c r="A2" s="59" t="s">
        <v>81</v>
      </c>
      <c r="B2" s="57" t="s">
        <v>407</v>
      </c>
    </row>
    <row r="3" spans="1:5" s="2" customFormat="1" ht="13">
      <c r="A3" s="60"/>
      <c r="B3" s="58" t="s">
        <v>408</v>
      </c>
    </row>
    <row r="4" spans="1:5" s="3" customFormat="1" ht="13">
      <c r="A4" s="55" t="s">
        <v>146</v>
      </c>
      <c r="B4" s="45" t="s">
        <v>199</v>
      </c>
    </row>
    <row r="5" spans="1:5" s="3" customFormat="1" ht="13">
      <c r="A5" s="53"/>
      <c r="B5" s="54" t="s">
        <v>200</v>
      </c>
    </row>
    <row r="6" spans="1:5" s="3" customFormat="1" ht="13">
      <c r="A6" s="52" t="s">
        <v>163</v>
      </c>
      <c r="B6" s="45" t="s">
        <v>201</v>
      </c>
    </row>
    <row r="7" spans="1:5" s="3" customFormat="1" ht="13">
      <c r="A7" s="53"/>
      <c r="B7" s="54" t="s">
        <v>202</v>
      </c>
    </row>
    <row r="8" spans="1:5" s="3" customFormat="1" ht="13">
      <c r="A8" s="43" t="s">
        <v>203</v>
      </c>
      <c r="B8" s="35" t="s">
        <v>204</v>
      </c>
    </row>
    <row r="9" spans="1:5" s="3" customFormat="1" ht="13">
      <c r="A9" s="52" t="s">
        <v>205</v>
      </c>
      <c r="B9" s="45" t="s">
        <v>24</v>
      </c>
    </row>
    <row r="10" spans="1:5" s="3" customFormat="1" ht="13">
      <c r="A10" s="55"/>
      <c r="B10" s="56" t="s">
        <v>151</v>
      </c>
    </row>
    <row r="11" spans="1:5" s="3" customFormat="1" ht="13">
      <c r="A11" s="55"/>
      <c r="B11" s="56" t="s">
        <v>152</v>
      </c>
    </row>
    <row r="12" spans="1:5" s="3" customFormat="1" ht="13">
      <c r="A12" s="55"/>
      <c r="B12" s="56" t="s">
        <v>15</v>
      </c>
    </row>
    <row r="13" spans="1:5" s="3" customFormat="1" ht="13">
      <c r="A13" s="55"/>
      <c r="B13" s="56" t="s">
        <v>16</v>
      </c>
    </row>
    <row r="14" spans="1:5" s="3" customFormat="1" ht="13">
      <c r="A14" s="52" t="s">
        <v>17</v>
      </c>
      <c r="B14" s="45" t="s">
        <v>406</v>
      </c>
    </row>
    <row r="15" spans="1:5" s="3" customFormat="1" ht="13">
      <c r="A15" s="55"/>
      <c r="B15" s="56" t="s">
        <v>56</v>
      </c>
    </row>
    <row r="16" spans="1:5" s="3" customFormat="1" ht="13">
      <c r="A16" s="53"/>
      <c r="B16" s="54" t="s">
        <v>57</v>
      </c>
    </row>
    <row r="17" spans="1:2" s="3" customFormat="1" ht="13">
      <c r="A17" s="52" t="s">
        <v>58</v>
      </c>
      <c r="B17" s="45" t="s">
        <v>409</v>
      </c>
    </row>
    <row r="18" spans="1:2" s="3" customFormat="1" ht="13">
      <c r="A18" s="55"/>
      <c r="B18" s="56" t="s">
        <v>147</v>
      </c>
    </row>
    <row r="19" spans="1:2" s="3" customFormat="1" ht="13">
      <c r="A19" s="55"/>
      <c r="B19" s="56" t="s">
        <v>148</v>
      </c>
    </row>
    <row r="20" spans="1:2" s="3" customFormat="1" ht="13">
      <c r="A20" s="53"/>
      <c r="B20" s="54" t="s">
        <v>149</v>
      </c>
    </row>
    <row r="21" spans="1:2" s="3" customFormat="1" ht="13">
      <c r="A21" s="43" t="s">
        <v>97</v>
      </c>
      <c r="B21" s="35" t="s">
        <v>410</v>
      </c>
    </row>
    <row r="22" spans="1:2" s="3" customFormat="1" ht="13">
      <c r="A22" s="52" t="s">
        <v>7</v>
      </c>
      <c r="B22" s="45" t="s">
        <v>8</v>
      </c>
    </row>
    <row r="23" spans="1:2" s="3" customFormat="1" ht="13">
      <c r="A23" s="55"/>
      <c r="B23" s="56" t="s">
        <v>70</v>
      </c>
    </row>
    <row r="24" spans="1:2" s="3" customFormat="1" ht="13">
      <c r="A24" s="55"/>
      <c r="B24" s="56" t="s">
        <v>71</v>
      </c>
    </row>
    <row r="25" spans="1:2" s="3" customFormat="1" ht="13">
      <c r="A25" s="53"/>
      <c r="B25" s="54" t="s">
        <v>72</v>
      </c>
    </row>
    <row r="26" spans="1:2" s="2" customFormat="1" ht="13">
      <c r="A26" s="245" t="s">
        <v>68</v>
      </c>
      <c r="B26" s="246"/>
    </row>
    <row r="27" spans="1:2" s="3" customFormat="1" ht="13">
      <c r="A27" s="52" t="s">
        <v>69</v>
      </c>
      <c r="B27" s="45" t="s">
        <v>75</v>
      </c>
    </row>
    <row r="28" spans="1:2" s="3" customFormat="1" ht="13">
      <c r="A28" s="55"/>
      <c r="B28" s="56" t="s">
        <v>198</v>
      </c>
    </row>
    <row r="29" spans="1:2" s="3" customFormat="1" ht="13">
      <c r="A29" s="55"/>
      <c r="B29" s="56" t="s">
        <v>182</v>
      </c>
    </row>
    <row r="30" spans="1:2" s="3" customFormat="1" ht="13">
      <c r="A30" s="55"/>
      <c r="B30" s="56" t="s">
        <v>183</v>
      </c>
    </row>
    <row r="31" spans="1:2" s="3" customFormat="1" ht="13">
      <c r="A31" s="55"/>
      <c r="B31" s="56" t="s">
        <v>184</v>
      </c>
    </row>
    <row r="32" spans="1:2" s="3" customFormat="1" ht="13">
      <c r="A32" s="43" t="s">
        <v>76</v>
      </c>
      <c r="B32" s="35" t="s">
        <v>6</v>
      </c>
    </row>
    <row r="33" spans="1:1" s="3" customFormat="1" ht="13">
      <c r="A33" s="5"/>
    </row>
    <row r="34" spans="1:1" s="3" customFormat="1" ht="13">
      <c r="A34" s="8" t="s">
        <v>11</v>
      </c>
    </row>
    <row r="35" spans="1:1" s="3" customFormat="1" ht="13">
      <c r="A35" s="5" t="s">
        <v>79</v>
      </c>
    </row>
    <row r="36" spans="1:1" s="3" customFormat="1" ht="13">
      <c r="A36" s="5" t="s">
        <v>80</v>
      </c>
    </row>
  </sheetData>
  <mergeCells count="2">
    <mergeCell ref="A26:B26"/>
    <mergeCell ref="A1:E1"/>
  </mergeCells>
  <pageMargins left="0.75" right="0.75" top="1" bottom="1" header="0.5" footer="0.5"/>
  <pageSetup orientation="portrait" horizontalDpi="4294967292" verticalDpi="4294967292"/>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33"/>
  <sheetViews>
    <sheetView workbookViewId="0">
      <selection activeCell="B38" sqref="B38"/>
    </sheetView>
  </sheetViews>
  <sheetFormatPr baseColWidth="10" defaultRowHeight="16"/>
  <cols>
    <col min="1" max="1" width="47.5703125" style="173" customWidth="1"/>
    <col min="2" max="2" width="79.28515625" style="140" customWidth="1"/>
    <col min="3" max="5" width="79.28515625" customWidth="1"/>
  </cols>
  <sheetData>
    <row r="1" spans="1:2" s="5" customFormat="1" ht="17">
      <c r="A1" s="168" t="s">
        <v>185</v>
      </c>
      <c r="B1" s="163" t="s">
        <v>186</v>
      </c>
    </row>
    <row r="2" spans="1:2" s="3" customFormat="1" ht="17">
      <c r="A2" s="169" t="s">
        <v>167</v>
      </c>
      <c r="B2" s="164" t="s">
        <v>187</v>
      </c>
    </row>
    <row r="3" spans="1:2" s="3" customFormat="1" ht="14" customHeight="1">
      <c r="A3" s="248" t="s">
        <v>241</v>
      </c>
      <c r="B3" s="251" t="s">
        <v>242</v>
      </c>
    </row>
    <row r="4" spans="1:2" s="3" customFormat="1" ht="14" customHeight="1">
      <c r="A4" s="249"/>
      <c r="B4" s="252"/>
    </row>
    <row r="5" spans="1:2" s="3" customFormat="1" ht="20" customHeight="1">
      <c r="A5" s="250"/>
      <c r="B5" s="253"/>
    </row>
    <row r="6" spans="1:2" s="3" customFormat="1" ht="14" customHeight="1">
      <c r="A6" s="251" t="s">
        <v>243</v>
      </c>
      <c r="B6" s="254" t="s">
        <v>190</v>
      </c>
    </row>
    <row r="7" spans="1:2" s="3" customFormat="1" ht="14" customHeight="1">
      <c r="A7" s="252"/>
      <c r="B7" s="255"/>
    </row>
    <row r="8" spans="1:2" s="3" customFormat="1" ht="14" customHeight="1">
      <c r="A8" s="253"/>
      <c r="B8" s="256"/>
    </row>
    <row r="9" spans="1:2" s="3" customFormat="1">
      <c r="A9" s="251" t="s">
        <v>244</v>
      </c>
      <c r="B9" s="165" t="s">
        <v>9</v>
      </c>
    </row>
    <row r="10" spans="1:2" s="3" customFormat="1">
      <c r="A10" s="252"/>
      <c r="B10" s="166" t="s">
        <v>21</v>
      </c>
    </row>
    <row r="11" spans="1:2" s="3" customFormat="1">
      <c r="A11" s="252"/>
      <c r="B11" s="166" t="s">
        <v>22</v>
      </c>
    </row>
    <row r="12" spans="1:2" s="3" customFormat="1">
      <c r="A12" s="253"/>
      <c r="B12" s="167" t="s">
        <v>90</v>
      </c>
    </row>
    <row r="13" spans="1:2" s="3" customFormat="1" ht="17">
      <c r="A13" s="170" t="s">
        <v>91</v>
      </c>
      <c r="B13" s="165" t="s">
        <v>94</v>
      </c>
    </row>
    <row r="14" spans="1:2" s="3" customFormat="1" ht="17">
      <c r="A14" s="171" t="s">
        <v>92</v>
      </c>
      <c r="B14" s="166" t="s">
        <v>173</v>
      </c>
    </row>
    <row r="15" spans="1:2" s="3" customFormat="1" ht="17">
      <c r="A15" s="171" t="s">
        <v>93</v>
      </c>
      <c r="B15" s="166" t="s">
        <v>174</v>
      </c>
    </row>
    <row r="16" spans="1:2" s="3" customFormat="1">
      <c r="A16" s="171"/>
      <c r="B16" s="166" t="s">
        <v>175</v>
      </c>
    </row>
    <row r="17" spans="1:2" s="3" customFormat="1">
      <c r="A17" s="171"/>
      <c r="B17" s="166" t="s">
        <v>171</v>
      </c>
    </row>
    <row r="18" spans="1:2" s="3" customFormat="1">
      <c r="A18" s="171"/>
      <c r="B18" s="166" t="s">
        <v>191</v>
      </c>
    </row>
    <row r="19" spans="1:2" s="3" customFormat="1">
      <c r="A19" s="171"/>
      <c r="B19" s="166" t="s">
        <v>77</v>
      </c>
    </row>
    <row r="20" spans="1:2" s="3" customFormat="1">
      <c r="A20" s="171"/>
      <c r="B20" s="166" t="s">
        <v>78</v>
      </c>
    </row>
    <row r="21" spans="1:2" s="3" customFormat="1">
      <c r="A21" s="171"/>
      <c r="B21" s="166" t="s">
        <v>168</v>
      </c>
    </row>
    <row r="22" spans="1:2" s="3" customFormat="1">
      <c r="A22" s="171"/>
      <c r="B22" s="166" t="s">
        <v>172</v>
      </c>
    </row>
    <row r="23" spans="1:2" s="3" customFormat="1">
      <c r="A23" s="171"/>
      <c r="B23" s="166" t="s">
        <v>194</v>
      </c>
    </row>
    <row r="24" spans="1:2" s="3" customFormat="1">
      <c r="A24" s="171"/>
      <c r="B24" s="166" t="s">
        <v>139</v>
      </c>
    </row>
    <row r="25" spans="1:2" s="3" customFormat="1">
      <c r="A25" s="171"/>
      <c r="B25" s="166" t="s">
        <v>195</v>
      </c>
    </row>
    <row r="26" spans="1:2" s="3" customFormat="1">
      <c r="A26" s="171"/>
      <c r="B26" s="166" t="s">
        <v>197</v>
      </c>
    </row>
    <row r="27" spans="1:2" s="3" customFormat="1">
      <c r="A27" s="171"/>
      <c r="B27" s="166" t="s">
        <v>135</v>
      </c>
    </row>
    <row r="28" spans="1:2" s="3" customFormat="1">
      <c r="A28" s="171"/>
      <c r="B28" s="166" t="s">
        <v>136</v>
      </c>
    </row>
    <row r="29" spans="1:2" s="3" customFormat="1">
      <c r="A29" s="172"/>
      <c r="B29" s="167" t="s">
        <v>137</v>
      </c>
    </row>
    <row r="30" spans="1:2" ht="17">
      <c r="A30" s="170" t="s">
        <v>235</v>
      </c>
      <c r="B30" s="165" t="s">
        <v>237</v>
      </c>
    </row>
    <row r="31" spans="1:2" ht="17">
      <c r="A31" s="171" t="s">
        <v>236</v>
      </c>
      <c r="B31" s="166" t="s">
        <v>238</v>
      </c>
    </row>
    <row r="32" spans="1:2">
      <c r="A32" s="171"/>
      <c r="B32" s="166" t="s">
        <v>239</v>
      </c>
    </row>
    <row r="33" spans="1:2">
      <c r="A33" s="172"/>
      <c r="B33" s="167" t="s">
        <v>240</v>
      </c>
    </row>
  </sheetData>
  <mergeCells count="5">
    <mergeCell ref="A3:A5"/>
    <mergeCell ref="B3:B5"/>
    <mergeCell ref="A6:A8"/>
    <mergeCell ref="B6:B8"/>
    <mergeCell ref="A9:A12"/>
  </mergeCells>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62"/>
  <sheetViews>
    <sheetView tabSelected="1" topLeftCell="A6" zoomScaleNormal="100" workbookViewId="0">
      <selection activeCell="B15" sqref="B15"/>
    </sheetView>
  </sheetViews>
  <sheetFormatPr baseColWidth="10" defaultRowHeight="14"/>
  <cols>
    <col min="1" max="1" width="55.140625" bestFit="1" customWidth="1"/>
    <col min="2" max="2" width="20.7109375" customWidth="1"/>
    <col min="6" max="6" width="13.28515625" customWidth="1"/>
    <col min="7" max="8" width="11.42578125" bestFit="1" customWidth="1"/>
  </cols>
  <sheetData>
    <row r="1" spans="1:10">
      <c r="A1" s="258" t="s">
        <v>475</v>
      </c>
      <c r="B1" s="259"/>
      <c r="C1" s="259"/>
      <c r="D1" s="259"/>
      <c r="E1" s="259"/>
      <c r="F1" s="259"/>
      <c r="G1" s="260"/>
      <c r="I1" s="195"/>
      <c r="J1" s="37" t="s">
        <v>569</v>
      </c>
    </row>
    <row r="2" spans="1:10">
      <c r="A2" s="261"/>
      <c r="B2" s="262"/>
      <c r="C2" s="262"/>
      <c r="D2" s="262"/>
      <c r="E2" s="262"/>
      <c r="F2" s="262"/>
      <c r="G2" s="263"/>
      <c r="I2" s="125"/>
      <c r="J2" s="37" t="s">
        <v>570</v>
      </c>
    </row>
    <row r="3" spans="1:10">
      <c r="A3" s="261"/>
      <c r="B3" s="262"/>
      <c r="C3" s="262"/>
      <c r="D3" s="262"/>
      <c r="E3" s="262"/>
      <c r="F3" s="262"/>
      <c r="G3" s="263"/>
    </row>
    <row r="4" spans="1:10" ht="15" thickBot="1">
      <c r="A4" s="264"/>
      <c r="B4" s="265"/>
      <c r="C4" s="265"/>
      <c r="D4" s="265"/>
      <c r="E4" s="265"/>
      <c r="F4" s="265"/>
      <c r="G4" s="266"/>
    </row>
    <row r="5" spans="1:10" ht="18" customHeight="1" thickBot="1">
      <c r="A5" s="276" t="s">
        <v>485</v>
      </c>
      <c r="B5" s="277"/>
      <c r="C5" s="277"/>
      <c r="D5" s="277"/>
      <c r="E5" s="277"/>
      <c r="F5" s="277"/>
      <c r="G5" s="278"/>
    </row>
    <row r="6" spans="1:10" s="140" customFormat="1" ht="16">
      <c r="A6" s="99" t="s">
        <v>163</v>
      </c>
    </row>
    <row r="7" spans="1:10" s="140" customFormat="1" ht="20" customHeight="1">
      <c r="A7" s="140" t="s">
        <v>100</v>
      </c>
      <c r="B7" s="202" t="s">
        <v>574</v>
      </c>
    </row>
    <row r="8" spans="1:10" s="140" customFormat="1" ht="20" customHeight="1">
      <c r="A8" s="140" t="s">
        <v>486</v>
      </c>
      <c r="B8" s="141" t="s">
        <v>374</v>
      </c>
    </row>
    <row r="9" spans="1:10" s="140" customFormat="1" ht="20" customHeight="1">
      <c r="A9" s="140" t="s">
        <v>245</v>
      </c>
      <c r="B9" s="142">
        <v>43951</v>
      </c>
    </row>
    <row r="10" spans="1:10" s="140" customFormat="1" ht="20" customHeight="1" thickBot="1">
      <c r="A10" s="143" t="s">
        <v>169</v>
      </c>
      <c r="B10" s="144"/>
      <c r="C10" s="144"/>
      <c r="D10" s="144"/>
      <c r="E10" s="144"/>
      <c r="F10" s="257" t="s">
        <v>438</v>
      </c>
      <c r="G10" s="257"/>
      <c r="H10" s="257"/>
    </row>
    <row r="11" spans="1:10" s="140" customFormat="1" ht="20" customHeight="1">
      <c r="A11" s="140" t="s">
        <v>411</v>
      </c>
      <c r="B11" s="206">
        <f>9332+3626+1743</f>
        <v>14701</v>
      </c>
      <c r="D11" s="144"/>
      <c r="E11" s="144"/>
      <c r="F11" s="133"/>
      <c r="G11" s="134" t="s">
        <v>155</v>
      </c>
      <c r="H11" s="135" t="s">
        <v>156</v>
      </c>
    </row>
    <row r="12" spans="1:10" s="140" customFormat="1" ht="20" customHeight="1">
      <c r="A12" s="140" t="s">
        <v>101</v>
      </c>
      <c r="B12" s="206">
        <f>3626+1743</f>
        <v>5369</v>
      </c>
      <c r="D12" s="144"/>
      <c r="E12" s="144"/>
      <c r="F12" s="136" t="s">
        <v>439</v>
      </c>
      <c r="G12" s="138">
        <f>'Optimal CS Worksheet'!E12</f>
        <v>0.21530798671346701</v>
      </c>
      <c r="H12" s="138">
        <f ca="1">'Optimal CS Worksheet'!F12</f>
        <v>0.3</v>
      </c>
    </row>
    <row r="13" spans="1:10" s="140" customFormat="1" ht="20" customHeight="1">
      <c r="A13" s="140" t="s">
        <v>102</v>
      </c>
      <c r="B13" s="206">
        <v>4969</v>
      </c>
      <c r="D13" s="144"/>
      <c r="E13" s="144"/>
      <c r="F13" s="136" t="s">
        <v>557</v>
      </c>
      <c r="G13" s="177">
        <f>('Optimal CS Worksheet'!C5+'Optimal CS Worksheet'!C7)/'Optimal CS Worksheet'!I4</f>
        <v>3.1563217071615681</v>
      </c>
      <c r="H13" s="177">
        <f ca="1">'Optimal CS Worksheet'!F13/Inputs!B11</f>
        <v>4.5389764517005862</v>
      </c>
    </row>
    <row r="14" spans="1:10" s="140" customFormat="1" ht="20" customHeight="1">
      <c r="A14" s="140" t="s">
        <v>399</v>
      </c>
      <c r="B14" s="206">
        <v>1973</v>
      </c>
      <c r="D14" s="144"/>
      <c r="E14" s="144"/>
      <c r="F14" s="136" t="s">
        <v>558</v>
      </c>
      <c r="G14" s="177">
        <f>('Optimal CS Worksheet'!I4-'Optimal CS Worksheet'!I5)/'Optimal CS Worksheet'!I8</f>
        <v>4.6182745336641799</v>
      </c>
      <c r="H14" s="177">
        <f ca="1">HLOOKUP('Optimal CS Worksheet'!F12,'Optimal CS Worksheet'!B62:K63,2,FALSE)</f>
        <v>3.2427406862879384</v>
      </c>
    </row>
    <row r="15" spans="1:10" s="140" customFormat="1" ht="20" customHeight="1">
      <c r="A15" s="140" t="s">
        <v>263</v>
      </c>
      <c r="B15" s="229">
        <f>VLOOKUP(B8,Table132[#All],2,FALSE)</f>
        <v>0.25</v>
      </c>
      <c r="C15" s="155" t="s">
        <v>591</v>
      </c>
      <c r="D15" s="144"/>
      <c r="E15" s="144"/>
      <c r="F15" s="136" t="s">
        <v>440</v>
      </c>
      <c r="G15" s="138">
        <f>'Optimal CS Worksheet'!E19</f>
        <v>8.7345361184120271E-2</v>
      </c>
      <c r="H15" s="138">
        <f ca="1">'Optimal CS Worksheet'!F19</f>
        <v>8.6203092700332259E-2</v>
      </c>
    </row>
    <row r="16" spans="1:10" s="140" customFormat="1" ht="20" customHeight="1">
      <c r="A16" s="140" t="s">
        <v>404</v>
      </c>
      <c r="B16" s="141" t="s">
        <v>249</v>
      </c>
      <c r="D16" s="144"/>
      <c r="E16" s="144"/>
      <c r="F16" s="136" t="s">
        <v>441</v>
      </c>
      <c r="G16" s="219">
        <f>'Optimal CS Worksheet'!J14</f>
        <v>222424.97605483443</v>
      </c>
      <c r="H16" s="219">
        <f ca="1">'Optimal CS Worksheet'!F21</f>
        <v>228591.23745668039</v>
      </c>
    </row>
    <row r="17" spans="1:10" s="140" customFormat="1" ht="20" customHeight="1" thickBot="1">
      <c r="A17" s="140" t="s">
        <v>393</v>
      </c>
      <c r="B17" s="146">
        <v>5.7099999999999998E-2</v>
      </c>
      <c r="D17" s="144"/>
      <c r="E17" s="144"/>
      <c r="F17" s="137" t="s">
        <v>442</v>
      </c>
      <c r="G17" s="218">
        <f>'Optimal CS Worksheet'!E22</f>
        <v>100.3</v>
      </c>
      <c r="H17" s="218">
        <f ca="1">'Optimal CS Worksheet'!F22</f>
        <v>103.6677014756122</v>
      </c>
    </row>
    <row r="18" spans="1:10" s="143" customFormat="1" ht="20" customHeight="1">
      <c r="A18" s="143" t="s">
        <v>382</v>
      </c>
      <c r="B18" s="147"/>
      <c r="C18" s="140"/>
      <c r="D18" s="147"/>
      <c r="E18" s="147"/>
      <c r="F18" s="152" t="s">
        <v>443</v>
      </c>
      <c r="G18" s="153"/>
      <c r="H18" s="154"/>
      <c r="I18" s="140"/>
      <c r="J18" s="140"/>
    </row>
    <row r="19" spans="1:10" s="140" customFormat="1" ht="20" customHeight="1">
      <c r="A19" s="140" t="s">
        <v>59</v>
      </c>
      <c r="B19" s="221">
        <v>1831</v>
      </c>
      <c r="D19" s="144"/>
      <c r="E19" s="144"/>
    </row>
    <row r="20" spans="1:10" s="140" customFormat="1" ht="20" customHeight="1">
      <c r="A20" s="140" t="s">
        <v>37</v>
      </c>
      <c r="B20" s="206">
        <v>100.3</v>
      </c>
      <c r="D20" s="144"/>
      <c r="E20" s="144"/>
      <c r="F20" s="143"/>
      <c r="G20" s="143"/>
      <c r="H20" s="143"/>
      <c r="I20" s="143"/>
      <c r="J20" s="143"/>
    </row>
    <row r="21" spans="1:10" s="140" customFormat="1" ht="20" customHeight="1">
      <c r="A21" s="140" t="s">
        <v>38</v>
      </c>
      <c r="B21" s="148">
        <f>0.96*(1+(1-B15)*('Optimal CS Worksheet'!C5/'Optimal CS Worksheet'!C4))</f>
        <v>1.1420334735825293</v>
      </c>
      <c r="D21" s="144"/>
      <c r="E21" s="144"/>
      <c r="F21" s="267" t="s">
        <v>484</v>
      </c>
      <c r="G21" s="268"/>
      <c r="H21" s="268"/>
      <c r="I21" s="269"/>
    </row>
    <row r="22" spans="1:10" s="140" customFormat="1" ht="20" customHeight="1">
      <c r="A22" s="140" t="s">
        <v>417</v>
      </c>
      <c r="B22" s="207">
        <v>11615</v>
      </c>
      <c r="D22" s="144"/>
      <c r="E22" s="144"/>
      <c r="F22" s="270"/>
      <c r="G22" s="271"/>
      <c r="H22" s="271"/>
      <c r="I22" s="272"/>
    </row>
    <row r="23" spans="1:10" s="140" customFormat="1" ht="20" customHeight="1">
      <c r="A23" s="140" t="s">
        <v>400</v>
      </c>
      <c r="B23" s="206">
        <f>42101+1476+2854</f>
        <v>46431</v>
      </c>
      <c r="D23" s="144"/>
      <c r="E23" s="144"/>
      <c r="F23" s="270"/>
      <c r="G23" s="271"/>
      <c r="H23" s="271"/>
      <c r="I23" s="272"/>
    </row>
    <row r="24" spans="1:10" s="140" customFormat="1" ht="20" customHeight="1">
      <c r="A24" s="140" t="s">
        <v>397</v>
      </c>
      <c r="B24" s="141" t="s">
        <v>232</v>
      </c>
      <c r="D24" s="144"/>
      <c r="E24" s="144"/>
      <c r="F24" s="270"/>
      <c r="G24" s="271"/>
      <c r="H24" s="271"/>
      <c r="I24" s="272"/>
    </row>
    <row r="25" spans="1:10" s="140" customFormat="1" ht="20" customHeight="1">
      <c r="A25" s="140" t="s">
        <v>396</v>
      </c>
      <c r="B25" s="145"/>
      <c r="D25" s="144"/>
      <c r="E25" s="144"/>
      <c r="F25" s="273"/>
      <c r="G25" s="274"/>
      <c r="H25" s="274"/>
      <c r="I25" s="275"/>
    </row>
    <row r="26" spans="1:10" s="140" customFormat="1" ht="20" customHeight="1">
      <c r="A26" s="140" t="s">
        <v>40</v>
      </c>
      <c r="B26" s="145" t="s">
        <v>232</v>
      </c>
      <c r="D26" s="144"/>
      <c r="E26" s="144"/>
    </row>
    <row r="27" spans="1:10" s="140" customFormat="1" ht="20" customHeight="1">
      <c r="A27" s="140" t="s">
        <v>398</v>
      </c>
      <c r="B27" s="149">
        <v>4.2</v>
      </c>
      <c r="D27" s="144"/>
      <c r="E27" s="144"/>
    </row>
    <row r="28" spans="1:10" s="140" customFormat="1" ht="20" customHeight="1">
      <c r="A28" s="140" t="s">
        <v>170</v>
      </c>
      <c r="B28" s="145" t="s">
        <v>41</v>
      </c>
      <c r="C28" s="144"/>
      <c r="D28" s="144"/>
      <c r="E28" s="144"/>
    </row>
    <row r="29" spans="1:10" s="140" customFormat="1" ht="20" customHeight="1">
      <c r="A29" s="99" t="s">
        <v>482</v>
      </c>
      <c r="B29" s="156"/>
      <c r="C29" s="144"/>
      <c r="D29" s="144"/>
      <c r="E29" s="144"/>
    </row>
    <row r="30" spans="1:10" s="140" customFormat="1" ht="20" customHeight="1">
      <c r="A30" s="140" t="s">
        <v>476</v>
      </c>
      <c r="B30" s="157" t="s">
        <v>232</v>
      </c>
      <c r="C30" s="144"/>
      <c r="D30" s="144"/>
      <c r="E30" s="144"/>
    </row>
    <row r="31" spans="1:10" s="140" customFormat="1" ht="20" customHeight="1">
      <c r="A31" s="140" t="s">
        <v>477</v>
      </c>
      <c r="B31" s="157" t="s">
        <v>112</v>
      </c>
      <c r="C31" s="144"/>
      <c r="D31" s="144"/>
      <c r="E31" s="144"/>
    </row>
    <row r="32" spans="1:10" s="140" customFormat="1" ht="20" customHeight="1">
      <c r="A32" s="140" t="s">
        <v>479</v>
      </c>
      <c r="B32" s="158">
        <v>0.3</v>
      </c>
      <c r="C32" s="144"/>
      <c r="D32" s="144"/>
      <c r="E32" s="144"/>
    </row>
    <row r="33" spans="1:5" s="140" customFormat="1" ht="20" customHeight="1">
      <c r="A33" s="143" t="s">
        <v>383</v>
      </c>
      <c r="B33" s="150"/>
      <c r="C33" s="144"/>
      <c r="D33" s="144"/>
      <c r="E33" s="144"/>
    </row>
    <row r="34" spans="1:5" s="140" customFormat="1" ht="20" customHeight="1">
      <c r="A34" s="140" t="s">
        <v>384</v>
      </c>
      <c r="B34" s="145" t="s">
        <v>232</v>
      </c>
      <c r="C34" s="144"/>
      <c r="D34" s="144"/>
      <c r="E34" s="144"/>
    </row>
    <row r="35" spans="1:5" s="140" customFormat="1" ht="20" customHeight="1">
      <c r="A35" s="140" t="s">
        <v>386</v>
      </c>
      <c r="B35" s="145" t="s">
        <v>261</v>
      </c>
      <c r="C35" s="144"/>
      <c r="D35" s="144"/>
      <c r="E35" s="144"/>
    </row>
    <row r="36" spans="1:5" s="140" customFormat="1" ht="20" customHeight="1">
      <c r="A36" s="143" t="s">
        <v>20</v>
      </c>
      <c r="B36" s="144"/>
      <c r="C36" s="144"/>
      <c r="D36" s="144"/>
      <c r="E36" s="144"/>
    </row>
    <row r="37" spans="1:5" s="140" customFormat="1" ht="20" customHeight="1">
      <c r="A37" s="140" t="s">
        <v>381</v>
      </c>
      <c r="B37" s="146">
        <v>4.4999999999999998E-2</v>
      </c>
      <c r="C37" s="144"/>
      <c r="D37" s="144"/>
      <c r="E37" s="144"/>
    </row>
    <row r="38" spans="1:5" s="140" customFormat="1" ht="20" customHeight="1">
      <c r="A38" s="140" t="s">
        <v>42</v>
      </c>
      <c r="B38" s="138">
        <f>'ERP Calculator'!E29</f>
        <v>4.777539099488743E-2</v>
      </c>
      <c r="C38" s="189"/>
      <c r="D38" s="144"/>
      <c r="E38" s="144"/>
    </row>
    <row r="39" spans="1:5" s="140" customFormat="1" ht="20" customHeight="1">
      <c r="A39" s="140" t="s">
        <v>234</v>
      </c>
      <c r="B39" s="138">
        <v>0</v>
      </c>
      <c r="C39" s="189" t="s">
        <v>560</v>
      </c>
      <c r="D39" s="144"/>
      <c r="E39" s="144"/>
    </row>
    <row r="40" spans="1:5" s="140" customFormat="1" ht="16"/>
    <row r="41" spans="1:5" s="140" customFormat="1" ht="16">
      <c r="A41" s="143" t="s">
        <v>19</v>
      </c>
    </row>
    <row r="42" spans="1:5" s="140" customFormat="1" ht="20" customHeight="1">
      <c r="A42" s="140" t="s">
        <v>188</v>
      </c>
      <c r="B42" s="141">
        <v>1</v>
      </c>
    </row>
    <row r="43" spans="1:5" s="140" customFormat="1" ht="20" customHeight="1">
      <c r="A43" s="151" t="s">
        <v>52</v>
      </c>
      <c r="B43" s="141" t="s">
        <v>232</v>
      </c>
      <c r="C43" s="144" t="s">
        <v>39</v>
      </c>
      <c r="D43" s="155"/>
      <c r="E43" s="155"/>
    </row>
    <row r="44" spans="1:5" s="140" customFormat="1" ht="20" customHeight="1">
      <c r="A44" s="140" t="s">
        <v>395</v>
      </c>
      <c r="B44" s="141" t="s">
        <v>232</v>
      </c>
      <c r="C44" s="144" t="s">
        <v>39</v>
      </c>
      <c r="D44" s="155"/>
      <c r="E44" s="155"/>
    </row>
    <row r="45" spans="1:5" s="140" customFormat="1" ht="16"/>
    <row r="46" spans="1:5" s="140" customFormat="1" ht="16"/>
    <row r="47" spans="1:5" s="140" customFormat="1" ht="16"/>
    <row r="48" spans="1:5" s="140" customFormat="1" ht="16"/>
    <row r="49" spans="6:10" s="140" customFormat="1" ht="16"/>
    <row r="50" spans="6:10" s="140" customFormat="1" ht="16"/>
    <row r="51" spans="6:10" s="140" customFormat="1" ht="16"/>
    <row r="52" spans="6:10" s="140" customFormat="1" ht="16"/>
    <row r="53" spans="6:10" s="140" customFormat="1" ht="16"/>
    <row r="54" spans="6:10" s="140" customFormat="1" ht="16"/>
    <row r="55" spans="6:10" s="140" customFormat="1" ht="16"/>
    <row r="56" spans="6:10" s="140" customFormat="1" ht="16"/>
    <row r="57" spans="6:10" s="140" customFormat="1" ht="16"/>
    <row r="58" spans="6:10" s="140" customFormat="1" ht="16"/>
    <row r="59" spans="6:10" s="140" customFormat="1" ht="16"/>
    <row r="60" spans="6:10" s="140" customFormat="1" ht="16"/>
    <row r="61" spans="6:10" ht="16">
      <c r="F61" s="140"/>
      <c r="G61" s="140"/>
      <c r="H61" s="140"/>
      <c r="I61" s="140"/>
      <c r="J61" s="140"/>
    </row>
    <row r="62" spans="6:10" ht="16">
      <c r="F62" s="140"/>
      <c r="G62" s="140"/>
      <c r="H62" s="140"/>
      <c r="I62" s="140"/>
      <c r="J62" s="140"/>
    </row>
  </sheetData>
  <mergeCells count="4">
    <mergeCell ref="F10:H10"/>
    <mergeCell ref="A1:G4"/>
    <mergeCell ref="F21:I25"/>
    <mergeCell ref="A5:G5"/>
  </mergeCells>
  <phoneticPr fontId="20"/>
  <pageMargins left="0.75" right="0.75" top="1" bottom="1" header="0.5" footer="0.5"/>
  <headerFooter alignWithMargins="0"/>
  <legacyDrawing r:id="rId1"/>
  <extLst>
    <ext xmlns:x14="http://schemas.microsoft.com/office/spreadsheetml/2009/9/main" uri="{CCE6A557-97BC-4b89-ADB6-D9C93CAAB3DF}">
      <x14:dataValidations xmlns:xm="http://schemas.microsoft.com/office/excel/2006/main" count="6">
        <x14:dataValidation type="list" allowBlank="1" showInputMessage="1" showErrorMessage="1" xr:uid="{F914392E-DB34-CF49-8F69-B489F5E87AB0}">
          <x14:formula1>
            <xm:f>'Input choices page'!$A$2:$A$17</xm:f>
          </x14:formula1>
          <xm:sqref>B16</xm:sqref>
        </x14:dataValidation>
        <x14:dataValidation type="list" allowBlank="1" showInputMessage="1" showErrorMessage="1" xr:uid="{51B27351-1F17-8346-B9E4-CF0E7F13AFBE}">
          <x14:formula1>
            <xm:f>'Input choices page'!$F$2:$F$3</xm:f>
          </x14:formula1>
          <xm:sqref>B24 B26 B28 B30 B34 B43:B44</xm:sqref>
        </x14:dataValidation>
        <x14:dataValidation type="list" allowBlank="1" showInputMessage="1" showErrorMessage="1" xr:uid="{D697CFC1-6DA7-874D-BE66-EC61D3A71455}">
          <x14:formula1>
            <xm:f>'Input choices page'!$I$3:$I$4</xm:f>
          </x14:formula1>
          <xm:sqref>B31</xm:sqref>
        </x14:dataValidation>
        <x14:dataValidation type="list" allowBlank="1" showInputMessage="1" showErrorMessage="1" xr:uid="{8E55E728-A5F8-074B-83A9-45374712D851}">
          <x14:formula1>
            <xm:f>'Input choices page'!$G$2:$G$4</xm:f>
          </x14:formula1>
          <xm:sqref>B35</xm:sqref>
        </x14:dataValidation>
        <x14:dataValidation type="list" allowBlank="1" showInputMessage="1" showErrorMessage="1" xr:uid="{1065B029-118E-8B4E-8A41-FD417349404B}">
          <x14:formula1>
            <xm:f>'Input choices page'!$H$2:$H$4</xm:f>
          </x14:formula1>
          <xm:sqref>B42</xm:sqref>
        </x14:dataValidation>
        <x14:dataValidation type="list" allowBlank="1" showInputMessage="1" showErrorMessage="1" xr:uid="{53EEC2DF-55C5-394F-85C0-6A37C8CE8175}">
          <x14:formula1>
            <xm:f>'Country ERP '!$A$5:$A$195</xm:f>
          </x14:formula1>
          <xm:sqref>B8</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O104"/>
  <sheetViews>
    <sheetView showGridLines="0" zoomScale="169" zoomScaleNormal="169" workbookViewId="0">
      <selection activeCell="I4" sqref="I4"/>
    </sheetView>
  </sheetViews>
  <sheetFormatPr baseColWidth="10" defaultRowHeight="16"/>
  <cols>
    <col min="1" max="1" width="29.28515625" style="1" customWidth="1"/>
    <col min="2" max="6" width="9.7109375" customWidth="1"/>
    <col min="7" max="7" width="10.85546875" customWidth="1"/>
    <col min="8" max="8" width="9.7109375" customWidth="1"/>
    <col min="9" max="9" width="14.42578125" customWidth="1"/>
    <col min="10" max="11" width="9.7109375" customWidth="1"/>
  </cols>
  <sheetData>
    <row r="1" spans="1:14" s="3" customFormat="1" ht="19" thickBot="1">
      <c r="A1" s="282" t="str">
        <f>Inputs!B7</f>
        <v>Disney</v>
      </c>
      <c r="B1" s="283"/>
      <c r="C1" s="283"/>
      <c r="D1" s="283"/>
      <c r="E1" s="283"/>
      <c r="F1" s="283"/>
      <c r="G1" s="283"/>
      <c r="H1" s="283"/>
      <c r="I1" s="284"/>
    </row>
    <row r="2" spans="1:14" s="3" customFormat="1" ht="19" thickBot="1">
      <c r="A2" s="288">
        <f>Inputs!B9</f>
        <v>43951</v>
      </c>
      <c r="B2" s="289"/>
      <c r="C2" s="289"/>
      <c r="D2" s="289"/>
      <c r="E2" s="289"/>
      <c r="F2" s="289"/>
      <c r="G2" s="289"/>
      <c r="H2" s="289"/>
      <c r="I2" s="290"/>
      <c r="K2" s="291" t="s">
        <v>401</v>
      </c>
      <c r="L2" s="292"/>
      <c r="M2" s="293"/>
    </row>
    <row r="3" spans="1:14" s="5" customFormat="1" ht="14" thickTop="1">
      <c r="A3" s="10" t="s">
        <v>53</v>
      </c>
      <c r="B3" s="11"/>
      <c r="C3" s="11"/>
      <c r="D3" s="11" t="s">
        <v>206</v>
      </c>
      <c r="E3" s="11"/>
      <c r="F3" s="11"/>
      <c r="G3" s="11" t="s">
        <v>207</v>
      </c>
      <c r="H3" s="11"/>
      <c r="I3" s="12"/>
      <c r="K3" s="107" t="s">
        <v>402</v>
      </c>
      <c r="L3" s="43"/>
      <c r="M3" s="108">
        <f>I6</f>
        <v>0.25</v>
      </c>
    </row>
    <row r="4" spans="1:14" s="3" customFormat="1" ht="13">
      <c r="A4" s="13" t="s">
        <v>208</v>
      </c>
      <c r="C4" s="213">
        <f>Inputs!B19*Inputs!B20</f>
        <v>183649.3</v>
      </c>
      <c r="D4" s="3" t="s">
        <v>209</v>
      </c>
      <c r="F4" s="46">
        <f>Inputs!B21</f>
        <v>1.1420334735825293</v>
      </c>
      <c r="G4" s="3" t="s">
        <v>210</v>
      </c>
      <c r="I4" s="211">
        <f>IF(Inputs!B28="Yes",'Operating leases'!F36+'Operating leases'!F38,Inputs!B11)</f>
        <v>15965</v>
      </c>
      <c r="K4" s="107" t="s">
        <v>421</v>
      </c>
      <c r="L4" s="35"/>
      <c r="M4" s="109">
        <f>I4/J14</f>
        <v>7.1777011211475408E-2</v>
      </c>
    </row>
    <row r="5" spans="1:14" s="3" customFormat="1" ht="14" thickBot="1">
      <c r="A5" s="13" t="s">
        <v>73</v>
      </c>
      <c r="C5" s="213">
        <f>IF(Inputs!B24="Yes",Inputs!B25,IF(Inputs!B26="Yes",Inputs!B14*(1-(1+Inputs!B17)^(0-Inputs!B27))/Inputs!B17+Inputs!B23/(1+Inputs!B17)^Inputs!B27,Inputs!B23))</f>
        <v>46431</v>
      </c>
      <c r="D5" s="3" t="s">
        <v>211</v>
      </c>
      <c r="F5" s="4" t="str">
        <f>Inputs!B16</f>
        <v>A3/A-</v>
      </c>
      <c r="G5" s="3" t="s">
        <v>212</v>
      </c>
      <c r="I5" s="211">
        <f>IF(Inputs!B28="Yes",'Operating leases'!F38,Inputs!B12)</f>
        <v>5808.964006092715</v>
      </c>
      <c r="K5" s="107" t="s">
        <v>422</v>
      </c>
      <c r="L5" s="35"/>
      <c r="M5" s="109">
        <f>(I4-I5)/J14</f>
        <v>4.5660501684862569E-2</v>
      </c>
    </row>
    <row r="6" spans="1:14" s="3" customFormat="1" ht="14" thickBot="1">
      <c r="A6" s="13" t="s">
        <v>213</v>
      </c>
      <c r="C6" s="208">
        <f>Inputs!B19</f>
        <v>1831</v>
      </c>
      <c r="D6" s="279" t="s">
        <v>229</v>
      </c>
      <c r="E6" s="280"/>
      <c r="F6" s="281"/>
      <c r="G6" s="3" t="s">
        <v>214</v>
      </c>
      <c r="I6" s="14">
        <f>Inputs!B15</f>
        <v>0.25</v>
      </c>
      <c r="K6" s="110" t="s">
        <v>403</v>
      </c>
      <c r="L6" s="111"/>
      <c r="M6" s="120">
        <f>B50</f>
        <v>0.94712546487807625</v>
      </c>
    </row>
    <row r="7" spans="1:14" s="3" customFormat="1" ht="13">
      <c r="A7" s="13" t="s">
        <v>391</v>
      </c>
      <c r="C7" s="214">
        <f>IF(Inputs!B28="Yes",'Operating leases'!C33,0)</f>
        <v>3959.6760548344341</v>
      </c>
      <c r="D7" s="3" t="s">
        <v>572</v>
      </c>
      <c r="F7" s="9">
        <f>Inputs!B37</f>
        <v>4.4999999999999998E-2</v>
      </c>
      <c r="G7" s="3" t="s">
        <v>215</v>
      </c>
      <c r="I7" s="211">
        <f>Inputs!B13</f>
        <v>4969</v>
      </c>
    </row>
    <row r="8" spans="1:14" s="3" customFormat="1" ht="13">
      <c r="A8" s="15" t="s">
        <v>392</v>
      </c>
      <c r="B8" s="16"/>
      <c r="C8" s="17">
        <f>Inputs!B38</f>
        <v>4.777539099488743E-2</v>
      </c>
      <c r="D8" s="16" t="s">
        <v>138</v>
      </c>
      <c r="E8" s="16"/>
      <c r="F8" s="17">
        <f>Inputs!B17</f>
        <v>5.7099999999999998E-2</v>
      </c>
      <c r="G8" s="16" t="s">
        <v>153</v>
      </c>
      <c r="H8" s="16"/>
      <c r="I8" s="212">
        <f>IF(Inputs!B28="Yes",'Operating leases'!F37,Inputs!B14)</f>
        <v>2199.097502731046</v>
      </c>
    </row>
    <row r="9" spans="1:14" s="3" customFormat="1" ht="15" thickTop="1" thickBot="1"/>
    <row r="10" spans="1:14" s="3" customFormat="1" ht="14" thickTop="1">
      <c r="C10" s="285" t="s">
        <v>154</v>
      </c>
      <c r="D10" s="286"/>
      <c r="E10" s="286"/>
      <c r="F10" s="286"/>
      <c r="G10" s="287"/>
    </row>
    <row r="11" spans="1:14" s="5" customFormat="1" ht="13">
      <c r="C11" s="178"/>
      <c r="D11" s="178"/>
      <c r="E11" s="179" t="s">
        <v>155</v>
      </c>
      <c r="F11" s="180" t="s">
        <v>156</v>
      </c>
      <c r="G11" s="179" t="s">
        <v>157</v>
      </c>
      <c r="L11" s="118"/>
    </row>
    <row r="12" spans="1:14" s="3" customFormat="1" ht="13">
      <c r="C12" s="181" t="s">
        <v>158</v>
      </c>
      <c r="D12" s="181"/>
      <c r="E12" s="182">
        <f>(C5+C7)/(C5+C7+C4)</f>
        <v>0.21530798671346701</v>
      </c>
      <c r="F12" s="183">
        <f ca="1">B77*B71+C77*C71+D77*D71+E77*E71+F77*F71+G77*G71+H77*H71+I77*I71+J77*J71+K77*K71</f>
        <v>0.3</v>
      </c>
      <c r="G12" s="182">
        <f ca="1">F12-E12</f>
        <v>8.4692013286532974E-2</v>
      </c>
      <c r="L12" s="115"/>
    </row>
    <row r="13" spans="1:14" s="3" customFormat="1">
      <c r="A13" s="242"/>
      <c r="C13" s="181" t="s">
        <v>559</v>
      </c>
      <c r="D13" s="181"/>
      <c r="E13" s="209">
        <f>C5+C7</f>
        <v>50390.676054834432</v>
      </c>
      <c r="F13" s="210">
        <f ca="1">HLOOKUP(F12,A47:K56,3,FALSE)</f>
        <v>66727.492816450322</v>
      </c>
      <c r="G13" s="209">
        <f ca="1">F13-E13</f>
        <v>16336.81676161589</v>
      </c>
      <c r="I13" s="100" t="s">
        <v>55</v>
      </c>
      <c r="J13" s="2"/>
    </row>
    <row r="14" spans="1:14" s="3" customFormat="1" ht="13">
      <c r="C14" s="181" t="s">
        <v>159</v>
      </c>
      <c r="D14" s="181"/>
      <c r="E14" s="184">
        <f>F4</f>
        <v>1.1420334735825293</v>
      </c>
      <c r="F14" s="185">
        <f ca="1">HLOOKUP(F12,A47:K56,4,FALSE)</f>
        <v>1.2515586500174578</v>
      </c>
      <c r="G14" s="186">
        <f ca="1">F14-E14</f>
        <v>0.10952517643492854</v>
      </c>
      <c r="I14" s="35" t="s">
        <v>418</v>
      </c>
      <c r="J14" s="205">
        <f>C4+C5+C7-Inputs!B22</f>
        <v>222424.97605483443</v>
      </c>
    </row>
    <row r="15" spans="1:14" s="3" customFormat="1" ht="13">
      <c r="C15" s="181" t="s">
        <v>160</v>
      </c>
      <c r="D15" s="181"/>
      <c r="E15" s="182">
        <f>F7+F4*C8</f>
        <v>9.9561095729654769E-2</v>
      </c>
      <c r="F15" s="183">
        <f ca="1">HLOOKUP(F12,A47:K56,5,FALSE)</f>
        <v>0.10479370385761752</v>
      </c>
      <c r="G15" s="182">
        <f ca="1">F15-E15</f>
        <v>5.2326081279627512E-3</v>
      </c>
      <c r="I15" s="35" t="s">
        <v>196</v>
      </c>
      <c r="J15" s="48">
        <f>E19</f>
        <v>8.7345361184120271E-2</v>
      </c>
      <c r="N15" s="116"/>
    </row>
    <row r="16" spans="1:14" s="3" customFormat="1" ht="13">
      <c r="C16" s="181" t="s">
        <v>389</v>
      </c>
      <c r="D16" s="181"/>
      <c r="E16" s="184" t="str">
        <f>F5</f>
        <v>A3/A-</v>
      </c>
      <c r="F16" s="187"/>
      <c r="G16" s="182"/>
      <c r="I16" s="35" t="s">
        <v>144</v>
      </c>
      <c r="J16" s="205">
        <f>(I4-I5)*(1-I6)+I5-I7</f>
        <v>8456.9910015231781</v>
      </c>
      <c r="K16" s="3" t="s">
        <v>145</v>
      </c>
    </row>
    <row r="17" spans="1:15" s="3" customFormat="1" ht="13">
      <c r="C17" s="181" t="s">
        <v>390</v>
      </c>
      <c r="D17" s="181"/>
      <c r="E17" s="182">
        <f>IF(Inputs!B44="Yes",K27*(1-I6),F8*(1-I6))</f>
        <v>4.2825000000000002E-2</v>
      </c>
      <c r="F17" s="183">
        <f ca="1">HLOOKUP(F12,B71:K78,5,FALSE)</f>
        <v>4.2825000000000002E-2</v>
      </c>
      <c r="G17" s="182">
        <f ca="1">F17-E17</f>
        <v>0</v>
      </c>
      <c r="I17" s="35" t="s">
        <v>161</v>
      </c>
      <c r="J17" s="49">
        <f>IF(J16&gt;0,(J14*J15-J16)/(J14+J16),"NA")</f>
        <v>4.7516915280255291E-2</v>
      </c>
    </row>
    <row r="18" spans="1:15" s="3" customFormat="1" ht="13">
      <c r="C18" s="181"/>
      <c r="D18" s="181"/>
      <c r="E18" s="182"/>
      <c r="F18" s="183"/>
      <c r="G18" s="182"/>
      <c r="I18" s="3" t="s">
        <v>60</v>
      </c>
    </row>
    <row r="19" spans="1:15" s="3" customFormat="1" ht="13">
      <c r="C19" s="181" t="s">
        <v>99</v>
      </c>
      <c r="D19" s="181"/>
      <c r="E19" s="182">
        <f>E15*(1-E12)+E17*E12</f>
        <v>8.7345361184120271E-2</v>
      </c>
      <c r="F19" s="183">
        <f ca="1">HLOOKUP(F12,B71:K78,6,FALSE)</f>
        <v>8.6203092700332259E-2</v>
      </c>
      <c r="G19" s="182">
        <f ca="1">F19-E19</f>
        <v>-1.1422684837880115E-3</v>
      </c>
    </row>
    <row r="20" spans="1:15" s="3" customFormat="1" ht="13">
      <c r="C20" s="181" t="s">
        <v>161</v>
      </c>
      <c r="D20" s="181"/>
      <c r="E20" s="182">
        <f>IF(J17="NA",F7,IF(J17&gt;F7,F7,J17))</f>
        <v>4.4999999999999998E-2</v>
      </c>
      <c r="F20" s="187"/>
      <c r="G20" s="182"/>
    </row>
    <row r="21" spans="1:15" s="3" customFormat="1" ht="13">
      <c r="A21" s="220" t="s">
        <v>23</v>
      </c>
      <c r="C21" s="181" t="s">
        <v>419</v>
      </c>
      <c r="D21" s="181"/>
      <c r="E21" s="209">
        <f>J14</f>
        <v>222424.97605483443</v>
      </c>
      <c r="F21" s="210">
        <f ca="1">HLOOKUP(F12,B71:K78,8,FALSE)</f>
        <v>228591.23745668039</v>
      </c>
      <c r="G21" s="209">
        <f ca="1">F21-E21</f>
        <v>6166.2614018459572</v>
      </c>
      <c r="J21" s="112"/>
      <c r="L21" s="119"/>
    </row>
    <row r="22" spans="1:15" s="3" customFormat="1" ht="13">
      <c r="C22" s="181" t="s">
        <v>54</v>
      </c>
      <c r="D22" s="181"/>
      <c r="E22" s="240">
        <f>(E21+Inputs!B22-C5-C7)/C6</f>
        <v>100.3</v>
      </c>
      <c r="F22" s="241">
        <f ca="1">(F21-E21)/C6+E22</f>
        <v>103.6677014756122</v>
      </c>
      <c r="G22" s="240">
        <f ca="1">F22-E22</f>
        <v>3.3677014756122077</v>
      </c>
      <c r="L22" s="119"/>
    </row>
    <row r="23" spans="1:15" s="3" customFormat="1" ht="13">
      <c r="L23" s="119"/>
    </row>
    <row r="24" spans="1:15" s="5" customFormat="1" ht="13">
      <c r="A24" s="5" t="s">
        <v>162</v>
      </c>
      <c r="H24" s="18" t="s">
        <v>84</v>
      </c>
      <c r="I24" s="19"/>
      <c r="J24" s="19"/>
      <c r="K24" s="20"/>
    </row>
    <row r="25" spans="1:15" s="3" customFormat="1" ht="13">
      <c r="C25" s="43" t="s">
        <v>85</v>
      </c>
      <c r="D25" s="43" t="s">
        <v>86</v>
      </c>
      <c r="E25" s="44" t="s">
        <v>87</v>
      </c>
      <c r="F25" s="43" t="s">
        <v>88</v>
      </c>
      <c r="G25" s="43" t="s">
        <v>231</v>
      </c>
      <c r="H25" s="3" t="s">
        <v>89</v>
      </c>
      <c r="K25" s="21">
        <f>IF(I8&gt;0,(F43-J42)/I8,10000000)</f>
        <v>4.6182745336641799</v>
      </c>
      <c r="O25" s="112"/>
    </row>
    <row r="26" spans="1:15" s="3" customFormat="1" ht="13">
      <c r="C26" s="35" t="s">
        <v>228</v>
      </c>
      <c r="D26" s="35">
        <f>IF(Inputs!$B$42=1,'Default Spreads and Ratios'!A29,IF(Inputs!$B$42=2,'Default Spreads and Ratios'!A48,'Default Spreads and Ratios'!A66))</f>
        <v>8.5</v>
      </c>
      <c r="E26" s="35">
        <f>IF(Inputs!$B$42=1,'Default Spreads and Ratios'!B29,IF(Inputs!$B$42=2,'Default Spreads and Ratios'!B48,'Default Spreads and Ratios'!B66))</f>
        <v>100000</v>
      </c>
      <c r="F26" s="48">
        <f>IF(Inputs!$B$42=1,'Default Spreads and Ratios'!D29,'Default Spreads and Ratios'!D48)</f>
        <v>5.8999999999999999E-3</v>
      </c>
      <c r="G26" s="49">
        <f>IF(Inputs!$B$42=1,'Default Spreads and Ratios'!E29,'Default Spreads and Ratios'!E48)</f>
        <v>0</v>
      </c>
      <c r="H26" s="3" t="s">
        <v>18</v>
      </c>
      <c r="K26" s="6" t="str">
        <f>VLOOKUP(K25,D83:G97,3)</f>
        <v>A2/A</v>
      </c>
    </row>
    <row r="27" spans="1:15" s="3" customFormat="1" ht="13">
      <c r="C27" s="35" t="s">
        <v>227</v>
      </c>
      <c r="D27" s="35">
        <f>IF(Inputs!$B$42=1,'Default Spreads and Ratios'!A28,IF(Inputs!$B$42=2,'Default Spreads and Ratios'!A47,'Default Spreads and Ratios'!A65))</f>
        <v>6.5</v>
      </c>
      <c r="E27" s="35">
        <f>IF(Inputs!$B$42=1,'Default Spreads and Ratios'!B28,IF(Inputs!$B$42=2,'Default Spreads and Ratios'!B47,'Default Spreads and Ratios'!B65))</f>
        <v>8.4999990000000007</v>
      </c>
      <c r="F27" s="48">
        <f>IF(Inputs!$B$42=1,'Default Spreads and Ratios'!D28,'Default Spreads and Ratios'!D47)</f>
        <v>7.0000000000000001E-3</v>
      </c>
      <c r="G27" s="49">
        <f>IF(Inputs!$B$42=1,'Default Spreads and Ratios'!E28,'Default Spreads and Ratios'!E47)</f>
        <v>0</v>
      </c>
      <c r="H27" s="3" t="s">
        <v>176</v>
      </c>
      <c r="K27" s="33">
        <f>VLOOKUP(K25,D83:G97,4)</f>
        <v>5.57E-2</v>
      </c>
    </row>
    <row r="28" spans="1:15" s="3" customFormat="1" ht="13">
      <c r="C28" s="35" t="s">
        <v>226</v>
      </c>
      <c r="D28" s="35">
        <f>IF(Inputs!$B$42=1,'Default Spreads and Ratios'!A27,IF(Inputs!$B$42=2,'Default Spreads and Ratios'!A46,'Default Spreads and Ratios'!A64))</f>
        <v>5.5</v>
      </c>
      <c r="E28" s="35">
        <f>IF(Inputs!$B$42=1,'Default Spreads and Ratios'!B27,IF(Inputs!$B$42=2,'Default Spreads and Ratios'!B46,'Default Spreads and Ratios'!B64))</f>
        <v>6.4999989999999999</v>
      </c>
      <c r="F28" s="48">
        <f>IF(Inputs!$B$42=1,'Default Spreads and Ratios'!D27,'Default Spreads and Ratios'!D46)</f>
        <v>9.1999999999999998E-3</v>
      </c>
      <c r="G28" s="49">
        <f>IF(Inputs!$B$42=1,'Default Spreads and Ratios'!E27,'Default Spreads and Ratios'!E46)</f>
        <v>0</v>
      </c>
      <c r="H28" s="3" t="s">
        <v>166</v>
      </c>
      <c r="K28" s="7" t="str">
        <f>F5</f>
        <v>A3/A-</v>
      </c>
    </row>
    <row r="29" spans="1:15" s="3" customFormat="1" ht="13">
      <c r="C29" s="35" t="s">
        <v>103</v>
      </c>
      <c r="D29" s="35">
        <f>IF(Inputs!$B$42=1,'Default Spreads and Ratios'!A26,IF(Inputs!$B$42=2,'Default Spreads and Ratios'!A45,'Default Spreads and Ratios'!A63))</f>
        <v>4.25</v>
      </c>
      <c r="E29" s="35">
        <f>IF(Inputs!$B$42=1,'Default Spreads and Ratios'!B26,IF(Inputs!$B$42=2,'Default Spreads and Ratios'!B45,'Default Spreads and Ratios'!B63))</f>
        <v>5.4999989999999999</v>
      </c>
      <c r="F29" s="48">
        <f>IF(Inputs!$B$42=1,'Default Spreads and Ratios'!D26,'Default Spreads and Ratios'!D45)</f>
        <v>1.0699999999999999E-2</v>
      </c>
      <c r="G29" s="49">
        <f>IF(Inputs!$B$42=1,'Default Spreads and Ratios'!E26,'Default Spreads and Ratios'!E45)</f>
        <v>0</v>
      </c>
      <c r="H29" s="22" t="s">
        <v>74</v>
      </c>
      <c r="I29" s="22"/>
      <c r="J29" s="22"/>
      <c r="K29" s="7">
        <f>F8</f>
        <v>5.7099999999999998E-2</v>
      </c>
    </row>
    <row r="30" spans="1:15" s="3" customFormat="1" ht="13">
      <c r="C30" s="35" t="s">
        <v>225</v>
      </c>
      <c r="D30" s="35">
        <f>IF(Inputs!$B$42=1,'Default Spreads and Ratios'!A25,IF(Inputs!$B$42=2,'Default Spreads and Ratios'!A44,'Default Spreads and Ratios'!A62))</f>
        <v>3</v>
      </c>
      <c r="E30" s="35">
        <f>IF(Inputs!$B$42=1,'Default Spreads and Ratios'!B25,IF(Inputs!$B$42=2,'Default Spreads and Ratios'!B44,'Default Spreads and Ratios'!B62))</f>
        <v>4.2499989999999999</v>
      </c>
      <c r="F30" s="48">
        <f>IF(Inputs!$B$42=1,'Default Spreads and Ratios'!D25,'Default Spreads and Ratios'!D44)</f>
        <v>1.21E-2</v>
      </c>
      <c r="G30" s="49">
        <f>IF(Inputs!$B$42=1,'Default Spreads and Ratios'!E25,'Default Spreads and Ratios'!E44)</f>
        <v>-0.02</v>
      </c>
      <c r="H30" s="35" t="s">
        <v>164</v>
      </c>
      <c r="I30" s="35"/>
      <c r="J30" s="35"/>
      <c r="K30" s="33">
        <f>VLOOKUP(K25,D83:H97,5)</f>
        <v>0</v>
      </c>
      <c r="O30" s="119"/>
    </row>
    <row r="31" spans="1:15" s="3" customFormat="1" ht="13">
      <c r="C31" s="35" t="s">
        <v>224</v>
      </c>
      <c r="D31" s="35">
        <f>IF(Inputs!$B$42=1,'Default Spreads and Ratios'!A24,IF(Inputs!$B$42=2,'Default Spreads and Ratios'!A43,'Default Spreads and Ratios'!A61))</f>
        <v>2.5</v>
      </c>
      <c r="E31" s="35">
        <f>IF(Inputs!$B$42=1,'Default Spreads and Ratios'!B24,IF(Inputs!$B$42=2,'Default Spreads and Ratios'!B43,'Default Spreads and Ratios'!B61))</f>
        <v>2.9999989999999999</v>
      </c>
      <c r="F31" s="48">
        <f>IF(Inputs!$B$42=1,'Default Spreads and Ratios'!D24,'Default Spreads and Ratios'!D43)</f>
        <v>1.47E-2</v>
      </c>
      <c r="G31" s="49">
        <f>IF(Inputs!$B$42=1,'Default Spreads and Ratios'!E24,'Default Spreads and Ratios'!E43)</f>
        <v>-0.1</v>
      </c>
    </row>
    <row r="32" spans="1:15" s="3" customFormat="1" ht="13">
      <c r="C32" s="35" t="s">
        <v>575</v>
      </c>
      <c r="D32" s="35">
        <f>IF(Inputs!$B$42=1,'Default Spreads and Ratios'!A23,IF(Inputs!$B$42=2,'Default Spreads and Ratios'!A42,'Default Spreads and Ratios'!A60))</f>
        <v>2.25</v>
      </c>
      <c r="E32" s="35">
        <f>IF(Inputs!$B$42=1,'Default Spreads and Ratios'!B23,IF(Inputs!$B$42=2,'Default Spreads and Ratios'!B42,'Default Spreads and Ratios'!B60))</f>
        <v>2.4999899999999999</v>
      </c>
      <c r="F32" s="48">
        <f>IF(Inputs!$B$42=1,'Default Spreads and Ratios'!D23,'Default Spreads and Ratios'!D42)</f>
        <v>1.7399999999999999E-2</v>
      </c>
      <c r="G32" s="49">
        <f>IF(Inputs!$B$42=1,'Default Spreads and Ratios'!E23,'Default Spreads and Ratios'!E42)</f>
        <v>-0.2</v>
      </c>
    </row>
    <row r="33" spans="1:13" s="3" customFormat="1" ht="13">
      <c r="C33" s="35" t="s">
        <v>223</v>
      </c>
      <c r="D33" s="35">
        <f>IF(Inputs!$B$42=1,'Default Spreads and Ratios'!A22,IF(Inputs!$B$42=2,'Default Spreads and Ratios'!A41,'Default Spreads and Ratios'!A59))</f>
        <v>2</v>
      </c>
      <c r="E33" s="35">
        <f>IF(Inputs!$B$42=1,'Default Spreads and Ratios'!B22,IF(Inputs!$B$42=2,'Default Spreads and Ratios'!B41,'Default Spreads and Ratios'!B59))</f>
        <v>2.2499999000000002</v>
      </c>
      <c r="F33" s="48">
        <f>IF(Inputs!$B$42=1,'Default Spreads and Ratios'!D22,'Default Spreads and Ratios'!D41)</f>
        <v>2.2100000000000002E-2</v>
      </c>
      <c r="G33" s="49">
        <f>IF(Inputs!$B$42=1,'Default Spreads and Ratios'!E22,'Default Spreads and Ratios'!E41)</f>
        <v>-0.2</v>
      </c>
    </row>
    <row r="34" spans="1:13" s="3" customFormat="1" ht="13">
      <c r="C34" s="35" t="s">
        <v>222</v>
      </c>
      <c r="D34" s="35">
        <f>IF(Inputs!$B$42=1,'Default Spreads and Ratios'!A21,IF(Inputs!$B$42=2,'Default Spreads and Ratios'!A40,'Default Spreads and Ratios'!A58))</f>
        <v>1.75</v>
      </c>
      <c r="E34" s="35">
        <f>IF(Inputs!$B$42=1,'Default Spreads and Ratios'!B21,IF(Inputs!$B$42=2,'Default Spreads and Ratios'!B40,'Default Spreads and Ratios'!B58))</f>
        <v>1.9999990000000001</v>
      </c>
      <c r="F34" s="48">
        <f>IF(Inputs!$B$42=1,'Default Spreads and Ratios'!D21,'Default Spreads and Ratios'!D40)</f>
        <v>3.1399999999999997E-2</v>
      </c>
      <c r="G34" s="49">
        <f>IF(Inputs!$B$42=1,'Default Spreads and Ratios'!E21,'Default Spreads and Ratios'!E40)</f>
        <v>-0.2</v>
      </c>
    </row>
    <row r="35" spans="1:13" s="3" customFormat="1" ht="13">
      <c r="C35" s="35" t="s">
        <v>221</v>
      </c>
      <c r="D35" s="35">
        <f>IF(Inputs!$B$42=1,'Default Spreads and Ratios'!A20,IF(Inputs!$B$42=2,'Default Spreads and Ratios'!A39,'Default Spreads and Ratios'!A57))</f>
        <v>1.5</v>
      </c>
      <c r="E35" s="35">
        <f>IF(Inputs!$B$42=1,'Default Spreads and Ratios'!B20,IF(Inputs!$B$42=2,'Default Spreads and Ratios'!B39,'Default Spreads and Ratios'!B57))</f>
        <v>1.7499990000000001</v>
      </c>
      <c r="F35" s="48">
        <f>IF(Inputs!$B$42=1,'Default Spreads and Ratios'!D20,'Default Spreads and Ratios'!D39)</f>
        <v>3.61E-2</v>
      </c>
      <c r="G35" s="49">
        <f>IF(Inputs!$B$42=1,'Default Spreads and Ratios'!E20,'Default Spreads and Ratios'!E39)</f>
        <v>-0.2</v>
      </c>
    </row>
    <row r="36" spans="1:13" s="3" customFormat="1" ht="13">
      <c r="C36" s="35" t="s">
        <v>220</v>
      </c>
      <c r="D36" s="35">
        <f>IF(Inputs!$B$42=1,'Default Spreads and Ratios'!A19,IF(Inputs!$B$42=2,'Default Spreads and Ratios'!A38,'Default Spreads and Ratios'!A56))</f>
        <v>1.25</v>
      </c>
      <c r="E36" s="35">
        <f>IF(Inputs!$B$42=1,'Default Spreads and Ratios'!B19,IF(Inputs!$B$42=2,'Default Spreads and Ratios'!B38,'Default Spreads and Ratios'!B56))</f>
        <v>1.4999990000000001</v>
      </c>
      <c r="F36" s="48">
        <f>IF(Inputs!$B$42=1,'Default Spreads and Ratios'!D19,'Default Spreads and Ratios'!D38)</f>
        <v>5.2400000000000002E-2</v>
      </c>
      <c r="G36" s="49">
        <f>IF(Inputs!$B$42=1,'Default Spreads and Ratios'!E19,'Default Spreads and Ratios'!E38)</f>
        <v>-0.25</v>
      </c>
      <c r="M36" s="119"/>
    </row>
    <row r="37" spans="1:13" s="3" customFormat="1" ht="13">
      <c r="C37" s="35" t="s">
        <v>219</v>
      </c>
      <c r="D37" s="35">
        <f>IF(Inputs!$B$42=1,'Default Spreads and Ratios'!A18,IF(Inputs!$B$42=2,'Default Spreads and Ratios'!A37,'Default Spreads and Ratios'!A55))</f>
        <v>0.8</v>
      </c>
      <c r="E37" s="35">
        <f>IF(Inputs!$B$42=1,'Default Spreads and Ratios'!B18,IF(Inputs!$B$42=2,'Default Spreads and Ratios'!B37,'Default Spreads and Ratios'!B55))</f>
        <v>1.2499990000000001</v>
      </c>
      <c r="F37" s="48">
        <f>IF(Inputs!$B$42=1,'Default Spreads and Ratios'!D18,'Default Spreads and Ratios'!D37)</f>
        <v>8.5099999999999995E-2</v>
      </c>
      <c r="G37" s="49">
        <f>IF(Inputs!$B$42=1,'Default Spreads and Ratios'!E18,'Default Spreads and Ratios'!E37)</f>
        <v>-0.4</v>
      </c>
      <c r="M37" s="119"/>
    </row>
    <row r="38" spans="1:13" s="3" customFormat="1" ht="13">
      <c r="C38" s="35" t="s">
        <v>218</v>
      </c>
      <c r="D38" s="35">
        <f>IF(Inputs!$B$42=1,'Default Spreads and Ratios'!A17,IF(Inputs!$B$42=2,'Default Spreads and Ratios'!A36,'Default Spreads and Ratios'!A54))</f>
        <v>0.65</v>
      </c>
      <c r="E38" s="35">
        <f>IF(Inputs!$B$42=1,'Default Spreads and Ratios'!B17,IF(Inputs!$B$42=2,'Default Spreads and Ratios'!B36,'Default Spreads and Ratios'!B54))</f>
        <v>0.79999900000000002</v>
      </c>
      <c r="F38" s="48">
        <f>IF(Inputs!$B$42=1,'Default Spreads and Ratios'!D17,'Default Spreads and Ratios'!D36)</f>
        <v>0.1178</v>
      </c>
      <c r="G38" s="49">
        <f>IF(Inputs!$B$42=1,'Default Spreads and Ratios'!E17,'Default Spreads and Ratios'!E36)</f>
        <v>-0.4</v>
      </c>
    </row>
    <row r="39" spans="1:13" s="3" customFormat="1" ht="13">
      <c r="C39" s="35" t="s">
        <v>217</v>
      </c>
      <c r="D39" s="35">
        <f>IF(Inputs!$B$42=1,'Default Spreads and Ratios'!A16,IF(Inputs!$B$42=2,'Default Spreads and Ratios'!A35,'Default Spreads and Ratios'!A53))</f>
        <v>0.2</v>
      </c>
      <c r="E39" s="35">
        <f>IF(Inputs!$B$42=1,'Default Spreads and Ratios'!B16,IF(Inputs!$B$42=2,'Default Spreads and Ratios'!B35,'Default Spreads and Ratios'!B53))</f>
        <v>0.64999899999999999</v>
      </c>
      <c r="F39" s="48">
        <f>IF(Inputs!$B$42=1,'Default Spreads and Ratios'!D16,'Default Spreads and Ratios'!D35)</f>
        <v>0.17</v>
      </c>
      <c r="G39" s="49">
        <f>IF(Inputs!$B$42=1,'Default Spreads and Ratios'!E16,'Default Spreads and Ratios'!E35)</f>
        <v>-0.4</v>
      </c>
    </row>
    <row r="40" spans="1:13" s="3" customFormat="1" ht="13">
      <c r="C40" s="35" t="s">
        <v>216</v>
      </c>
      <c r="D40" s="35">
        <f>D83</f>
        <v>-100000</v>
      </c>
      <c r="E40" s="35">
        <f>IF(Inputs!$B$42=1,'Default Spreads and Ratios'!B15,IF(Inputs!$B$42=2,'Default Spreads and Ratios'!B34,'Default Spreads and Ratios'!B52))</f>
        <v>0.19999900000000001</v>
      </c>
      <c r="F40" s="48">
        <f>IF(Inputs!$B$42=1,'Default Spreads and Ratios'!D15,'Default Spreads and Ratios'!D34)</f>
        <v>0.2</v>
      </c>
      <c r="G40" s="49">
        <f>IF(Inputs!$B$42=1,'Default Spreads and Ratios'!E15,'Default Spreads and Ratios'!E34)</f>
        <v>-0.5</v>
      </c>
    </row>
    <row r="41" spans="1:13" s="3" customFormat="1" ht="13">
      <c r="D41" s="35"/>
      <c r="E41" s="35"/>
      <c r="F41" s="48"/>
      <c r="G41" s="161"/>
    </row>
    <row r="42" spans="1:13" s="3" customFormat="1" ht="13">
      <c r="A42" s="35" t="s">
        <v>177</v>
      </c>
      <c r="B42" s="130">
        <f>F4</f>
        <v>1.1420334735825293</v>
      </c>
      <c r="C42" s="9"/>
      <c r="D42" s="102" t="s">
        <v>178</v>
      </c>
      <c r="E42" s="7"/>
      <c r="F42" s="132">
        <f>C4</f>
        <v>183649.3</v>
      </c>
      <c r="G42" s="23"/>
      <c r="H42" s="102" t="s">
        <v>179</v>
      </c>
      <c r="I42" s="7"/>
      <c r="J42" s="132">
        <f>I5</f>
        <v>5808.964006092715</v>
      </c>
      <c r="K42" s="9"/>
    </row>
    <row r="43" spans="1:13" s="3" customFormat="1" ht="13">
      <c r="A43" s="35" t="s">
        <v>180</v>
      </c>
      <c r="B43" s="132">
        <f>C5+C7</f>
        <v>50390.676054834432</v>
      </c>
      <c r="C43" s="9"/>
      <c r="D43" s="102" t="s">
        <v>181</v>
      </c>
      <c r="E43" s="7"/>
      <c r="F43" s="132">
        <f>I4</f>
        <v>15965</v>
      </c>
      <c r="G43" s="23"/>
      <c r="H43" s="102" t="s">
        <v>104</v>
      </c>
      <c r="I43" s="7"/>
      <c r="J43" s="131">
        <f>IF(Inputs!B44="Yes",K27,F8)</f>
        <v>5.7099999999999998E-2</v>
      </c>
      <c r="K43" s="9"/>
    </row>
    <row r="44" spans="1:13" s="3" customFormat="1" ht="13">
      <c r="A44" s="35" t="s">
        <v>105</v>
      </c>
      <c r="B44" s="131">
        <f>I6</f>
        <v>0.25</v>
      </c>
      <c r="C44" s="9"/>
      <c r="D44" s="102" t="s">
        <v>106</v>
      </c>
      <c r="E44" s="7"/>
      <c r="F44" s="131" t="str">
        <f>F5</f>
        <v>A3/A-</v>
      </c>
      <c r="G44" s="23"/>
      <c r="H44" s="102" t="s">
        <v>107</v>
      </c>
      <c r="I44" s="7"/>
      <c r="J44" s="131">
        <f>F7</f>
        <v>4.4999999999999998E-2</v>
      </c>
      <c r="K44" s="9"/>
    </row>
    <row r="45" spans="1:13" s="3" customFormat="1" ht="15" thickBot="1">
      <c r="A45" s="3" t="s">
        <v>418</v>
      </c>
      <c r="B45" s="215">
        <f>C4+C5+C7-Inputs!B22</f>
        <v>222424.97605483443</v>
      </c>
      <c r="C45" s="9"/>
      <c r="D45" s="102" t="s">
        <v>165</v>
      </c>
      <c r="E45" s="7"/>
      <c r="F45" s="132">
        <f>IF(B43=0,F43,F43/(1+K30))</f>
        <v>15965</v>
      </c>
      <c r="G45"/>
      <c r="H45"/>
      <c r="I45"/>
      <c r="J45"/>
      <c r="K45" s="9"/>
    </row>
    <row r="46" spans="1:13" s="3" customFormat="1" ht="13">
      <c r="A46" s="25"/>
      <c r="B46" s="26"/>
      <c r="C46" s="26"/>
      <c r="D46" s="9"/>
      <c r="E46" s="9"/>
      <c r="F46" s="101" t="s">
        <v>108</v>
      </c>
      <c r="G46" s="26"/>
      <c r="H46" s="26"/>
      <c r="I46" s="26"/>
      <c r="J46" s="26"/>
      <c r="K46" s="27"/>
    </row>
    <row r="47" spans="1:13" s="3" customFormat="1" ht="13">
      <c r="A47" s="92" t="s">
        <v>109</v>
      </c>
      <c r="B47" s="7">
        <v>0</v>
      </c>
      <c r="C47" s="7">
        <v>0.1</v>
      </c>
      <c r="D47" s="7">
        <v>0.2</v>
      </c>
      <c r="E47" s="7">
        <v>0.3</v>
      </c>
      <c r="F47" s="7">
        <v>0.4</v>
      </c>
      <c r="G47" s="7">
        <v>0.5</v>
      </c>
      <c r="H47" s="7">
        <v>0.6</v>
      </c>
      <c r="I47" s="7">
        <v>0.7</v>
      </c>
      <c r="J47" s="7">
        <v>0.8</v>
      </c>
      <c r="K47" s="7">
        <v>0.9</v>
      </c>
    </row>
    <row r="48" spans="1:13" s="3" customFormat="1" ht="13">
      <c r="A48" s="92" t="s">
        <v>110</v>
      </c>
      <c r="B48" s="7">
        <f t="shared" ref="B48:K48" si="0">B47/(1-B47)</f>
        <v>0</v>
      </c>
      <c r="C48" s="7">
        <f t="shared" si="0"/>
        <v>0.11111111111111112</v>
      </c>
      <c r="D48" s="7">
        <f t="shared" si="0"/>
        <v>0.25</v>
      </c>
      <c r="E48" s="7">
        <f t="shared" si="0"/>
        <v>0.4285714285714286</v>
      </c>
      <c r="F48" s="7">
        <f t="shared" si="0"/>
        <v>0.66666666666666674</v>
      </c>
      <c r="G48" s="7">
        <f t="shared" si="0"/>
        <v>1</v>
      </c>
      <c r="H48" s="7">
        <f t="shared" si="0"/>
        <v>1.4999999999999998</v>
      </c>
      <c r="I48" s="7">
        <f t="shared" si="0"/>
        <v>2.333333333333333</v>
      </c>
      <c r="J48" s="7">
        <f t="shared" si="0"/>
        <v>4.0000000000000009</v>
      </c>
      <c r="K48" s="7">
        <f t="shared" si="0"/>
        <v>9.0000000000000018</v>
      </c>
    </row>
    <row r="49" spans="1:11" s="3" customFormat="1" ht="13">
      <c r="A49" s="92" t="s">
        <v>111</v>
      </c>
      <c r="B49" s="216">
        <v>0</v>
      </c>
      <c r="C49" s="216">
        <f>C47*$B$45</f>
        <v>22242.497605483444</v>
      </c>
      <c r="D49" s="216">
        <f t="shared" ref="D49:K49" si="1">D47*$B$45</f>
        <v>44484.995210966888</v>
      </c>
      <c r="E49" s="216">
        <f t="shared" si="1"/>
        <v>66727.492816450322</v>
      </c>
      <c r="F49" s="216">
        <f t="shared" si="1"/>
        <v>88969.990421933777</v>
      </c>
      <c r="G49" s="216">
        <f t="shared" si="1"/>
        <v>111212.48802741722</v>
      </c>
      <c r="H49" s="216">
        <f t="shared" si="1"/>
        <v>133454.98563290064</v>
      </c>
      <c r="I49" s="216">
        <f t="shared" si="1"/>
        <v>155697.4832383841</v>
      </c>
      <c r="J49" s="216">
        <f t="shared" si="1"/>
        <v>177939.98084386755</v>
      </c>
      <c r="K49" s="216">
        <f t="shared" si="1"/>
        <v>200182.47844935101</v>
      </c>
    </row>
    <row r="50" spans="1:11" s="3" customFormat="1" ht="13">
      <c r="A50" s="92" t="s">
        <v>133</v>
      </c>
      <c r="B50" s="113">
        <f>B42/(1+(1-B44)*B43/F42)*(1+(1-B44)*B48)</f>
        <v>0.94712546487807625</v>
      </c>
      <c r="C50" s="21">
        <f>$B50*(1+(1-C69)*C48)</f>
        <v>1.0260525869512491</v>
      </c>
      <c r="D50" s="21">
        <f t="shared" ref="D50:K50" si="2">$B50*(1+(1-D69)*D48)</f>
        <v>1.1247114895427155</v>
      </c>
      <c r="E50" s="21">
        <f t="shared" ca="1" si="2"/>
        <v>1.2515586500174578</v>
      </c>
      <c r="F50" s="21">
        <f t="shared" ca="1" si="2"/>
        <v>1.4206881973171144</v>
      </c>
      <c r="G50" s="21">
        <f t="shared" ca="1" si="2"/>
        <v>1.7430178585934755</v>
      </c>
      <c r="H50" s="21">
        <f t="shared" ca="1" si="2"/>
        <v>2.1934137805655771</v>
      </c>
      <c r="I50" s="21">
        <f t="shared" ca="1" si="2"/>
        <v>2.9367415846498752</v>
      </c>
      <c r="J50" s="21">
        <f t="shared" ca="1" si="2"/>
        <v>4.4176155120895597</v>
      </c>
      <c r="K50" s="21">
        <f t="shared" ca="1" si="2"/>
        <v>8.8534097246149326</v>
      </c>
    </row>
    <row r="51" spans="1:11" s="3" customFormat="1" ht="13">
      <c r="A51" s="92" t="s">
        <v>134</v>
      </c>
      <c r="B51" s="33">
        <f>$F$7+B50*$C$8</f>
        <v>9.0249289405764613E-2</v>
      </c>
      <c r="C51" s="33">
        <f t="shared" ref="C51:K51" si="3">$F$7+C50*$C$8</f>
        <v>9.4020063522911659E-2</v>
      </c>
      <c r="D51" s="33">
        <f t="shared" si="3"/>
        <v>9.8733531169345468E-2</v>
      </c>
      <c r="E51" s="33">
        <f t="shared" ca="1" si="3"/>
        <v>0.10479370385761752</v>
      </c>
      <c r="F51" s="33">
        <f t="shared" ca="1" si="3"/>
        <v>0.11287393410864692</v>
      </c>
      <c r="G51" s="33">
        <f t="shared" ca="1" si="3"/>
        <v>0.12827335970537468</v>
      </c>
      <c r="H51" s="33">
        <f t="shared" ca="1" si="3"/>
        <v>0.14979120098009469</v>
      </c>
      <c r="I51" s="33">
        <f t="shared" ca="1" si="3"/>
        <v>0.18530397745759308</v>
      </c>
      <c r="J51" s="33">
        <f t="shared" ca="1" si="3"/>
        <v>0.25605330835515855</v>
      </c>
      <c r="K51" s="33">
        <f t="shared" ca="1" si="3"/>
        <v>0.46797511123141705</v>
      </c>
    </row>
    <row r="52" spans="1:11" s="3" customFormat="1" ht="13">
      <c r="A52" s="92" t="s">
        <v>233</v>
      </c>
      <c r="B52" s="33">
        <v>0</v>
      </c>
      <c r="C52" s="33">
        <f t="shared" ref="C52:K52" si="4">VLOOKUP(C63,$D$83:$H$97,5)</f>
        <v>0</v>
      </c>
      <c r="D52" s="33">
        <f t="shared" si="4"/>
        <v>0</v>
      </c>
      <c r="E52" s="33">
        <f t="shared" ca="1" si="4"/>
        <v>-0.02</v>
      </c>
      <c r="F52" s="33">
        <f t="shared" ca="1" si="4"/>
        <v>-0.2</v>
      </c>
      <c r="G52" s="33">
        <f t="shared" ca="1" si="4"/>
        <v>-0.4</v>
      </c>
      <c r="H52" s="33">
        <f t="shared" ca="1" si="4"/>
        <v>-0.4</v>
      </c>
      <c r="I52" s="33">
        <f t="shared" ca="1" si="4"/>
        <v>-0.4</v>
      </c>
      <c r="J52" s="33">
        <f t="shared" ca="1" si="4"/>
        <v>-0.4</v>
      </c>
      <c r="K52" s="33">
        <f t="shared" ca="1" si="4"/>
        <v>-0.4</v>
      </c>
    </row>
    <row r="53" spans="1:11" s="3" customFormat="1" ht="13">
      <c r="A53" s="92" t="s">
        <v>112</v>
      </c>
      <c r="B53" s="216">
        <f>IF(Inputs!B34="No",$F$45,$F$45*(1+B52))</f>
        <v>15965</v>
      </c>
      <c r="C53" s="216">
        <f>IF(Inputs!$B$34="No",$F$45,$F$45*(1+C52))</f>
        <v>15965</v>
      </c>
      <c r="D53" s="216">
        <f>IF(Inputs!$B$34="No",$F$45,$F$45*(1+D52))</f>
        <v>15965</v>
      </c>
      <c r="E53" s="216">
        <f>IF(Inputs!$B$34="No",$F$45,$F$45*(1+E52))</f>
        <v>15965</v>
      </c>
      <c r="F53" s="216">
        <f>IF(Inputs!$B$34="No",$F$45,$F$45*(1+F52))</f>
        <v>15965</v>
      </c>
      <c r="G53" s="216">
        <f>IF(Inputs!$B$34="No",$F$45,$F$45*(1+G52))</f>
        <v>15965</v>
      </c>
      <c r="H53" s="216">
        <f>IF(Inputs!$B$34="No",$F$45,$F$45*(1+H52))</f>
        <v>15965</v>
      </c>
      <c r="I53" s="216">
        <f>IF(Inputs!$B$34="No",$F$45,$F$45*(1+I52))</f>
        <v>15965</v>
      </c>
      <c r="J53" s="216">
        <f>IF(Inputs!$B$34="No",$F$45,$F$45*(1+J52))</f>
        <v>15965</v>
      </c>
      <c r="K53" s="243">
        <f>IF(Inputs!$B$34="No",$F$45,$F$45*(1+K52))</f>
        <v>15965</v>
      </c>
    </row>
    <row r="54" spans="1:11" s="3" customFormat="1" ht="13">
      <c r="A54" s="92" t="s">
        <v>113</v>
      </c>
      <c r="B54" s="216">
        <f>J42</f>
        <v>5808.964006092715</v>
      </c>
      <c r="C54" s="216">
        <f t="shared" ref="C54:K54" si="5">B54</f>
        <v>5808.964006092715</v>
      </c>
      <c r="D54" s="216">
        <f t="shared" si="5"/>
        <v>5808.964006092715</v>
      </c>
      <c r="E54" s="216">
        <f t="shared" si="5"/>
        <v>5808.964006092715</v>
      </c>
      <c r="F54" s="216">
        <f t="shared" si="5"/>
        <v>5808.964006092715</v>
      </c>
      <c r="G54" s="216">
        <f t="shared" si="5"/>
        <v>5808.964006092715</v>
      </c>
      <c r="H54" s="216">
        <f t="shared" si="5"/>
        <v>5808.964006092715</v>
      </c>
      <c r="I54" s="216">
        <f t="shared" si="5"/>
        <v>5808.964006092715</v>
      </c>
      <c r="J54" s="216">
        <f t="shared" si="5"/>
        <v>5808.964006092715</v>
      </c>
      <c r="K54" s="244">
        <f t="shared" si="5"/>
        <v>5808.964006092715</v>
      </c>
    </row>
    <row r="55" spans="1:11" s="3" customFormat="1" ht="13">
      <c r="A55" s="92" t="s">
        <v>114</v>
      </c>
      <c r="B55" s="216">
        <f>B53-B54</f>
        <v>10156.035993907284</v>
      </c>
      <c r="C55" s="216">
        <f t="shared" ref="C55:K55" si="6">C53-C54</f>
        <v>10156.035993907284</v>
      </c>
      <c r="D55" s="216">
        <f t="shared" si="6"/>
        <v>10156.035993907284</v>
      </c>
      <c r="E55" s="216">
        <f t="shared" si="6"/>
        <v>10156.035993907284</v>
      </c>
      <c r="F55" s="216">
        <f t="shared" si="6"/>
        <v>10156.035993907284</v>
      </c>
      <c r="G55" s="216">
        <f t="shared" si="6"/>
        <v>10156.035993907284</v>
      </c>
      <c r="H55" s="216">
        <f t="shared" si="6"/>
        <v>10156.035993907284</v>
      </c>
      <c r="I55" s="216">
        <f t="shared" si="6"/>
        <v>10156.035993907284</v>
      </c>
      <c r="J55" s="216">
        <f t="shared" si="6"/>
        <v>10156.035993907284</v>
      </c>
      <c r="K55" s="244">
        <f t="shared" si="6"/>
        <v>10156.035993907284</v>
      </c>
    </row>
    <row r="56" spans="1:11" s="3" customFormat="1" ht="13">
      <c r="A56" s="92" t="s">
        <v>115</v>
      </c>
      <c r="B56" s="216">
        <f>IF(Inputs!$B$43="Yes",B66*B49,(IF(B47&lt;$E$12,(Inputs!$B$14/Inputs!$B$23)*B49,Inputs!$B$14+B66*(B49-$C$5))))</f>
        <v>0</v>
      </c>
      <c r="C56" s="216">
        <f>IF(Inputs!$B$43="Yes",C66*C49,(IF(C47&lt;$E$12,(Inputs!$B$14/Inputs!$B$23)*C49,Inputs!$B$14+C66*(C49-$C$5))))</f>
        <v>945.15405172446935</v>
      </c>
      <c r="D56" s="216">
        <f>IF(Inputs!$B$43="Yes",D66*D49,(IF(D47&lt;$E$12,(Inputs!$B$14/Inputs!$B$23)*D49,Inputs!$B$14+D66*(D49-$C$5))))</f>
        <v>1890.3081034489387</v>
      </c>
      <c r="E56" s="216">
        <f ca="1">IF(Inputs!$B$43="Yes",E66*E49,(IF(E47&lt;$E$12,(Inputs!$B$14/Inputs!$B$23)*E49,Inputs!$B$14+E66*(E49-$C$5))))</f>
        <v>3131.929739819313</v>
      </c>
      <c r="F56" s="216">
        <f ca="1">IF(Inputs!$B$43="Yes",F66*F49,(IF(F47&lt;$E$12,(Inputs!$B$14/Inputs!$B$23)*F49,Inputs!$B$14+F66*(F49-$C$5))))</f>
        <v>5222.9788682357403</v>
      </c>
      <c r="G56" s="216">
        <f ca="1">IF(Inputs!$B$43="Yes",G66*G49,(IF(G47&lt;$E$12,(Inputs!$B$14/Inputs!$B$23)*G49,Inputs!$B$14+G66*(G49-$C$5))))</f>
        <v>15901.019925894703</v>
      </c>
      <c r="H56" s="216">
        <f ca="1">IF(Inputs!$B$43="Yes",H66*H49,(IF(H47&lt;$E$12,(Inputs!$B$14/Inputs!$B$23)*H49,Inputs!$B$14+H66*(H49-$C$5))))</f>
        <v>20683.156911073642</v>
      </c>
      <c r="I56" s="216">
        <f ca="1">IF(Inputs!$B$43="Yes",I66*I49,(IF(I47&lt;$E$12,(Inputs!$B$14/Inputs!$B$23)*I49,Inputs!$B$14+I66*(I49-$C$5))))</f>
        <v>25465.293896252584</v>
      </c>
      <c r="J56" s="216">
        <f ca="1">IF(Inputs!$B$43="Yes",J66*J49,(IF(J47&lt;$E$12,(Inputs!$B$14/Inputs!$B$23)*J49,Inputs!$B$14+J66*(J49-$C$5))))</f>
        <v>30247.430881431526</v>
      </c>
      <c r="K56" s="244">
        <f ca="1">IF(Inputs!$B$43="Yes",K66*K49,(IF(K47&lt;$E$12,(Inputs!$B$14/Inputs!$B$23)*K49,Inputs!$B$14+K66*(K49-$C$5))))</f>
        <v>35029.567866610472</v>
      </c>
    </row>
    <row r="57" spans="1:11" s="3" customFormat="1" ht="13">
      <c r="A57" s="92" t="s">
        <v>116</v>
      </c>
      <c r="B57" s="216">
        <f>B55-B56</f>
        <v>10156.035993907284</v>
      </c>
      <c r="C57" s="216">
        <f t="shared" ref="C57:K57" si="7">C55-C56</f>
        <v>9210.8819421828157</v>
      </c>
      <c r="D57" s="216">
        <f t="shared" si="7"/>
        <v>8265.7278904583454</v>
      </c>
      <c r="E57" s="216">
        <f t="shared" ca="1" si="7"/>
        <v>7024.1062540879711</v>
      </c>
      <c r="F57" s="216">
        <f t="shared" ca="1" si="7"/>
        <v>4933.0571256715439</v>
      </c>
      <c r="G57" s="216">
        <f t="shared" ca="1" si="7"/>
        <v>-5744.9839319874191</v>
      </c>
      <c r="H57" s="216">
        <f t="shared" ca="1" si="7"/>
        <v>-10527.120917166358</v>
      </c>
      <c r="I57" s="216">
        <f t="shared" ca="1" si="7"/>
        <v>-15309.2579023453</v>
      </c>
      <c r="J57" s="216">
        <f t="shared" ca="1" si="7"/>
        <v>-20091.394887524242</v>
      </c>
      <c r="K57" s="244">
        <f t="shared" ca="1" si="7"/>
        <v>-24873.531872703188</v>
      </c>
    </row>
    <row r="58" spans="1:11" s="3" customFormat="1" ht="13">
      <c r="A58" s="92" t="s">
        <v>117</v>
      </c>
      <c r="B58" s="216">
        <f>IF(Inputs!$B$30="No",$B$44*B57,IF(Inputs!$B$31="EBITDA",IF('Optimal CS Worksheet'!B56&lt;Inputs!$B$32*'Optimal CS Worksheet'!B53,$B$44*B57,('Optimal CS Worksheet'!B55-Inputs!$B$32*'Optimal CS Worksheet'!B53)*$B$44), IF('Optimal CS Worksheet'!B56&lt;Inputs!$B$32*'Optimal CS Worksheet'!B55,$B$44*B57,('Optimal CS Worksheet'!B55-Inputs!$B$32*'Optimal CS Worksheet'!B55)*'Optimal CS Worksheet'!$B$44)))</f>
        <v>2539.008998476821</v>
      </c>
      <c r="C58" s="216">
        <f>IF(Inputs!$B$30="No",$B$44*C57,IF(Inputs!$B$31="EBITDA",IF('Optimal CS Worksheet'!C56&lt;Inputs!$B$32*'Optimal CS Worksheet'!C53,$B$44*C57,('Optimal CS Worksheet'!C55-Inputs!$B$32*'Optimal CS Worksheet'!C53)*$B$44), IF('Optimal CS Worksheet'!C56&lt;Inputs!$B$32*'Optimal CS Worksheet'!C55,$B$44*C57,('Optimal CS Worksheet'!C55-Inputs!$B$32*'Optimal CS Worksheet'!C55)*'Optimal CS Worksheet'!$B$44)))</f>
        <v>2302.7204855457039</v>
      </c>
      <c r="D58" s="216">
        <f>IF(Inputs!$B$30="No",$B$44*D57,IF(Inputs!$B$31="EBITDA",IF('Optimal CS Worksheet'!D56&lt;Inputs!$B$32*'Optimal CS Worksheet'!D53,$B$44*D57,('Optimal CS Worksheet'!D55-Inputs!$B$32*'Optimal CS Worksheet'!D53)*$B$44), IF('Optimal CS Worksheet'!D56&lt;Inputs!$B$32*'Optimal CS Worksheet'!D55,$B$44*D57,('Optimal CS Worksheet'!D55-Inputs!$B$32*'Optimal CS Worksheet'!D55)*'Optimal CS Worksheet'!$B$44)))</f>
        <v>2066.4319726145864</v>
      </c>
      <c r="E58" s="216">
        <f ca="1">IF(Inputs!$B$30="No",$B$44*E57,IF(Inputs!$B$31="EBITDA",IF('Optimal CS Worksheet'!E56&lt;Inputs!$B$32*'Optimal CS Worksheet'!E53,$B$44*E57,('Optimal CS Worksheet'!E55-Inputs!$B$32*'Optimal CS Worksheet'!E53)*$B$44), IF('Optimal CS Worksheet'!E56&lt;Inputs!$B$32*'Optimal CS Worksheet'!E55,$B$44*E57,('Optimal CS Worksheet'!E55-Inputs!$B$32*'Optimal CS Worksheet'!E55)*'Optimal CS Worksheet'!$B$44)))</f>
        <v>1756.0265635219928</v>
      </c>
      <c r="F58" s="216">
        <f ca="1">IF(Inputs!$B$30="No",$B$44*F57,IF(Inputs!$B$31="EBITDA",IF('Optimal CS Worksheet'!F56&lt;Inputs!$B$32*'Optimal CS Worksheet'!F53,$B$44*F57,('Optimal CS Worksheet'!F55-Inputs!$B$32*'Optimal CS Worksheet'!F53)*$B$44), IF('Optimal CS Worksheet'!F56&lt;Inputs!$B$32*'Optimal CS Worksheet'!F55,$B$44*F57,('Optimal CS Worksheet'!F55-Inputs!$B$32*'Optimal CS Worksheet'!F55)*'Optimal CS Worksheet'!$B$44)))</f>
        <v>1233.264281417886</v>
      </c>
      <c r="G58" s="216">
        <f ca="1">IF(Inputs!$B$30="No",$B$44*G57,IF(Inputs!$B$31="EBITDA",IF('Optimal CS Worksheet'!G56&lt;Inputs!$B$32*'Optimal CS Worksheet'!G53,$B$44*G57,('Optimal CS Worksheet'!G55-Inputs!$B$32*'Optimal CS Worksheet'!G53)*$B$44), IF('Optimal CS Worksheet'!G56&lt;Inputs!$B$32*'Optimal CS Worksheet'!G55,$B$44*G57,('Optimal CS Worksheet'!G55-Inputs!$B$32*'Optimal CS Worksheet'!G55)*'Optimal CS Worksheet'!$B$44)))</f>
        <v>-1436.2459829968548</v>
      </c>
      <c r="H58" s="216">
        <f ca="1">IF(Inputs!$B$30="No",$B$44*H57,IF(Inputs!$B$31="EBITDA",IF('Optimal CS Worksheet'!H56&lt;Inputs!$B$32*'Optimal CS Worksheet'!H53,$B$44*H57,('Optimal CS Worksheet'!H55-Inputs!$B$32*'Optimal CS Worksheet'!H53)*$B$44), IF('Optimal CS Worksheet'!H56&lt;Inputs!$B$32*'Optimal CS Worksheet'!H55,$B$44*H57,('Optimal CS Worksheet'!H55-Inputs!$B$32*'Optimal CS Worksheet'!H55)*'Optimal CS Worksheet'!$B$44)))</f>
        <v>-2631.7802292915894</v>
      </c>
      <c r="I58" s="216">
        <f ca="1">IF(Inputs!$B$30="No",$B$44*I57,IF(Inputs!$B$31="EBITDA",IF('Optimal CS Worksheet'!I56&lt;Inputs!$B$32*'Optimal CS Worksheet'!I53,$B$44*I57,('Optimal CS Worksheet'!I55-Inputs!$B$32*'Optimal CS Worksheet'!I53)*$B$44), IF('Optimal CS Worksheet'!I56&lt;Inputs!$B$32*'Optimal CS Worksheet'!I55,$B$44*I57,('Optimal CS Worksheet'!I55-Inputs!$B$32*'Optimal CS Worksheet'!I55)*'Optimal CS Worksheet'!$B$44)))</f>
        <v>-3827.314475586325</v>
      </c>
      <c r="J58" s="216">
        <f ca="1">IF(Inputs!$B$30="No",$B$44*J57,IF(Inputs!$B$31="EBITDA",IF('Optimal CS Worksheet'!J56&lt;Inputs!$B$32*'Optimal CS Worksheet'!J53,$B$44*J57,('Optimal CS Worksheet'!J55-Inputs!$B$32*'Optimal CS Worksheet'!J53)*$B$44), IF('Optimal CS Worksheet'!J56&lt;Inputs!$B$32*'Optimal CS Worksheet'!J55,$B$44*J57,('Optimal CS Worksheet'!J55-Inputs!$B$32*'Optimal CS Worksheet'!J55)*'Optimal CS Worksheet'!$B$44)))</f>
        <v>-5022.8487218810606</v>
      </c>
      <c r="K58" s="244">
        <f ca="1">IF(Inputs!$B$30="No",$B$44*K57,IF(Inputs!$B$31="EBITDA",IF('Optimal CS Worksheet'!K56&lt;Inputs!$B$32*'Optimal CS Worksheet'!K53,$B$44*K57,('Optimal CS Worksheet'!K55-Inputs!$B$32*'Optimal CS Worksheet'!K53)*$B$44), IF('Optimal CS Worksheet'!K56&lt;Inputs!$B$32*'Optimal CS Worksheet'!K55,$B$44*K57,('Optimal CS Worksheet'!K55-Inputs!$B$32*'Optimal CS Worksheet'!K55)*'Optimal CS Worksheet'!$B$44)))</f>
        <v>-6218.382968175797</v>
      </c>
    </row>
    <row r="59" spans="1:11" s="3" customFormat="1" ht="13">
      <c r="A59" s="92" t="s">
        <v>118</v>
      </c>
      <c r="B59" s="216">
        <f t="shared" ref="B59:K59" si="8">B57-B58</f>
        <v>7617.0269954304631</v>
      </c>
      <c r="C59" s="216">
        <f t="shared" si="8"/>
        <v>6908.1614566371118</v>
      </c>
      <c r="D59" s="216">
        <f t="shared" si="8"/>
        <v>6199.2959178437595</v>
      </c>
      <c r="E59" s="216">
        <f t="shared" ca="1" si="8"/>
        <v>5268.0796905659781</v>
      </c>
      <c r="F59" s="216">
        <f t="shared" ca="1" si="8"/>
        <v>3699.7928442536577</v>
      </c>
      <c r="G59" s="216">
        <f t="shared" ca="1" si="8"/>
        <v>-4308.7379489905643</v>
      </c>
      <c r="H59" s="216">
        <f t="shared" ca="1" si="8"/>
        <v>-7895.3406878747683</v>
      </c>
      <c r="I59" s="216">
        <f t="shared" ca="1" si="8"/>
        <v>-11481.943426758975</v>
      </c>
      <c r="J59" s="216">
        <f t="shared" ca="1" si="8"/>
        <v>-15068.546165643182</v>
      </c>
      <c r="K59" s="244">
        <f t="shared" ca="1" si="8"/>
        <v>-18655.148904527392</v>
      </c>
    </row>
    <row r="60" spans="1:11" s="3" customFormat="1" ht="13">
      <c r="A60" s="92" t="s">
        <v>119</v>
      </c>
      <c r="B60" s="216">
        <f t="shared" ref="B60:K60" si="9">B54</f>
        <v>5808.964006092715</v>
      </c>
      <c r="C60" s="216">
        <f t="shared" si="9"/>
        <v>5808.964006092715</v>
      </c>
      <c r="D60" s="216">
        <f t="shared" si="9"/>
        <v>5808.964006092715</v>
      </c>
      <c r="E60" s="216">
        <f t="shared" si="9"/>
        <v>5808.964006092715</v>
      </c>
      <c r="F60" s="216">
        <f t="shared" si="9"/>
        <v>5808.964006092715</v>
      </c>
      <c r="G60" s="216">
        <f t="shared" si="9"/>
        <v>5808.964006092715</v>
      </c>
      <c r="H60" s="216">
        <f t="shared" si="9"/>
        <v>5808.964006092715</v>
      </c>
      <c r="I60" s="216">
        <f t="shared" si="9"/>
        <v>5808.964006092715</v>
      </c>
      <c r="J60" s="216">
        <f t="shared" si="9"/>
        <v>5808.964006092715</v>
      </c>
      <c r="K60" s="244">
        <f t="shared" si="9"/>
        <v>5808.964006092715</v>
      </c>
    </row>
    <row r="61" spans="1:11" s="3" customFormat="1" ht="13">
      <c r="A61" s="92" t="s">
        <v>120</v>
      </c>
      <c r="B61" s="216">
        <f t="shared" ref="B61:K61" si="10">B59+B60</f>
        <v>13425.991001523178</v>
      </c>
      <c r="C61" s="216">
        <f t="shared" si="10"/>
        <v>12717.125462729826</v>
      </c>
      <c r="D61" s="216">
        <f t="shared" si="10"/>
        <v>12008.259923936475</v>
      </c>
      <c r="E61" s="216">
        <f t="shared" ca="1" si="10"/>
        <v>11077.043696658693</v>
      </c>
      <c r="F61" s="216">
        <f t="shared" ca="1" si="10"/>
        <v>9508.7568503463735</v>
      </c>
      <c r="G61" s="216">
        <f t="shared" ca="1" si="10"/>
        <v>1500.2260571021507</v>
      </c>
      <c r="H61" s="216">
        <f t="shared" ca="1" si="10"/>
        <v>-2086.3766817820533</v>
      </c>
      <c r="I61" s="216">
        <f t="shared" ca="1" si="10"/>
        <v>-5672.97942066626</v>
      </c>
      <c r="J61" s="216">
        <f t="shared" ca="1" si="10"/>
        <v>-9259.5821595504676</v>
      </c>
      <c r="K61" s="244">
        <f t="shared" ca="1" si="10"/>
        <v>-12846.184898434676</v>
      </c>
    </row>
    <row r="62" spans="1:11" s="3" customFormat="1" ht="13">
      <c r="A62" s="188" t="s">
        <v>109</v>
      </c>
      <c r="B62" s="182">
        <v>0</v>
      </c>
      <c r="C62" s="182">
        <v>0.1</v>
      </c>
      <c r="D62" s="182">
        <v>0.2</v>
      </c>
      <c r="E62" s="182">
        <v>0.3</v>
      </c>
      <c r="F62" s="182">
        <v>0.4</v>
      </c>
      <c r="G62" s="182">
        <v>0.5</v>
      </c>
      <c r="H62" s="182">
        <v>0.6</v>
      </c>
      <c r="I62" s="182">
        <v>0.7</v>
      </c>
      <c r="J62" s="182">
        <v>0.8</v>
      </c>
      <c r="K62" s="182">
        <v>0.9</v>
      </c>
    </row>
    <row r="63" spans="1:11" s="3" customFormat="1" ht="13">
      <c r="A63" s="92" t="s">
        <v>121</v>
      </c>
      <c r="B63" s="6" t="s">
        <v>122</v>
      </c>
      <c r="C63" s="21">
        <f t="shared" ref="C63:K63" si="11">C57/C56+1</f>
        <v>10.745376349365706</v>
      </c>
      <c r="D63" s="21">
        <f t="shared" si="11"/>
        <v>5.3726881746828532</v>
      </c>
      <c r="E63" s="21">
        <f t="shared" ca="1" si="11"/>
        <v>3.2427406862879384</v>
      </c>
      <c r="F63" s="21">
        <f t="shared" ca="1" si="11"/>
        <v>1.9444911132366638</v>
      </c>
      <c r="G63" s="21">
        <f t="shared" ca="1" si="11"/>
        <v>0.63870343168165267</v>
      </c>
      <c r="H63" s="21">
        <f t="shared" ca="1" si="11"/>
        <v>0.4910292968125094</v>
      </c>
      <c r="I63" s="21">
        <f t="shared" ca="1" si="11"/>
        <v>0.39881872305435373</v>
      </c>
      <c r="J63" s="21">
        <f t="shared" ca="1" si="11"/>
        <v>0.33576524345880665</v>
      </c>
      <c r="K63" s="21">
        <f t="shared" ca="1" si="11"/>
        <v>0.289927527298669</v>
      </c>
    </row>
    <row r="64" spans="1:11" s="3" customFormat="1" ht="13">
      <c r="A64" s="92" t="s">
        <v>123</v>
      </c>
      <c r="B64" s="6" t="s">
        <v>122</v>
      </c>
      <c r="C64" s="21">
        <f t="shared" ref="C64:K64" si="12">C61/C49</f>
        <v>0.57174898648048733</v>
      </c>
      <c r="D64" s="21">
        <f t="shared" si="12"/>
        <v>0.26993955752918858</v>
      </c>
      <c r="E64" s="21">
        <f t="shared" ca="1" si="12"/>
        <v>0.1660041945098808</v>
      </c>
      <c r="F64" s="21">
        <f t="shared" ca="1" si="12"/>
        <v>0.10687600173105312</v>
      </c>
      <c r="G64" s="21">
        <f t="shared" ca="1" si="12"/>
        <v>1.3489726591966003E-2</v>
      </c>
      <c r="H64" s="21">
        <f t="shared" ca="1" si="12"/>
        <v>-1.5633561173361659E-2</v>
      </c>
      <c r="I64" s="21">
        <f t="shared" ca="1" si="12"/>
        <v>-3.6435909577167143E-2</v>
      </c>
      <c r="J64" s="21">
        <f t="shared" ca="1" si="12"/>
        <v>-5.2037670880021258E-2</v>
      </c>
      <c r="K64" s="21">
        <f t="shared" ca="1" si="12"/>
        <v>-6.4172374115574471E-2</v>
      </c>
    </row>
    <row r="65" spans="1:11" s="3" customFormat="1" ht="13">
      <c r="A65" s="92" t="s">
        <v>124</v>
      </c>
      <c r="B65" s="6" t="str">
        <f>F97</f>
        <v>Aaa/AAA</v>
      </c>
      <c r="C65" s="6" t="str">
        <f>VLOOKUP(C63,D83:G97,3)</f>
        <v>Aaa/AAA</v>
      </c>
      <c r="D65" s="6" t="str">
        <f>VLOOKUP(D63,D83:G97,3)</f>
        <v>A2/A</v>
      </c>
      <c r="E65" s="6" t="str">
        <f ca="1">VLOOKUP(E63,D83:G97,3)</f>
        <v>A3/A-</v>
      </c>
      <c r="F65" s="6" t="str">
        <f ca="1">VLOOKUP(F63,D83:G97,3)</f>
        <v>B1/B+</v>
      </c>
      <c r="G65" s="6" t="str">
        <f ca="1">VLOOKUP(G63,D83:G97,3)</f>
        <v>C2/C</v>
      </c>
      <c r="H65" s="6" t="str">
        <f ca="1">VLOOKUP(H63,D83:G97,3)</f>
        <v>C2/C</v>
      </c>
      <c r="I65" s="6" t="str">
        <f ca="1">VLOOKUP(I63,D83:G97,3)</f>
        <v>C2/C</v>
      </c>
      <c r="J65" s="6" t="str">
        <f ca="1">VLOOKUP(J63,D83:G97,3)</f>
        <v>C2/C</v>
      </c>
      <c r="K65" s="6" t="str">
        <f ca="1">VLOOKUP(K63,D83:G97,3)</f>
        <v>C2/C</v>
      </c>
    </row>
    <row r="66" spans="1:11" s="3" customFormat="1" ht="13">
      <c r="A66" s="92" t="s">
        <v>192</v>
      </c>
      <c r="B66" s="7">
        <f>G97</f>
        <v>5.0900000000000001E-2</v>
      </c>
      <c r="C66" s="7">
        <f>VLOOKUP(C63,D83:G97,4)</f>
        <v>5.0900000000000001E-2</v>
      </c>
      <c r="D66" s="7">
        <f>VLOOKUP(D63,D83:G97,4)</f>
        <v>5.57E-2</v>
      </c>
      <c r="E66" s="7">
        <f ca="1">VLOOKUP(E63,D83:G97,4)</f>
        <v>5.7099999999999998E-2</v>
      </c>
      <c r="F66" s="7">
        <f ca="1">VLOOKUP(F63,D83:G97,4)</f>
        <v>7.6399999999999996E-2</v>
      </c>
      <c r="G66" s="7">
        <f ca="1">VLOOKUP(G63,D83:G97,4)</f>
        <v>0.21500000000000002</v>
      </c>
      <c r="H66" s="7">
        <f ca="1">VLOOKUP(H63,D83:G97,4)</f>
        <v>0.21500000000000002</v>
      </c>
      <c r="I66" s="7">
        <f ca="1">VLOOKUP(I63,D83:G97,4)</f>
        <v>0.21500000000000002</v>
      </c>
      <c r="J66" s="7">
        <f ca="1">VLOOKUP(J63,D83:G97,4)</f>
        <v>0.21500000000000002</v>
      </c>
      <c r="K66" s="7">
        <f ca="1">VLOOKUP(K63,D83:G97,4)</f>
        <v>0.21500000000000002</v>
      </c>
    </row>
    <row r="67" spans="1:11" s="3" customFormat="1" ht="13">
      <c r="A67" s="92" t="s">
        <v>481</v>
      </c>
      <c r="B67" s="7">
        <f>IF(Inputs!$B$30="No",'Optimal CS Worksheet'!$B$44,IF(Inputs!$B$31="EBIT",IF('Optimal CS Worksheet'!B56&lt;Inputs!$B$32*'Optimal CS Worksheet'!B55,'Optimal CS Worksheet'!$B$44,'Optimal CS Worksheet'!$B$44*(Inputs!$B$32*'Optimal CS Worksheet'!B55)/'Optimal CS Worksheet'!B56),IF('Optimal CS Worksheet'!B56&lt;Inputs!$B$32*'Optimal CS Worksheet'!B53,'Optimal CS Worksheet'!$B$44,'Optimal CS Worksheet'!$B$44*(Inputs!$B$32*'Optimal CS Worksheet'!B53)/'Optimal CS Worksheet'!B56)))</f>
        <v>0.25</v>
      </c>
      <c r="C67" s="7">
        <f>IF(Inputs!$B$30="No",'Optimal CS Worksheet'!$B$44,IF(Inputs!$B$31="EBIT",IF('Optimal CS Worksheet'!C56&lt;Inputs!$B$32*'Optimal CS Worksheet'!C55,'Optimal CS Worksheet'!$B$44,'Optimal CS Worksheet'!$B$44*(Inputs!$B$32*'Optimal CS Worksheet'!C55)/'Optimal CS Worksheet'!C56),IF('Optimal CS Worksheet'!C56&lt;Inputs!$B$32*'Optimal CS Worksheet'!C53,'Optimal CS Worksheet'!$B$44,'Optimal CS Worksheet'!$B$44*(Inputs!$B$32*'Optimal CS Worksheet'!C53)/'Optimal CS Worksheet'!C56)))</f>
        <v>0.25</v>
      </c>
      <c r="D67" s="7">
        <f>IF(Inputs!$B$30="No",'Optimal CS Worksheet'!$B$44,IF(Inputs!$B$31="EBIT",IF('Optimal CS Worksheet'!D56&lt;Inputs!$B$32*'Optimal CS Worksheet'!D55,'Optimal CS Worksheet'!$B$44,'Optimal CS Worksheet'!$B$44*(Inputs!$B$32*'Optimal CS Worksheet'!D55)/'Optimal CS Worksheet'!D56),IF('Optimal CS Worksheet'!D56&lt;Inputs!$B$32*'Optimal CS Worksheet'!D53,'Optimal CS Worksheet'!$B$44,'Optimal CS Worksheet'!$B$44*(Inputs!$B$32*'Optimal CS Worksheet'!D53)/'Optimal CS Worksheet'!D56)))</f>
        <v>0.25</v>
      </c>
      <c r="E67" s="7">
        <f>IF(Inputs!$B$30="No",'Optimal CS Worksheet'!$B$44,IF(Inputs!$B$31="EBIT",IF('Optimal CS Worksheet'!E56&lt;Inputs!$B$32*'Optimal CS Worksheet'!E55,'Optimal CS Worksheet'!$B$44,'Optimal CS Worksheet'!$B$44*(Inputs!$B$32*'Optimal CS Worksheet'!E55)/'Optimal CS Worksheet'!E56),IF('Optimal CS Worksheet'!E56&lt;Inputs!$B$32*'Optimal CS Worksheet'!E53,'Optimal CS Worksheet'!$B$44,'Optimal CS Worksheet'!$B$44*(Inputs!$B$32*'Optimal CS Worksheet'!E53)/'Optimal CS Worksheet'!E56)))</f>
        <v>0.25</v>
      </c>
      <c r="F67" s="7">
        <f>IF(Inputs!$B$30="No",'Optimal CS Worksheet'!$B$44,IF(Inputs!$B$31="EBIT",IF('Optimal CS Worksheet'!F56&lt;Inputs!$B$32*'Optimal CS Worksheet'!F55,'Optimal CS Worksheet'!$B$44,'Optimal CS Worksheet'!$B$44*(Inputs!$B$32*'Optimal CS Worksheet'!F55)/'Optimal CS Worksheet'!F56),IF('Optimal CS Worksheet'!F56&lt;Inputs!$B$32*'Optimal CS Worksheet'!F53,'Optimal CS Worksheet'!$B$44,'Optimal CS Worksheet'!$B$44*(Inputs!$B$32*'Optimal CS Worksheet'!F53)/'Optimal CS Worksheet'!F56)))</f>
        <v>0.25</v>
      </c>
      <c r="G67" s="7">
        <f>IF(Inputs!$B$30="No",'Optimal CS Worksheet'!$B$44,IF(Inputs!$B$31="EBIT",IF('Optimal CS Worksheet'!G56&lt;Inputs!$B$32*'Optimal CS Worksheet'!G55,'Optimal CS Worksheet'!$B$44,'Optimal CS Worksheet'!$B$44*(Inputs!$B$32*'Optimal CS Worksheet'!G55)/'Optimal CS Worksheet'!G56),IF('Optimal CS Worksheet'!G56&lt;Inputs!$B$32*'Optimal CS Worksheet'!G53,'Optimal CS Worksheet'!$B$44,'Optimal CS Worksheet'!$B$44*(Inputs!$B$32*'Optimal CS Worksheet'!G53)/'Optimal CS Worksheet'!G56)))</f>
        <v>0.25</v>
      </c>
      <c r="H67" s="7">
        <f>IF(Inputs!$B$30="No",'Optimal CS Worksheet'!$B$44,IF(Inputs!$B$31="EBIT",IF('Optimal CS Worksheet'!H56&lt;Inputs!$B$32*'Optimal CS Worksheet'!H55,'Optimal CS Worksheet'!$B$44,'Optimal CS Worksheet'!$B$44*(Inputs!$B$32*'Optimal CS Worksheet'!H55)/'Optimal CS Worksheet'!H56),IF('Optimal CS Worksheet'!H56&lt;Inputs!$B$32*'Optimal CS Worksheet'!H53,'Optimal CS Worksheet'!$B$44,'Optimal CS Worksheet'!$B$44*(Inputs!$B$32*'Optimal CS Worksheet'!H53)/'Optimal CS Worksheet'!H56)))</f>
        <v>0.25</v>
      </c>
      <c r="I67" s="7">
        <f>IF(Inputs!$B$30="No",'Optimal CS Worksheet'!$B$44,IF(Inputs!$B$31="EBIT",IF('Optimal CS Worksheet'!I56&lt;Inputs!$B$32*'Optimal CS Worksheet'!I55,'Optimal CS Worksheet'!$B$44,'Optimal CS Worksheet'!$B$44*(Inputs!$B$32*'Optimal CS Worksheet'!I55)/'Optimal CS Worksheet'!I56),IF('Optimal CS Worksheet'!I56&lt;Inputs!$B$32*'Optimal CS Worksheet'!I53,'Optimal CS Worksheet'!$B$44,'Optimal CS Worksheet'!$B$44*(Inputs!$B$32*'Optimal CS Worksheet'!I53)/'Optimal CS Worksheet'!I56)))</f>
        <v>0.25</v>
      </c>
      <c r="J67" s="7">
        <f>IF(Inputs!$B$30="No",'Optimal CS Worksheet'!$B$44,IF(Inputs!$B$31="EBIT",IF('Optimal CS Worksheet'!J56&lt;Inputs!$B$32*'Optimal CS Worksheet'!J55,'Optimal CS Worksheet'!$B$44,'Optimal CS Worksheet'!$B$44*(Inputs!$B$32*'Optimal CS Worksheet'!J55)/'Optimal CS Worksheet'!J56),IF('Optimal CS Worksheet'!J56&lt;Inputs!$B$32*'Optimal CS Worksheet'!J53,'Optimal CS Worksheet'!$B$44,'Optimal CS Worksheet'!$B$44*(Inputs!$B$32*'Optimal CS Worksheet'!J53)/'Optimal CS Worksheet'!J56)))</f>
        <v>0.25</v>
      </c>
      <c r="K67" s="7">
        <f>IF(Inputs!$B$30="No",'Optimal CS Worksheet'!$B$44,IF(Inputs!$B$31="EBIT",IF('Optimal CS Worksheet'!K56&lt;Inputs!$B$32*'Optimal CS Worksheet'!K55,'Optimal CS Worksheet'!$B$44,'Optimal CS Worksheet'!$B$44*(Inputs!$B$32*'Optimal CS Worksheet'!K55)/'Optimal CS Worksheet'!K56),IF('Optimal CS Worksheet'!K56&lt;Inputs!$B$32*'Optimal CS Worksheet'!K53,'Optimal CS Worksheet'!$B$44,'Optimal CS Worksheet'!$B$44*(Inputs!$B$32*'Optimal CS Worksheet'!K53)/'Optimal CS Worksheet'!K56)))</f>
        <v>0.25</v>
      </c>
    </row>
    <row r="68" spans="1:11" s="3" customFormat="1" ht="13">
      <c r="A68" s="92" t="s">
        <v>480</v>
      </c>
      <c r="B68" s="7">
        <f t="shared" ref="B68:K68" si="13">IF(B56&lt;B55,$B$44,$B$44*(B55/B56))</f>
        <v>0.25</v>
      </c>
      <c r="C68" s="7">
        <f t="shared" si="13"/>
        <v>0.25</v>
      </c>
      <c r="D68" s="7">
        <f t="shared" si="13"/>
        <v>0.25</v>
      </c>
      <c r="E68" s="7">
        <f t="shared" ca="1" si="13"/>
        <v>0.25</v>
      </c>
      <c r="F68" s="7">
        <f t="shared" ca="1" si="13"/>
        <v>0.25</v>
      </c>
      <c r="G68" s="7">
        <f t="shared" ca="1" si="13"/>
        <v>0.15967585792041314</v>
      </c>
      <c r="H68" s="7">
        <f t="shared" ca="1" si="13"/>
        <v>0.12275732420312735</v>
      </c>
      <c r="I68" s="7">
        <f t="shared" ca="1" si="13"/>
        <v>9.9704680763588432E-2</v>
      </c>
      <c r="J68" s="7">
        <f t="shared" ca="1" si="13"/>
        <v>8.3941310864701676E-2</v>
      </c>
      <c r="K68" s="7">
        <f t="shared" ca="1" si="13"/>
        <v>7.2481881824667235E-2</v>
      </c>
    </row>
    <row r="69" spans="1:11" s="3" customFormat="1" ht="13">
      <c r="A69" s="92" t="s">
        <v>483</v>
      </c>
      <c r="B69" s="7">
        <f>MIN(B67:B68)</f>
        <v>0.25</v>
      </c>
      <c r="C69" s="7">
        <f t="shared" ref="C69:K69" si="14">MIN(C67:C68)</f>
        <v>0.25</v>
      </c>
      <c r="D69" s="7">
        <f t="shared" si="14"/>
        <v>0.25</v>
      </c>
      <c r="E69" s="7">
        <f t="shared" ca="1" si="14"/>
        <v>0.25</v>
      </c>
      <c r="F69" s="7">
        <f t="shared" ca="1" si="14"/>
        <v>0.25</v>
      </c>
      <c r="G69" s="7">
        <f t="shared" ca="1" si="14"/>
        <v>0.15967585792041314</v>
      </c>
      <c r="H69" s="7">
        <f t="shared" ca="1" si="14"/>
        <v>0.12275732420312735</v>
      </c>
      <c r="I69" s="7">
        <f t="shared" ca="1" si="14"/>
        <v>9.9704680763588432E-2</v>
      </c>
      <c r="J69" s="7">
        <f t="shared" ca="1" si="14"/>
        <v>8.3941310864701676E-2</v>
      </c>
      <c r="K69" s="7">
        <f t="shared" ca="1" si="14"/>
        <v>7.2481881824667235E-2</v>
      </c>
    </row>
    <row r="70" spans="1:11" s="3" customFormat="1" ht="13">
      <c r="A70" s="92"/>
      <c r="B70" s="6"/>
      <c r="C70" s="6"/>
      <c r="D70" s="6"/>
      <c r="E70" s="159"/>
      <c r="F70" s="160" t="s">
        <v>82</v>
      </c>
      <c r="G70" s="6"/>
      <c r="H70" s="6"/>
      <c r="I70" s="6"/>
      <c r="J70" s="6"/>
      <c r="K70" s="6"/>
    </row>
    <row r="71" spans="1:11" s="3" customFormat="1" ht="13">
      <c r="A71" s="92" t="s">
        <v>109</v>
      </c>
      <c r="B71" s="7">
        <v>0</v>
      </c>
      <c r="C71" s="7">
        <v>0.1</v>
      </c>
      <c r="D71" s="7">
        <v>0.2</v>
      </c>
      <c r="E71" s="7">
        <v>0.3</v>
      </c>
      <c r="F71" s="7">
        <v>0.4</v>
      </c>
      <c r="G71" s="7">
        <v>0.5</v>
      </c>
      <c r="H71" s="7">
        <v>0.6</v>
      </c>
      <c r="I71" s="7">
        <v>0.7</v>
      </c>
      <c r="J71" s="7">
        <v>0.8</v>
      </c>
      <c r="K71" s="7">
        <v>0.9</v>
      </c>
    </row>
    <row r="72" spans="1:11" s="3" customFormat="1" ht="13">
      <c r="A72" s="92" t="s">
        <v>110</v>
      </c>
      <c r="B72" s="7">
        <f t="shared" ref="B72:K72" si="15">B71/(1-B71)</f>
        <v>0</v>
      </c>
      <c r="C72" s="7">
        <f t="shared" si="15"/>
        <v>0.11111111111111112</v>
      </c>
      <c r="D72" s="7">
        <f t="shared" si="15"/>
        <v>0.25</v>
      </c>
      <c r="E72" s="7">
        <f t="shared" si="15"/>
        <v>0.4285714285714286</v>
      </c>
      <c r="F72" s="7">
        <f t="shared" si="15"/>
        <v>0.66666666666666674</v>
      </c>
      <c r="G72" s="7">
        <f t="shared" si="15"/>
        <v>1</v>
      </c>
      <c r="H72" s="7">
        <f t="shared" si="15"/>
        <v>1.4999999999999998</v>
      </c>
      <c r="I72" s="7">
        <f t="shared" si="15"/>
        <v>2.333333333333333</v>
      </c>
      <c r="J72" s="7">
        <f t="shared" si="15"/>
        <v>4.0000000000000009</v>
      </c>
      <c r="K72" s="7">
        <f t="shared" si="15"/>
        <v>9.0000000000000018</v>
      </c>
    </row>
    <row r="73" spans="1:11" s="3" customFormat="1" ht="13">
      <c r="A73" s="92" t="s">
        <v>111</v>
      </c>
      <c r="B73" s="216">
        <f t="shared" ref="B73:K73" si="16">B49</f>
        <v>0</v>
      </c>
      <c r="C73" s="216">
        <f t="shared" si="16"/>
        <v>22242.497605483444</v>
      </c>
      <c r="D73" s="216">
        <f t="shared" si="16"/>
        <v>44484.995210966888</v>
      </c>
      <c r="E73" s="216">
        <f t="shared" si="16"/>
        <v>66727.492816450322</v>
      </c>
      <c r="F73" s="216">
        <f t="shared" si="16"/>
        <v>88969.990421933777</v>
      </c>
      <c r="G73" s="216">
        <f t="shared" si="16"/>
        <v>111212.48802741722</v>
      </c>
      <c r="H73" s="216">
        <f t="shared" si="16"/>
        <v>133454.98563290064</v>
      </c>
      <c r="I73" s="216">
        <f t="shared" si="16"/>
        <v>155697.4832383841</v>
      </c>
      <c r="J73" s="216">
        <f t="shared" si="16"/>
        <v>177939.98084386755</v>
      </c>
      <c r="K73" s="216">
        <f t="shared" si="16"/>
        <v>200182.47844935101</v>
      </c>
    </row>
    <row r="74" spans="1:11" s="3" customFormat="1" ht="13">
      <c r="A74" s="92" t="s">
        <v>125</v>
      </c>
      <c r="B74" s="7">
        <f t="shared" ref="B74:K74" si="17">B51</f>
        <v>9.0249289405764613E-2</v>
      </c>
      <c r="C74" s="7">
        <f t="shared" si="17"/>
        <v>9.4020063522911659E-2</v>
      </c>
      <c r="D74" s="7">
        <f t="shared" si="17"/>
        <v>9.8733531169345468E-2</v>
      </c>
      <c r="E74" s="7">
        <f t="shared" ca="1" si="17"/>
        <v>0.10479370385761752</v>
      </c>
      <c r="F74" s="7">
        <f t="shared" ca="1" si="17"/>
        <v>0.11287393410864692</v>
      </c>
      <c r="G74" s="7">
        <f t="shared" ca="1" si="17"/>
        <v>0.12827335970537468</v>
      </c>
      <c r="H74" s="7">
        <f t="shared" ca="1" si="17"/>
        <v>0.14979120098009469</v>
      </c>
      <c r="I74" s="7">
        <f t="shared" ca="1" si="17"/>
        <v>0.18530397745759308</v>
      </c>
      <c r="J74" s="7">
        <f t="shared" ca="1" si="17"/>
        <v>0.25605330835515855</v>
      </c>
      <c r="K74" s="7">
        <f t="shared" ca="1" si="17"/>
        <v>0.46797511123141705</v>
      </c>
    </row>
    <row r="75" spans="1:11" s="3" customFormat="1" ht="13">
      <c r="A75" s="92" t="s">
        <v>126</v>
      </c>
      <c r="B75" s="7">
        <f>B66*(1-B69)</f>
        <v>3.8175000000000001E-2</v>
      </c>
      <c r="C75" s="7">
        <f t="shared" ref="C75:K75" si="18">C66*(1-C69)</f>
        <v>3.8175000000000001E-2</v>
      </c>
      <c r="D75" s="7">
        <f t="shared" si="18"/>
        <v>4.1775E-2</v>
      </c>
      <c r="E75" s="7">
        <f t="shared" ca="1" si="18"/>
        <v>4.2825000000000002E-2</v>
      </c>
      <c r="F75" s="7">
        <f t="shared" ca="1" si="18"/>
        <v>5.7299999999999997E-2</v>
      </c>
      <c r="G75" s="7">
        <f t="shared" ca="1" si="18"/>
        <v>0.18066969054711118</v>
      </c>
      <c r="H75" s="7">
        <f t="shared" ca="1" si="18"/>
        <v>0.18860717529632764</v>
      </c>
      <c r="I75" s="7">
        <f t="shared" ca="1" si="18"/>
        <v>0.1935634936358285</v>
      </c>
      <c r="J75" s="7">
        <f t="shared" ca="1" si="18"/>
        <v>0.19695261816408915</v>
      </c>
      <c r="K75" s="7">
        <f t="shared" ca="1" si="18"/>
        <v>0.19941639540769657</v>
      </c>
    </row>
    <row r="76" spans="1:11" s="3" customFormat="1" ht="13">
      <c r="A76" s="92" t="s">
        <v>83</v>
      </c>
      <c r="B76" s="7">
        <f t="shared" ref="B76:K76" si="19">B74*(1-B71)+B75*B71</f>
        <v>9.0249289405764613E-2</v>
      </c>
      <c r="C76" s="7">
        <f t="shared" si="19"/>
        <v>8.8435557170620502E-2</v>
      </c>
      <c r="D76" s="7">
        <f t="shared" si="19"/>
        <v>8.7341824935476375E-2</v>
      </c>
      <c r="E76" s="7">
        <f t="shared" ca="1" si="19"/>
        <v>8.6203092700332259E-2</v>
      </c>
      <c r="F76" s="7">
        <f t="shared" ca="1" si="19"/>
        <v>9.0644360465188145E-2</v>
      </c>
      <c r="G76" s="7">
        <f t="shared" ca="1" si="19"/>
        <v>0.15447152512624293</v>
      </c>
      <c r="H76" s="7">
        <f t="shared" ca="1" si="19"/>
        <v>0.17308078556983444</v>
      </c>
      <c r="I76" s="7">
        <f t="shared" ca="1" si="19"/>
        <v>0.19108563878235788</v>
      </c>
      <c r="J76" s="7">
        <f t="shared" ca="1" si="19"/>
        <v>0.20877275620230304</v>
      </c>
      <c r="K76" s="7">
        <f t="shared" ca="1" si="19"/>
        <v>0.22627226699006861</v>
      </c>
    </row>
    <row r="77" spans="1:11" s="3" customFormat="1" ht="13">
      <c r="A77" s="92"/>
      <c r="B77" s="6">
        <f ca="1">IF(B78=MAX($B78:$K78),1,0)</f>
        <v>0</v>
      </c>
      <c r="C77" s="6">
        <f t="shared" ref="C77:K77" ca="1" si="20">IF(C78=MAX($B78:$K78),1,0)</f>
        <v>0</v>
      </c>
      <c r="D77" s="6">
        <f t="shared" ca="1" si="20"/>
        <v>0</v>
      </c>
      <c r="E77" s="6">
        <f t="shared" ca="1" si="20"/>
        <v>1</v>
      </c>
      <c r="F77" s="6">
        <f t="shared" ca="1" si="20"/>
        <v>0</v>
      </c>
      <c r="G77" s="6">
        <f t="shared" ca="1" si="20"/>
        <v>0</v>
      </c>
      <c r="H77" s="6">
        <f t="shared" ca="1" si="20"/>
        <v>0</v>
      </c>
      <c r="I77" s="6">
        <f t="shared" ca="1" si="20"/>
        <v>0</v>
      </c>
      <c r="J77" s="6">
        <f t="shared" ca="1" si="20"/>
        <v>0</v>
      </c>
      <c r="K77" s="6">
        <f t="shared" ca="1" si="20"/>
        <v>0</v>
      </c>
    </row>
    <row r="78" spans="1:11" s="3" customFormat="1" ht="13">
      <c r="A78" s="92" t="s">
        <v>10</v>
      </c>
      <c r="B78" s="216">
        <f>IF(Inputs!$B$34="No",'Optimal CS Worksheet'!$E$21*(1+('Optimal CS Worksheet'!$E$19-'Optimal CS Worksheet'!B76)/('Optimal CS Worksheet'!B76-'Optimal CS Worksheet'!$E$20)),IF($J$17="NA",'Optimal CS Worksheet'!$E$21*(1+('Optimal CS Worksheet'!$E$19-'Optimal CS Worksheet'!B76)/('Optimal CS Worksheet'!B76-'Optimal CS Worksheet'!$E$20)),(B55*(1-$B$44)-($I$7-$I$5))*(1+$J$17)/(B76-$J$17)))</f>
        <v>208150.58249757529</v>
      </c>
      <c r="C78" s="216">
        <f>IF(Inputs!$B$34="No",'Optimal CS Worksheet'!$E$21*(1+('Optimal CS Worksheet'!$E$19-'Optimal CS Worksheet'!C76)/('Optimal CS Worksheet'!C76-'Optimal CS Worksheet'!$E$20)),IF($J$17="NA",'Optimal CS Worksheet'!$E$21*(1+('Optimal CS Worksheet'!$E$19-'Optimal CS Worksheet'!C76)/('Optimal CS Worksheet'!C76-'Optimal CS Worksheet'!$E$20)),(C55*(1-$B$44)-($I$7-$I$5))*(1+$J$17)/(C76-$J$17)))</f>
        <v>216842.29605743344</v>
      </c>
      <c r="D78" s="216">
        <f>IF(Inputs!$B$34="No",'Optimal CS Worksheet'!$E$21*(1+('Optimal CS Worksheet'!$E$19-'Optimal CS Worksheet'!D76)/('Optimal CS Worksheet'!D76-'Optimal CS Worksheet'!$E$20)),IF($J$17="NA",'Optimal CS Worksheet'!$E$21*(1+('Optimal CS Worksheet'!$E$19-'Optimal CS Worksheet'!D76)/('Optimal CS Worksheet'!D76-'Optimal CS Worksheet'!$E$20)),(D55*(1-$B$44)-($I$7-$I$5))*(1+$J$17)/(D76-$J$17)))</f>
        <v>222443.55225038435</v>
      </c>
      <c r="E78" s="216">
        <f ca="1">IF(Inputs!$B$34="No",'Optimal CS Worksheet'!$E$21*(1+('Optimal CS Worksheet'!$E$19-'Optimal CS Worksheet'!E76)/('Optimal CS Worksheet'!E76-'Optimal CS Worksheet'!$E$20)),IF($J$17="NA",'Optimal CS Worksheet'!$E$21*(1+('Optimal CS Worksheet'!$E$19-'Optimal CS Worksheet'!E76)/('Optimal CS Worksheet'!E76-'Optimal CS Worksheet'!$E$20)),(E55*(1-$B$44)-($I$7-$I$5))*(1+$J$17)/(E76-$J$17)))</f>
        <v>228591.23745668039</v>
      </c>
      <c r="F78" s="216">
        <f ca="1">IF(Inputs!$B$34="No",'Optimal CS Worksheet'!$E$21*(1+('Optimal CS Worksheet'!$E$19-'Optimal CS Worksheet'!F76)/('Optimal CS Worksheet'!F76-'Optimal CS Worksheet'!$E$20)),IF($J$17="NA",'Optimal CS Worksheet'!$E$21*(1+('Optimal CS Worksheet'!$E$19-'Optimal CS Worksheet'!F76)/('Optimal CS Worksheet'!F76-'Optimal CS Worksheet'!$E$20)),(F55*(1-$B$44)-($I$7-$I$5))*(1+$J$17)/(F76-$J$17)))</f>
        <v>206348.95201554321</v>
      </c>
      <c r="G78" s="216">
        <f ca="1">IF(Inputs!$B$34="No",'Optimal CS Worksheet'!$E$21*(1+('Optimal CS Worksheet'!$E$19-'Optimal CS Worksheet'!G76)/('Optimal CS Worksheet'!G76-'Optimal CS Worksheet'!$E$20)),IF($J$17="NA",'Optimal CS Worksheet'!$E$21*(1+('Optimal CS Worksheet'!$E$19-'Optimal CS Worksheet'!G76)/('Optimal CS Worksheet'!G76-'Optimal CS Worksheet'!$E$20)),(G55*(1-$B$44)-($I$7-$I$5))*(1+$J$17)/(G76-$J$17)))</f>
        <v>86037.587733884488</v>
      </c>
      <c r="H78" s="216">
        <f ca="1">IF(Inputs!$B$34="No",'Optimal CS Worksheet'!$E$21*(1+('Optimal CS Worksheet'!$E$19-'Optimal CS Worksheet'!H76)/('Optimal CS Worksheet'!H76-'Optimal CS Worksheet'!$E$20)),IF($J$17="NA",'Optimal CS Worksheet'!$E$21*(1+('Optimal CS Worksheet'!$E$19-'Optimal CS Worksheet'!H76)/('Optimal CS Worksheet'!H76-'Optimal CS Worksheet'!$E$20)),(H55*(1-$B$44)-($I$7-$I$5))*(1+$J$17)/(H76-$J$17)))</f>
        <v>73536.915826268538</v>
      </c>
      <c r="I78" s="216">
        <f ca="1">IF(Inputs!$B$34="No",'Optimal CS Worksheet'!$E$21*(1+('Optimal CS Worksheet'!$E$19-'Optimal CS Worksheet'!I76)/('Optimal CS Worksheet'!I76-'Optimal CS Worksheet'!$E$20)),IF($J$17="NA",'Optimal CS Worksheet'!$E$21*(1+('Optimal CS Worksheet'!$E$19-'Optimal CS Worksheet'!I76)/('Optimal CS Worksheet'!I76-'Optimal CS Worksheet'!$E$20)),(I55*(1-$B$44)-($I$7-$I$5))*(1+$J$17)/(I76-$J$17)))</f>
        <v>64473.592516807439</v>
      </c>
      <c r="J78" s="216">
        <f ca="1">IF(Inputs!$B$34="No",'Optimal CS Worksheet'!$E$21*(1+('Optimal CS Worksheet'!$E$19-'Optimal CS Worksheet'!J76)/('Optimal CS Worksheet'!J76-'Optimal CS Worksheet'!$E$20)),IF($J$17="NA",'Optimal CS Worksheet'!$E$21*(1+('Optimal CS Worksheet'!$E$19-'Optimal CS Worksheet'!J76)/('Optimal CS Worksheet'!J76-'Optimal CS Worksheet'!$E$20)),(J55*(1-$B$44)-($I$7-$I$5))*(1+$J$17)/(J76-$J$17)))</f>
        <v>57510.578473605841</v>
      </c>
      <c r="K78" s="216">
        <f ca="1">IF(Inputs!$B$34="No",'Optimal CS Worksheet'!$E$21*(1+('Optimal CS Worksheet'!$E$19-'Optimal CS Worksheet'!K76)/('Optimal CS Worksheet'!K76-'Optimal CS Worksheet'!$E$20)),IF($J$17="NA",'Optimal CS Worksheet'!$E$21*(1+('Optimal CS Worksheet'!$E$19-'Optimal CS Worksheet'!K76)/('Optimal CS Worksheet'!K76-'Optimal CS Worksheet'!$E$20)),(K55*(1-$B$44)-($I$7-$I$5))*(1+$J$17)/(K76-$J$17)))</f>
        <v>51958.67025774705</v>
      </c>
    </row>
    <row r="79" spans="1:11" s="3" customFormat="1" ht="13">
      <c r="A79" s="28"/>
      <c r="B79" s="29"/>
      <c r="C79" s="29"/>
      <c r="D79" s="29"/>
      <c r="E79" s="29"/>
      <c r="F79" s="29"/>
      <c r="G79" s="29"/>
      <c r="H79" s="29"/>
      <c r="I79" s="29"/>
      <c r="J79" s="29"/>
      <c r="K79" s="29"/>
    </row>
    <row r="80" spans="1:11" s="3" customFormat="1" ht="13"/>
    <row r="81" spans="4:8" s="3" customFormat="1" ht="13">
      <c r="D81" s="30" t="s">
        <v>127</v>
      </c>
      <c r="E81" s="30" t="s">
        <v>127</v>
      </c>
      <c r="F81" s="30" t="s">
        <v>128</v>
      </c>
      <c r="G81" s="30" t="s">
        <v>129</v>
      </c>
      <c r="H81" s="50" t="s">
        <v>230</v>
      </c>
    </row>
    <row r="82" spans="4:8" s="3" customFormat="1" ht="13">
      <c r="D82" s="31" t="s">
        <v>130</v>
      </c>
      <c r="E82" s="31" t="s">
        <v>131</v>
      </c>
      <c r="F82" s="31"/>
      <c r="G82" s="31"/>
      <c r="H82" s="51" t="s">
        <v>112</v>
      </c>
    </row>
    <row r="83" spans="4:8" s="3" customFormat="1" ht="13">
      <c r="D83" s="6">
        <f>IF(Inputs!$B$42=1,'Default Spreads and Ratios'!A15,IF(Inputs!$B$42=2,'Default Spreads and Ratios'!A34,'Default Spreads and Ratios'!A52))</f>
        <v>-100000</v>
      </c>
      <c r="E83" s="6">
        <f>IF(Inputs!$B$42=1,'Default Spreads and Ratios'!B15,IF(Inputs!$B$42=2,'Default Spreads and Ratios'!B34,'Default Spreads and Ratios'!B52))</f>
        <v>0.19999900000000001</v>
      </c>
      <c r="F83" s="6" t="str">
        <f>IF(Inputs!$B$42=1,'Default Spreads and Ratios'!C15,'Default Spreads and Ratios'!C34)</f>
        <v>D2/D</v>
      </c>
      <c r="G83" s="33">
        <f>IF(Inputs!$B$42=1,'Default Spreads and Ratios'!D15+$F$7+Inputs!$B$39,'Default Spreads and Ratios'!D34+$F$7+Inputs!$B$39)</f>
        <v>0.245</v>
      </c>
      <c r="H83" s="47">
        <f>IF(Inputs!$B$42=1,'Default Spreads and Ratios'!E15,'Default Spreads and Ratios'!E34)</f>
        <v>-0.5</v>
      </c>
    </row>
    <row r="84" spans="4:8" s="3" customFormat="1" ht="13">
      <c r="D84" s="6">
        <f>IF(Inputs!$B$42=1,'Default Spreads and Ratios'!A16,IF(Inputs!$B$42=2,'Default Spreads and Ratios'!A35,'Default Spreads and Ratios'!A53))</f>
        <v>0.2</v>
      </c>
      <c r="E84" s="6">
        <f>IF(Inputs!$B$42=1,'Default Spreads and Ratios'!B16,IF(Inputs!$B$42=2,'Default Spreads and Ratios'!B35,'Default Spreads and Ratios'!B53))</f>
        <v>0.64999899999999999</v>
      </c>
      <c r="F84" s="6" t="str">
        <f>IF(Inputs!$B$42=1,'Default Spreads and Ratios'!C16,'Default Spreads and Ratios'!C35)</f>
        <v>C2/C</v>
      </c>
      <c r="G84" s="33">
        <f>IF(Inputs!$B$42=1,'Default Spreads and Ratios'!D16+$F$7+Inputs!$B$39,'Default Spreads and Ratios'!D35+$F$7+Inputs!$B$39)</f>
        <v>0.21500000000000002</v>
      </c>
      <c r="H84" s="49">
        <f>IF(Inputs!$B$42=1,'Default Spreads and Ratios'!E16,'Default Spreads and Ratios'!E35)</f>
        <v>-0.4</v>
      </c>
    </row>
    <row r="85" spans="4:8" s="3" customFormat="1" ht="13">
      <c r="D85" s="6">
        <f>IF(Inputs!$B$42=1,'Default Spreads and Ratios'!A17,IF(Inputs!$B$42=2,'Default Spreads and Ratios'!A36,'Default Spreads and Ratios'!A54))</f>
        <v>0.65</v>
      </c>
      <c r="E85" s="6">
        <f>IF(Inputs!$B$42=1,'Default Spreads and Ratios'!B17,IF(Inputs!$B$42=2,'Default Spreads and Ratios'!B36,'Default Spreads and Ratios'!B54))</f>
        <v>0.79999900000000002</v>
      </c>
      <c r="F85" s="6" t="str">
        <f>IF(Inputs!$B$42=1,'Default Spreads and Ratios'!C17,'Default Spreads and Ratios'!C36)</f>
        <v>Ca2/CC</v>
      </c>
      <c r="G85" s="33">
        <f>IF(Inputs!$B$42=1,'Default Spreads and Ratios'!D17+$F$7+Inputs!$B$39,'Default Spreads and Ratios'!D36+$F$7+Inputs!$B$39)</f>
        <v>0.1628</v>
      </c>
      <c r="H85" s="49">
        <f>IF(Inputs!$B$42=1,'Default Spreads and Ratios'!E17,'Default Spreads and Ratios'!E36)</f>
        <v>-0.4</v>
      </c>
    </row>
    <row r="86" spans="4:8" s="3" customFormat="1" ht="13">
      <c r="D86" s="6">
        <f>IF(Inputs!$B$42=1,'Default Spreads and Ratios'!A18,IF(Inputs!$B$42=2,'Default Spreads and Ratios'!A37,'Default Spreads and Ratios'!A55))</f>
        <v>0.8</v>
      </c>
      <c r="E86" s="6">
        <f>IF(Inputs!$B$42=1,'Default Spreads and Ratios'!B18,IF(Inputs!$B$42=2,'Default Spreads and Ratios'!B37,'Default Spreads and Ratios'!B55))</f>
        <v>1.2499990000000001</v>
      </c>
      <c r="F86" s="6" t="str">
        <f>IF(Inputs!$B$42=1,'Default Spreads and Ratios'!C18,'Default Spreads and Ratios'!C37)</f>
        <v>Caa/CCC</v>
      </c>
      <c r="G86" s="33">
        <f>IF(Inputs!$B$42=1,'Default Spreads and Ratios'!D18+$F$7+Inputs!$B$39,'Default Spreads and Ratios'!D37+$F$7+Inputs!$B$39)</f>
        <v>0.13009999999999999</v>
      </c>
      <c r="H86" s="49">
        <f>IF(Inputs!$B$42=1,'Default Spreads and Ratios'!E18,'Default Spreads and Ratios'!E37)</f>
        <v>-0.4</v>
      </c>
    </row>
    <row r="87" spans="4:8" s="3" customFormat="1" ht="13">
      <c r="D87" s="6">
        <f>IF(Inputs!$B$42=1,'Default Spreads and Ratios'!A19,IF(Inputs!$B$42=2,'Default Spreads and Ratios'!A38,'Default Spreads and Ratios'!A56))</f>
        <v>1.25</v>
      </c>
      <c r="E87" s="6">
        <f>IF(Inputs!$B$42=1,'Default Spreads and Ratios'!B19,IF(Inputs!$B$42=2,'Default Spreads and Ratios'!B38,'Default Spreads and Ratios'!B56))</f>
        <v>1.4999990000000001</v>
      </c>
      <c r="F87" s="6" t="str">
        <f>IF(Inputs!$B$42=1,'Default Spreads and Ratios'!C19,'Default Spreads and Ratios'!C38)</f>
        <v>B3/B-</v>
      </c>
      <c r="G87" s="33">
        <f>IF(Inputs!$B$42=1,'Default Spreads and Ratios'!D19+$F$7+Inputs!$B$39,'Default Spreads and Ratios'!D38+$F$7+Inputs!$B$39)</f>
        <v>9.74E-2</v>
      </c>
      <c r="H87" s="49">
        <f>IF(Inputs!$B$42=1,'Default Spreads and Ratios'!E19,'Default Spreads and Ratios'!E38)</f>
        <v>-0.25</v>
      </c>
    </row>
    <row r="88" spans="4:8" s="3" customFormat="1" ht="13">
      <c r="D88" s="6">
        <f>IF(Inputs!$B$42=1,'Default Spreads and Ratios'!A20,IF(Inputs!$B$42=2,'Default Spreads and Ratios'!A39,'Default Spreads and Ratios'!A57))</f>
        <v>1.5</v>
      </c>
      <c r="E88" s="6">
        <f>IF(Inputs!$B$42=1,'Default Spreads and Ratios'!B20,IF(Inputs!$B$42=2,'Default Spreads and Ratios'!B39,'Default Spreads and Ratios'!B57))</f>
        <v>1.7499990000000001</v>
      </c>
      <c r="F88" s="6" t="str">
        <f>IF(Inputs!$B$42=1,'Default Spreads and Ratios'!C20,'Default Spreads and Ratios'!C39)</f>
        <v>B2/B</v>
      </c>
      <c r="G88" s="33">
        <f>IF(Inputs!$B$42=1,'Default Spreads and Ratios'!D20+$F$7+Inputs!$B$39,'Default Spreads and Ratios'!D39+$F$7+Inputs!$B$39)</f>
        <v>8.1100000000000005E-2</v>
      </c>
      <c r="H88" s="49">
        <f>IF(Inputs!$B$42=1,'Default Spreads and Ratios'!E20,'Default Spreads and Ratios'!E39)</f>
        <v>-0.2</v>
      </c>
    </row>
    <row r="89" spans="4:8" s="3" customFormat="1" ht="13">
      <c r="D89" s="6">
        <f>IF(Inputs!$B$42=1,'Default Spreads and Ratios'!A21,IF(Inputs!$B$42=2,'Default Spreads and Ratios'!A40,'Default Spreads and Ratios'!A58))</f>
        <v>1.75</v>
      </c>
      <c r="E89" s="6">
        <f>IF(Inputs!$B$42=1,'Default Spreads and Ratios'!B21,IF(Inputs!$B$42=2,'Default Spreads and Ratios'!B40,'Default Spreads and Ratios'!B58))</f>
        <v>1.9999990000000001</v>
      </c>
      <c r="F89" s="6" t="str">
        <f>IF(Inputs!$B$42=1,'Default Spreads and Ratios'!C21,'Default Spreads and Ratios'!C40)</f>
        <v>B1/B+</v>
      </c>
      <c r="G89" s="33">
        <f>IF(Inputs!$B$42=1,'Default Spreads and Ratios'!D21+$F$7+Inputs!$B$39,'Default Spreads and Ratios'!D40+$F$7+Inputs!$B$39)</f>
        <v>7.6399999999999996E-2</v>
      </c>
      <c r="H89" s="49">
        <f>IF(Inputs!$B$42=1,'Default Spreads and Ratios'!E21,'Default Spreads and Ratios'!E40)</f>
        <v>-0.2</v>
      </c>
    </row>
    <row r="90" spans="4:8" s="3" customFormat="1" ht="13">
      <c r="D90" s="6">
        <f>IF(Inputs!$B$42=1,'Default Spreads and Ratios'!A22,IF(Inputs!$B$42=2,'Default Spreads and Ratios'!A41,'Default Spreads and Ratios'!A59))</f>
        <v>2</v>
      </c>
      <c r="E90" s="6">
        <f>IF(Inputs!$B$42=1,'Default Spreads and Ratios'!B22,IF(Inputs!$B$42=2,'Default Spreads and Ratios'!B41,'Default Spreads and Ratios'!B59))</f>
        <v>2.2499999000000002</v>
      </c>
      <c r="F90" s="6" t="str">
        <f>IF(Inputs!$B$42=1,'Default Spreads and Ratios'!C22,'Default Spreads and Ratios'!C41)</f>
        <v>Ba2/BB</v>
      </c>
      <c r="G90" s="33">
        <f>IF(Inputs!$B$42=1,'Default Spreads and Ratios'!D22+$F$7+Inputs!$B$39,'Default Spreads and Ratios'!D41+$F$7+Inputs!$B$39)</f>
        <v>6.7099999999999993E-2</v>
      </c>
      <c r="H90" s="49">
        <f>IF(Inputs!$B$42=1,'Default Spreads and Ratios'!E22,'Default Spreads and Ratios'!E41)</f>
        <v>-0.2</v>
      </c>
    </row>
    <row r="91" spans="4:8" s="3" customFormat="1" ht="13">
      <c r="D91" s="6">
        <f>IF(Inputs!$B$42=1,'Default Spreads and Ratios'!A23,IF(Inputs!$B$42=2,'Default Spreads and Ratios'!A42,'Default Spreads and Ratios'!A60))</f>
        <v>2.25</v>
      </c>
      <c r="E91" s="6">
        <f>IF(Inputs!$B$42=1,'Default Spreads and Ratios'!B23,IF(Inputs!$B$42=2,'Default Spreads and Ratios'!B42,'Default Spreads and Ratios'!B60))</f>
        <v>2.4999899999999999</v>
      </c>
      <c r="F91" s="6" t="str">
        <f>IF(Inputs!$B$42=1,'Default Spreads and Ratios'!C23,'Default Spreads and Ratios'!C42)</f>
        <v>Ba1/BB+</v>
      </c>
      <c r="G91" s="33">
        <f>IF(Inputs!$B$42=1,'Default Spreads and Ratios'!D23+$F$7+Inputs!$B$39,'Default Spreads and Ratios'!D42+$F$7+Inputs!$B$39)</f>
        <v>6.2399999999999997E-2</v>
      </c>
      <c r="H91" s="49">
        <f>IF(Inputs!$B$42=1,'Default Spreads and Ratios'!E23,'Default Spreads and Ratios'!E42)</f>
        <v>-0.2</v>
      </c>
    </row>
    <row r="92" spans="4:8" s="3" customFormat="1" ht="13">
      <c r="D92" s="6">
        <f>IF(Inputs!$B$42=1,'Default Spreads and Ratios'!A24,IF(Inputs!$B$42=2,'Default Spreads and Ratios'!A43,'Default Spreads and Ratios'!A61))</f>
        <v>2.5</v>
      </c>
      <c r="E92" s="6">
        <f>IF(Inputs!$B$42=1,'Default Spreads and Ratios'!B24,IF(Inputs!$B$42=2,'Default Spreads and Ratios'!B43,'Default Spreads and Ratios'!B61))</f>
        <v>2.9999989999999999</v>
      </c>
      <c r="F92" s="6" t="str">
        <f>IF(Inputs!$B$42=1,'Default Spreads and Ratios'!C24,'Default Spreads and Ratios'!C43)</f>
        <v>Baa2/BBB</v>
      </c>
      <c r="G92" s="33">
        <f>IF(Inputs!$B$42=1,'Default Spreads and Ratios'!D24+$F$7+Inputs!$B$39,'Default Spreads and Ratios'!D43+$F$7+Inputs!$B$39)</f>
        <v>5.9699999999999996E-2</v>
      </c>
      <c r="H92" s="49">
        <f>IF(Inputs!$B$42=1,'Default Spreads and Ratios'!E24,'Default Spreads and Ratios'!E43)</f>
        <v>-0.1</v>
      </c>
    </row>
    <row r="93" spans="4:8" s="3" customFormat="1" ht="13">
      <c r="D93" s="6">
        <f>IF(Inputs!$B$42=1,'Default Spreads and Ratios'!A25,IF(Inputs!$B$42=2,'Default Spreads and Ratios'!A44,'Default Spreads and Ratios'!A62))</f>
        <v>3</v>
      </c>
      <c r="E93" s="6">
        <f>IF(Inputs!$B$42=1,'Default Spreads and Ratios'!B25,IF(Inputs!$B$42=2,'Default Spreads and Ratios'!B44,'Default Spreads and Ratios'!B62))</f>
        <v>4.2499989999999999</v>
      </c>
      <c r="F93" s="6" t="str">
        <f>IF(Inputs!$B$42=1,'Default Spreads and Ratios'!C25,'Default Spreads and Ratios'!C44)</f>
        <v>A3/A-</v>
      </c>
      <c r="G93" s="33">
        <f>IF(Inputs!$B$42=1,'Default Spreads and Ratios'!D25+$F$7+Inputs!$B$39,'Default Spreads and Ratios'!D44+$F$7+Inputs!$B$39)</f>
        <v>5.7099999999999998E-2</v>
      </c>
      <c r="H93" s="49">
        <f>IF(Inputs!$B$42=1,'Default Spreads and Ratios'!E25,'Default Spreads and Ratios'!E44)</f>
        <v>-0.02</v>
      </c>
    </row>
    <row r="94" spans="4:8" s="3" customFormat="1" ht="13">
      <c r="D94" s="6">
        <f>IF(Inputs!$B$42=1,'Default Spreads and Ratios'!A26,IF(Inputs!$B$42=2,'Default Spreads and Ratios'!A45,'Default Spreads and Ratios'!A63))</f>
        <v>4.25</v>
      </c>
      <c r="E94" s="6">
        <f>IF(Inputs!$B$42=1,'Default Spreads and Ratios'!B26,IF(Inputs!$B$42=2,'Default Spreads and Ratios'!B45,'Default Spreads and Ratios'!B63))</f>
        <v>5.4999989999999999</v>
      </c>
      <c r="F94" s="6" t="str">
        <f>IF(Inputs!$B$42=1,'Default Spreads and Ratios'!C26,'Default Spreads and Ratios'!C45)</f>
        <v>A2/A</v>
      </c>
      <c r="G94" s="33">
        <f>IF(Inputs!$B$42=1,'Default Spreads and Ratios'!D26+$F$7+Inputs!$B$39,'Default Spreads and Ratios'!D45+$F$7+Inputs!$B$39)</f>
        <v>5.57E-2</v>
      </c>
      <c r="H94" s="49">
        <f>IF(Inputs!$B$42=1,'Default Spreads and Ratios'!E26,'Default Spreads and Ratios'!E45)</f>
        <v>0</v>
      </c>
    </row>
    <row r="95" spans="4:8" s="3" customFormat="1" ht="13">
      <c r="D95" s="6">
        <f>IF(Inputs!$B$42=1,'Default Spreads and Ratios'!A27,IF(Inputs!$B$42=2,'Default Spreads and Ratios'!A46,'Default Spreads and Ratios'!A64))</f>
        <v>5.5</v>
      </c>
      <c r="E95" s="6">
        <f>IF(Inputs!$B$42=1,'Default Spreads and Ratios'!B27,IF(Inputs!$B$42=2,'Default Spreads and Ratios'!B46,'Default Spreads and Ratios'!B64))</f>
        <v>6.4999989999999999</v>
      </c>
      <c r="F95" s="6" t="str">
        <f>IF(Inputs!$B$42=1,'Default Spreads and Ratios'!C27,'Default Spreads and Ratios'!C46)</f>
        <v>A1/A+</v>
      </c>
      <c r="G95" s="33">
        <f>IF(Inputs!$B$42=1,'Default Spreads and Ratios'!D27+$F$7+Inputs!$B$39,'Default Spreads and Ratios'!D46+$F$7+Inputs!$B$39)</f>
        <v>5.4199999999999998E-2</v>
      </c>
      <c r="H95" s="49">
        <f>IF(Inputs!$B$42=1,'Default Spreads and Ratios'!E27,'Default Spreads and Ratios'!E46)</f>
        <v>0</v>
      </c>
    </row>
    <row r="96" spans="4:8" s="3" customFormat="1" ht="13">
      <c r="D96" s="6">
        <f>IF(Inputs!$B$42=1,'Default Spreads and Ratios'!A28,IF(Inputs!$B$42=2,'Default Spreads and Ratios'!A47,'Default Spreads and Ratios'!A65))</f>
        <v>6.5</v>
      </c>
      <c r="E96" s="6">
        <f>IF(Inputs!$B$42=1,'Default Spreads and Ratios'!B28,IF(Inputs!$B$42=2,'Default Spreads and Ratios'!B47,'Default Spreads and Ratios'!B65))</f>
        <v>8.4999990000000007</v>
      </c>
      <c r="F96" s="6" t="str">
        <f>IF(Inputs!$B$42=1,'Default Spreads and Ratios'!C28,'Default Spreads and Ratios'!C47)</f>
        <v>Aa2/AA</v>
      </c>
      <c r="G96" s="33">
        <f>IF(Inputs!$B$42=1,'Default Spreads and Ratios'!D28+$F$7+Inputs!$B$39,'Default Spreads and Ratios'!D47+$F$7+Inputs!$B$39)</f>
        <v>5.1999999999999998E-2</v>
      </c>
      <c r="H96" s="49">
        <f>IF(Inputs!$B$42=1,'Default Spreads and Ratios'!E28,'Default Spreads and Ratios'!E47)</f>
        <v>0</v>
      </c>
    </row>
    <row r="97" spans="1:8" s="3" customFormat="1" ht="13">
      <c r="D97" s="6">
        <f>IF(Inputs!$B$42=1,'Default Spreads and Ratios'!A29,IF(Inputs!$B$42=2,'Default Spreads and Ratios'!A48,'Default Spreads and Ratios'!A66))</f>
        <v>8.5</v>
      </c>
      <c r="E97" s="6">
        <f>IF(Inputs!$B$42=1,'Default Spreads and Ratios'!B29,IF(Inputs!$B$42=2,'Default Spreads and Ratios'!B48,'Default Spreads and Ratios'!B66))</f>
        <v>100000</v>
      </c>
      <c r="F97" s="6" t="str">
        <f>IF(Inputs!$B$42=1,'Default Spreads and Ratios'!C29,'Default Spreads and Ratios'!C48)</f>
        <v>Aaa/AAA</v>
      </c>
      <c r="G97" s="33">
        <f>IF(Inputs!$B$42=1,'Default Spreads and Ratios'!D29+$F$7+Inputs!$B$39,'Default Spreads and Ratios'!D48+$F$7+Inputs!$B$39)</f>
        <v>5.0900000000000001E-2</v>
      </c>
      <c r="H97" s="49">
        <f>IF(Inputs!$B$42=1,'Default Spreads and Ratios'!E29,'Default Spreads and Ratios'!E48)</f>
        <v>0</v>
      </c>
    </row>
    <row r="100" spans="1:8" ht="14">
      <c r="A100"/>
    </row>
    <row r="101" spans="1:8" ht="14">
      <c r="A101"/>
    </row>
    <row r="102" spans="1:8" ht="14">
      <c r="A102"/>
    </row>
    <row r="103" spans="1:8" ht="14">
      <c r="A103"/>
    </row>
    <row r="104" spans="1:8" ht="14">
      <c r="A104"/>
    </row>
  </sheetData>
  <mergeCells count="5">
    <mergeCell ref="D6:F6"/>
    <mergeCell ref="A1:I1"/>
    <mergeCell ref="C10:G10"/>
    <mergeCell ref="A2:I2"/>
    <mergeCell ref="K2:M2"/>
  </mergeCells>
  <pageMargins left="0.75" right="0.75" top="1" bottom="1" header="0.5" footer="0.5"/>
  <pageSetup scale="90" firstPageNumber="17" orientation="landscape" useFirstPageNumber="1" horizontalDpi="4294967292" verticalDpi="4294967292"/>
  <headerFooter alignWithMargins="0">
    <oddHeader>&amp;C&amp;"Times"&amp;12CAPITAL STRUCTURE&amp;R&amp;P</oddHeader>
  </headerFooter>
  <rowBreaks count="5" manualBreakCount="5">
    <brk id="41" max="16383" man="1"/>
    <brk id="77" max="65535" man="1"/>
    <brk id="118" max="65535" man="1"/>
    <brk id="146" max="65535" man="1"/>
    <brk id="162" max="65535" man="1"/>
  </rowBreaks>
  <ignoredErrors>
    <ignoredError xmlns:x16r3="http://schemas.microsoft.com/office/spreadsheetml/2018/08/main" sqref="K73" x16r3:misleadingFormat="1"/>
  </ignoredErrors>
  <drawing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192"/>
  <sheetViews>
    <sheetView workbookViewId="0">
      <selection sqref="A1:B1048576"/>
    </sheetView>
  </sheetViews>
  <sheetFormatPr baseColWidth="10" defaultRowHeight="14"/>
  <cols>
    <col min="1" max="1" width="24" bestFit="1" customWidth="1"/>
  </cols>
  <sheetData>
    <row r="1" spans="1:2" ht="16">
      <c r="A1" s="222" t="s">
        <v>264</v>
      </c>
      <c r="B1" s="162" t="s">
        <v>576</v>
      </c>
    </row>
    <row r="2" spans="1:2" ht="16">
      <c r="A2" s="223" t="s">
        <v>494</v>
      </c>
      <c r="B2" s="224">
        <v>0.15</v>
      </c>
    </row>
    <row r="3" spans="1:2" ht="16">
      <c r="A3" s="223" t="s">
        <v>265</v>
      </c>
      <c r="B3" s="224">
        <v>0.15</v>
      </c>
    </row>
    <row r="4" spans="1:2" ht="16">
      <c r="A4" s="225" t="s">
        <v>445</v>
      </c>
      <c r="B4" s="224">
        <v>0.26</v>
      </c>
    </row>
    <row r="5" spans="1:2" ht="16">
      <c r="A5" s="223" t="s">
        <v>498</v>
      </c>
      <c r="B5" s="224">
        <v>0.1898</v>
      </c>
    </row>
    <row r="6" spans="1:2" ht="16">
      <c r="A6" s="223" t="s">
        <v>266</v>
      </c>
      <c r="B6" s="224">
        <v>0.25</v>
      </c>
    </row>
    <row r="7" spans="1:2" ht="16">
      <c r="A7" s="223" t="s">
        <v>455</v>
      </c>
      <c r="B7" s="176">
        <v>0.2724561140242252</v>
      </c>
    </row>
    <row r="8" spans="1:2" ht="16">
      <c r="A8" s="223" t="s">
        <v>577</v>
      </c>
      <c r="B8" s="176">
        <v>0.2724561140242252</v>
      </c>
    </row>
    <row r="9" spans="1:2" ht="16">
      <c r="A9" s="223" t="s">
        <v>267</v>
      </c>
      <c r="B9" s="224">
        <v>0.35</v>
      </c>
    </row>
    <row r="10" spans="1:2" ht="16">
      <c r="A10" s="223" t="s">
        <v>268</v>
      </c>
      <c r="B10" s="224">
        <v>0.18</v>
      </c>
    </row>
    <row r="11" spans="1:2" ht="16">
      <c r="A11" s="223" t="s">
        <v>269</v>
      </c>
      <c r="B11" s="224">
        <v>0.25</v>
      </c>
    </row>
    <row r="12" spans="1:2" ht="16">
      <c r="A12" s="223" t="s">
        <v>270</v>
      </c>
      <c r="B12" s="224">
        <v>0.3</v>
      </c>
    </row>
    <row r="13" spans="1:2" ht="16">
      <c r="A13" s="223" t="s">
        <v>271</v>
      </c>
      <c r="B13" s="224">
        <v>0.24</v>
      </c>
    </row>
    <row r="14" spans="1:2" ht="16">
      <c r="A14" s="223" t="s">
        <v>456</v>
      </c>
      <c r="B14" s="224">
        <v>0.2</v>
      </c>
    </row>
    <row r="15" spans="1:2" ht="16">
      <c r="A15" s="223" t="s">
        <v>272</v>
      </c>
      <c r="B15" s="224">
        <v>0</v>
      </c>
    </row>
    <row r="16" spans="1:2" ht="16">
      <c r="A16" s="223" t="s">
        <v>273</v>
      </c>
      <c r="B16" s="224">
        <v>0</v>
      </c>
    </row>
    <row r="17" spans="1:2" ht="16">
      <c r="A17" s="223" t="s">
        <v>274</v>
      </c>
      <c r="B17" s="224">
        <v>0.3</v>
      </c>
    </row>
    <row r="18" spans="1:2" ht="16">
      <c r="A18" s="223" t="s">
        <v>275</v>
      </c>
      <c r="B18" s="224">
        <v>5.5E-2</v>
      </c>
    </row>
    <row r="19" spans="1:2" ht="16">
      <c r="A19" s="223" t="s">
        <v>276</v>
      </c>
      <c r="B19" s="224">
        <v>0.18</v>
      </c>
    </row>
    <row r="20" spans="1:2" ht="16">
      <c r="A20" s="223" t="s">
        <v>277</v>
      </c>
      <c r="B20" s="224">
        <v>0.25</v>
      </c>
    </row>
    <row r="21" spans="1:2" ht="16">
      <c r="A21" s="223" t="s">
        <v>509</v>
      </c>
      <c r="B21" s="224">
        <v>0.2853</v>
      </c>
    </row>
    <row r="22" spans="1:2" ht="16">
      <c r="A22" s="223" t="s">
        <v>457</v>
      </c>
      <c r="B22" s="224">
        <v>0.3</v>
      </c>
    </row>
    <row r="23" spans="1:2" ht="16">
      <c r="A23" s="223" t="s">
        <v>278</v>
      </c>
      <c r="B23" s="224">
        <v>0</v>
      </c>
    </row>
    <row r="24" spans="1:2" ht="16">
      <c r="A24" s="223" t="s">
        <v>279</v>
      </c>
      <c r="B24" s="224">
        <v>0.25</v>
      </c>
    </row>
    <row r="25" spans="1:2" ht="16">
      <c r="A25" s="223" t="s">
        <v>280</v>
      </c>
      <c r="B25" s="224">
        <v>0.1</v>
      </c>
    </row>
    <row r="26" spans="1:2" ht="16">
      <c r="A26" s="223" t="s">
        <v>281</v>
      </c>
      <c r="B26" s="224">
        <v>0.22</v>
      </c>
    </row>
    <row r="27" spans="1:2" ht="16">
      <c r="A27" s="223" t="s">
        <v>282</v>
      </c>
      <c r="B27" s="224">
        <v>0.34</v>
      </c>
    </row>
    <row r="28" spans="1:2" ht="16">
      <c r="A28" s="223" t="s">
        <v>578</v>
      </c>
      <c r="B28" s="224">
        <v>0.34</v>
      </c>
    </row>
    <row r="29" spans="1:2" ht="16">
      <c r="A29" s="226" t="s">
        <v>514</v>
      </c>
      <c r="B29" s="224">
        <v>0.185</v>
      </c>
    </row>
    <row r="30" spans="1:2" ht="16">
      <c r="A30" s="223" t="s">
        <v>283</v>
      </c>
      <c r="B30" s="224">
        <v>0.1</v>
      </c>
    </row>
    <row r="31" spans="1:2" ht="16">
      <c r="A31" s="223" t="s">
        <v>458</v>
      </c>
      <c r="B31" s="224">
        <v>0.28000000000000003</v>
      </c>
    </row>
    <row r="32" spans="1:2" ht="16">
      <c r="A32" s="223" t="s">
        <v>284</v>
      </c>
      <c r="B32" s="224">
        <v>0.2</v>
      </c>
    </row>
    <row r="33" spans="1:2" ht="16">
      <c r="A33" s="223" t="s">
        <v>446</v>
      </c>
      <c r="B33" s="224">
        <v>0.33</v>
      </c>
    </row>
    <row r="34" spans="1:2" ht="16">
      <c r="A34" s="223" t="s">
        <v>285</v>
      </c>
      <c r="B34" s="224">
        <v>0.26500000000000001</v>
      </c>
    </row>
    <row r="35" spans="1:2" ht="16">
      <c r="A35" s="223" t="s">
        <v>516</v>
      </c>
      <c r="B35" s="224">
        <v>0</v>
      </c>
    </row>
    <row r="36" spans="1:2" ht="16">
      <c r="A36" s="223" t="s">
        <v>286</v>
      </c>
      <c r="B36" s="224">
        <v>0</v>
      </c>
    </row>
    <row r="37" spans="1:2" ht="16">
      <c r="A37" s="223" t="s">
        <v>579</v>
      </c>
      <c r="B37" s="176">
        <v>0.24707349543413576</v>
      </c>
    </row>
    <row r="38" spans="1:2" ht="16">
      <c r="A38" s="223" t="s">
        <v>287</v>
      </c>
      <c r="B38" s="224">
        <v>0.27</v>
      </c>
    </row>
    <row r="39" spans="1:2" ht="16">
      <c r="A39" s="223" t="s">
        <v>288</v>
      </c>
      <c r="B39" s="224">
        <v>0.25</v>
      </c>
    </row>
    <row r="40" spans="1:2" ht="16">
      <c r="A40" s="223" t="s">
        <v>289</v>
      </c>
      <c r="B40" s="224">
        <v>0.35</v>
      </c>
    </row>
    <row r="41" spans="1:2" ht="16">
      <c r="A41" s="223" t="s">
        <v>518</v>
      </c>
      <c r="B41" s="224">
        <v>0.3</v>
      </c>
    </row>
    <row r="42" spans="1:2" ht="16">
      <c r="A42" s="223" t="s">
        <v>519</v>
      </c>
      <c r="B42" s="224">
        <v>0.28000000000000003</v>
      </c>
    </row>
    <row r="43" spans="1:2" ht="16">
      <c r="A43" s="223" t="s">
        <v>520</v>
      </c>
      <c r="B43" s="224">
        <v>0.2974</v>
      </c>
    </row>
    <row r="44" spans="1:2" ht="16">
      <c r="A44" s="223" t="s">
        <v>290</v>
      </c>
      <c r="B44" s="224">
        <v>0.3</v>
      </c>
    </row>
    <row r="45" spans="1:2" ht="16">
      <c r="A45" s="223" t="s">
        <v>291</v>
      </c>
      <c r="B45" s="224">
        <v>0.18</v>
      </c>
    </row>
    <row r="46" spans="1:2" ht="16">
      <c r="A46" s="223" t="s">
        <v>521</v>
      </c>
      <c r="B46" s="224">
        <v>0.2853</v>
      </c>
    </row>
    <row r="47" spans="1:2" ht="16">
      <c r="A47" s="227" t="s">
        <v>580</v>
      </c>
      <c r="B47" s="224">
        <v>0.22</v>
      </c>
    </row>
    <row r="48" spans="1:2" ht="16">
      <c r="A48" s="223" t="s">
        <v>292</v>
      </c>
      <c r="B48" s="224">
        <v>0.125</v>
      </c>
    </row>
    <row r="49" spans="1:2" ht="16">
      <c r="A49" s="223" t="s">
        <v>293</v>
      </c>
      <c r="B49" s="224">
        <v>0.19</v>
      </c>
    </row>
    <row r="50" spans="1:2" ht="16">
      <c r="A50" s="223" t="s">
        <v>294</v>
      </c>
      <c r="B50" s="224">
        <v>0.22</v>
      </c>
    </row>
    <row r="51" spans="1:2" ht="16">
      <c r="A51" s="223" t="s">
        <v>295</v>
      </c>
      <c r="B51" s="224">
        <v>0.27</v>
      </c>
    </row>
    <row r="52" spans="1:2" ht="16">
      <c r="A52" s="223" t="s">
        <v>296</v>
      </c>
      <c r="B52" s="224">
        <v>0.25</v>
      </c>
    </row>
    <row r="53" spans="1:2" ht="16">
      <c r="A53" s="223" t="s">
        <v>297</v>
      </c>
      <c r="B53" s="224">
        <v>0.22500000000000001</v>
      </c>
    </row>
    <row r="54" spans="1:2" ht="16">
      <c r="A54" s="223" t="s">
        <v>299</v>
      </c>
      <c r="B54" s="224">
        <v>0.3</v>
      </c>
    </row>
    <row r="55" spans="1:2" ht="16">
      <c r="A55" s="223" t="s">
        <v>298</v>
      </c>
      <c r="B55" s="224">
        <v>0.2</v>
      </c>
    </row>
    <row r="56" spans="1:2" ht="16">
      <c r="A56" s="223" t="s">
        <v>459</v>
      </c>
      <c r="B56" s="224">
        <v>0.3</v>
      </c>
    </row>
    <row r="57" spans="1:2" ht="16">
      <c r="A57" s="223" t="s">
        <v>581</v>
      </c>
      <c r="B57" s="176">
        <v>0.31595749426030023</v>
      </c>
    </row>
    <row r="58" spans="1:2" ht="16">
      <c r="A58" s="223" t="s">
        <v>300</v>
      </c>
      <c r="B58" s="224">
        <v>0.2</v>
      </c>
    </row>
    <row r="59" spans="1:2" ht="16">
      <c r="A59" s="223" t="s">
        <v>301</v>
      </c>
      <c r="B59" s="224">
        <v>0.2</v>
      </c>
    </row>
    <row r="60" spans="1:2" ht="16">
      <c r="A60" s="223" t="s">
        <v>302</v>
      </c>
      <c r="B60" s="224">
        <v>0.25</v>
      </c>
    </row>
    <row r="61" spans="1:2" ht="16">
      <c r="A61" s="223" t="s">
        <v>582</v>
      </c>
      <c r="B61" s="176">
        <v>0.31595749426030023</v>
      </c>
    </row>
    <row r="62" spans="1:2" ht="16">
      <c r="A62" s="223" t="s">
        <v>460</v>
      </c>
      <c r="B62" s="224">
        <v>0.3</v>
      </c>
    </row>
    <row r="63" spans="1:2" ht="16">
      <c r="A63" s="225" t="s">
        <v>461</v>
      </c>
      <c r="B63" s="224">
        <v>0.31</v>
      </c>
    </row>
    <row r="64" spans="1:2" ht="16">
      <c r="A64" s="223" t="s">
        <v>303</v>
      </c>
      <c r="B64" s="224">
        <v>0.15</v>
      </c>
    </row>
    <row r="65" spans="1:2" ht="16">
      <c r="A65" s="223" t="s">
        <v>304</v>
      </c>
      <c r="B65" s="224">
        <v>0.3</v>
      </c>
    </row>
    <row r="66" spans="1:2" ht="16">
      <c r="A66" s="223" t="s">
        <v>447</v>
      </c>
      <c r="B66" s="224">
        <v>0.25</v>
      </c>
    </row>
    <row r="67" spans="1:2" ht="16">
      <c r="A67" s="223" t="s">
        <v>305</v>
      </c>
      <c r="B67" s="176">
        <v>0.24707349543413576</v>
      </c>
    </row>
    <row r="68" spans="1:2" ht="16">
      <c r="A68" s="223" t="s">
        <v>306</v>
      </c>
      <c r="B68" s="224">
        <v>0.22</v>
      </c>
    </row>
    <row r="69" spans="1:2" ht="16">
      <c r="A69" s="223" t="s">
        <v>583</v>
      </c>
      <c r="B69" s="176">
        <v>0</v>
      </c>
    </row>
    <row r="70" spans="1:2" ht="16">
      <c r="A70" s="223" t="s">
        <v>307</v>
      </c>
      <c r="B70" s="224">
        <v>0.25</v>
      </c>
    </row>
    <row r="71" spans="1:2" ht="16">
      <c r="A71" s="223" t="s">
        <v>523</v>
      </c>
      <c r="B71" s="224">
        <v>0</v>
      </c>
    </row>
    <row r="72" spans="1:2" ht="16">
      <c r="A72" s="226" t="s">
        <v>524</v>
      </c>
      <c r="B72" s="224">
        <v>0.29149999999999998</v>
      </c>
    </row>
    <row r="73" spans="1:2" ht="16">
      <c r="A73" s="225" t="s">
        <v>525</v>
      </c>
      <c r="B73" s="224">
        <v>0.29149999999999998</v>
      </c>
    </row>
    <row r="74" spans="1:2" ht="16">
      <c r="A74" s="226" t="s">
        <v>526</v>
      </c>
      <c r="B74" s="224">
        <v>0.18640000000000001</v>
      </c>
    </row>
    <row r="75" spans="1:2" ht="16">
      <c r="A75" s="225" t="s">
        <v>527</v>
      </c>
      <c r="B75" s="224">
        <v>0.18640000000000001</v>
      </c>
    </row>
    <row r="76" spans="1:2" ht="16">
      <c r="A76" s="223" t="s">
        <v>308</v>
      </c>
      <c r="B76" s="224">
        <v>0.25</v>
      </c>
    </row>
    <row r="77" spans="1:2" ht="16">
      <c r="A77" s="223" t="s">
        <v>528</v>
      </c>
      <c r="B77" s="224">
        <v>0.16500000000000001</v>
      </c>
    </row>
    <row r="78" spans="1:2" ht="16">
      <c r="A78" s="223" t="s">
        <v>309</v>
      </c>
      <c r="B78" s="224">
        <v>0.09</v>
      </c>
    </row>
    <row r="79" spans="1:2" ht="16">
      <c r="A79" s="223" t="s">
        <v>310</v>
      </c>
      <c r="B79" s="224">
        <v>0.2</v>
      </c>
    </row>
    <row r="80" spans="1:2" ht="16">
      <c r="A80" s="223" t="s">
        <v>311</v>
      </c>
      <c r="B80" s="224">
        <v>0.3</v>
      </c>
    </row>
    <row r="81" spans="1:2" ht="16">
      <c r="A81" s="223" t="s">
        <v>312</v>
      </c>
      <c r="B81" s="224">
        <v>0.22</v>
      </c>
    </row>
    <row r="82" spans="1:2" ht="16">
      <c r="A82" s="226" t="s">
        <v>530</v>
      </c>
      <c r="B82" s="224">
        <v>0.20230000000000001</v>
      </c>
    </row>
    <row r="83" spans="1:2" ht="16">
      <c r="A83" s="223" t="s">
        <v>448</v>
      </c>
      <c r="B83" s="224">
        <v>0.15</v>
      </c>
    </row>
    <row r="84" spans="1:2" ht="16">
      <c r="A84" s="223" t="s">
        <v>313</v>
      </c>
      <c r="B84" s="224">
        <v>0.125</v>
      </c>
    </row>
    <row r="85" spans="1:2" ht="16">
      <c r="A85" s="223" t="s">
        <v>314</v>
      </c>
      <c r="B85" s="224">
        <v>0</v>
      </c>
    </row>
    <row r="86" spans="1:2" ht="16">
      <c r="A86" s="223" t="s">
        <v>315</v>
      </c>
      <c r="B86" s="224">
        <v>0.23</v>
      </c>
    </row>
    <row r="87" spans="1:2" ht="16">
      <c r="A87" s="223" t="s">
        <v>316</v>
      </c>
      <c r="B87" s="224">
        <v>0.24</v>
      </c>
    </row>
    <row r="88" spans="1:2" ht="16">
      <c r="A88" s="223" t="s">
        <v>462</v>
      </c>
      <c r="B88" s="224">
        <v>0.25</v>
      </c>
    </row>
    <row r="89" spans="1:2" ht="16">
      <c r="A89" s="223" t="s">
        <v>317</v>
      </c>
      <c r="B89" s="224">
        <v>0.25</v>
      </c>
    </row>
    <row r="90" spans="1:2" ht="16">
      <c r="A90" s="223" t="s">
        <v>318</v>
      </c>
      <c r="B90" s="224">
        <v>0.30620000000000003</v>
      </c>
    </row>
    <row r="91" spans="1:2" ht="16">
      <c r="A91" s="223" t="s">
        <v>531</v>
      </c>
      <c r="B91" s="224">
        <v>0</v>
      </c>
    </row>
    <row r="92" spans="1:2" ht="16">
      <c r="A92" s="223" t="s">
        <v>319</v>
      </c>
      <c r="B92" s="224">
        <v>0.2</v>
      </c>
    </row>
    <row r="93" spans="1:2" ht="16">
      <c r="A93" s="223" t="s">
        <v>320</v>
      </c>
      <c r="B93" s="224">
        <v>0.2</v>
      </c>
    </row>
    <row r="94" spans="1:2" ht="16">
      <c r="A94" s="223" t="s">
        <v>321</v>
      </c>
      <c r="B94" s="224">
        <v>0.3</v>
      </c>
    </row>
    <row r="95" spans="1:2" ht="16">
      <c r="A95" s="225" t="s">
        <v>532</v>
      </c>
      <c r="B95" s="224">
        <v>0.23100000000000001</v>
      </c>
    </row>
    <row r="96" spans="1:2" ht="16">
      <c r="A96" s="223" t="s">
        <v>322</v>
      </c>
      <c r="B96" s="224">
        <v>0.15</v>
      </c>
    </row>
    <row r="97" spans="1:2" ht="16">
      <c r="A97" s="223" t="s">
        <v>463</v>
      </c>
      <c r="B97" s="224">
        <v>0.1</v>
      </c>
    </row>
    <row r="98" spans="1:2" ht="16">
      <c r="A98" s="223" t="s">
        <v>533</v>
      </c>
      <c r="B98" s="224">
        <v>0.26860000000000001</v>
      </c>
    </row>
    <row r="99" spans="1:2" ht="16">
      <c r="A99" s="223" t="s">
        <v>323</v>
      </c>
      <c r="B99" s="224">
        <v>0.2</v>
      </c>
    </row>
    <row r="100" spans="1:2" ht="16">
      <c r="A100" s="223" t="s">
        <v>449</v>
      </c>
      <c r="B100" s="224">
        <v>0.17</v>
      </c>
    </row>
    <row r="101" spans="1:2" ht="16">
      <c r="A101" s="226" t="s">
        <v>534</v>
      </c>
      <c r="B101" s="224">
        <v>0.29149999999999998</v>
      </c>
    </row>
    <row r="102" spans="1:2" ht="16">
      <c r="A102" s="225" t="s">
        <v>324</v>
      </c>
      <c r="B102" s="224">
        <v>0.2</v>
      </c>
    </row>
    <row r="103" spans="1:2" ht="16">
      <c r="A103" s="223" t="s">
        <v>325</v>
      </c>
      <c r="B103" s="224">
        <v>0.125</v>
      </c>
    </row>
    <row r="104" spans="1:2" ht="16">
      <c r="A104" s="223" t="s">
        <v>326</v>
      </c>
      <c r="B104" s="224">
        <v>0.15</v>
      </c>
    </row>
    <row r="105" spans="1:2" ht="16">
      <c r="A105" s="223" t="s">
        <v>327</v>
      </c>
      <c r="B105" s="224">
        <v>0.24940000000000001</v>
      </c>
    </row>
    <row r="106" spans="1:2" ht="16">
      <c r="A106" s="223" t="s">
        <v>328</v>
      </c>
      <c r="B106" s="224">
        <v>0.26860000000000001</v>
      </c>
    </row>
    <row r="107" spans="1:2" ht="16">
      <c r="A107" s="223" t="s">
        <v>329</v>
      </c>
      <c r="B107" s="224">
        <v>0.1</v>
      </c>
    </row>
    <row r="108" spans="1:2" ht="16">
      <c r="A108" s="226" t="s">
        <v>464</v>
      </c>
      <c r="B108" s="224">
        <v>0.2</v>
      </c>
    </row>
    <row r="109" spans="1:2" ht="16">
      <c r="A109" s="225" t="s">
        <v>330</v>
      </c>
      <c r="B109" s="224">
        <v>0.3</v>
      </c>
    </row>
    <row r="110" spans="1:2" ht="16">
      <c r="A110" s="223" t="s">
        <v>331</v>
      </c>
      <c r="B110" s="224">
        <v>0.24</v>
      </c>
    </row>
    <row r="111" spans="1:2" ht="16">
      <c r="A111" s="223" t="s">
        <v>535</v>
      </c>
      <c r="B111" s="224">
        <v>0.26860000000000001</v>
      </c>
    </row>
    <row r="112" spans="1:2" ht="16">
      <c r="A112" s="223" t="s">
        <v>536</v>
      </c>
      <c r="B112" s="224">
        <v>0.26860000000000001</v>
      </c>
    </row>
    <row r="113" spans="1:2" ht="16">
      <c r="A113" s="223" t="s">
        <v>332</v>
      </c>
      <c r="B113" s="224">
        <v>0.35</v>
      </c>
    </row>
    <row r="114" spans="1:2" ht="16">
      <c r="A114" s="223" t="s">
        <v>584</v>
      </c>
      <c r="B114" s="176">
        <v>0</v>
      </c>
    </row>
    <row r="115" spans="1:2" ht="16">
      <c r="A115" s="223" t="s">
        <v>333</v>
      </c>
      <c r="B115" s="224">
        <v>0.15</v>
      </c>
    </row>
    <row r="116" spans="1:2" ht="16">
      <c r="A116" s="223" t="s">
        <v>334</v>
      </c>
      <c r="B116" s="224">
        <v>0.3</v>
      </c>
    </row>
    <row r="117" spans="1:2" ht="16">
      <c r="A117" s="223" t="s">
        <v>465</v>
      </c>
      <c r="B117" s="176">
        <v>0.24707349543413576</v>
      </c>
    </row>
    <row r="118" spans="1:2" ht="16">
      <c r="A118" s="223" t="s">
        <v>450</v>
      </c>
      <c r="B118" s="224">
        <v>0.12</v>
      </c>
    </row>
    <row r="119" spans="1:2" ht="16">
      <c r="A119" s="223" t="s">
        <v>466</v>
      </c>
      <c r="B119" s="224">
        <v>0.25</v>
      </c>
    </row>
    <row r="120" spans="1:2" ht="16">
      <c r="A120" s="223" t="s">
        <v>335</v>
      </c>
      <c r="B120" s="224">
        <v>0.15</v>
      </c>
    </row>
    <row r="121" spans="1:2" ht="16">
      <c r="A121" s="223" t="s">
        <v>537</v>
      </c>
      <c r="B121" s="224">
        <v>0.2853</v>
      </c>
    </row>
    <row r="122" spans="1:2" ht="16">
      <c r="A122" s="223" t="s">
        <v>451</v>
      </c>
      <c r="B122" s="224">
        <v>0.32</v>
      </c>
    </row>
    <row r="123" spans="1:2" ht="16">
      <c r="A123" s="223" t="s">
        <v>336</v>
      </c>
      <c r="B123" s="224">
        <v>0.32</v>
      </c>
    </row>
    <row r="124" spans="1:2" ht="16">
      <c r="A124" s="226" t="s">
        <v>467</v>
      </c>
      <c r="B124" s="224">
        <v>0.25</v>
      </c>
    </row>
    <row r="125" spans="1:2" ht="16">
      <c r="A125" s="223" t="s">
        <v>337</v>
      </c>
      <c r="B125" s="224">
        <v>0.32</v>
      </c>
    </row>
    <row r="126" spans="1:2" ht="16">
      <c r="A126" s="223" t="s">
        <v>338</v>
      </c>
      <c r="B126" s="224">
        <v>0.25800000000000001</v>
      </c>
    </row>
    <row r="127" spans="1:2" ht="16">
      <c r="A127" s="223" t="s">
        <v>585</v>
      </c>
      <c r="B127" s="176">
        <v>0.2724561140242252</v>
      </c>
    </row>
    <row r="128" spans="1:2" ht="16">
      <c r="A128" s="223" t="s">
        <v>339</v>
      </c>
      <c r="B128" s="224">
        <v>0.28000000000000003</v>
      </c>
    </row>
    <row r="129" spans="1:2" ht="16">
      <c r="A129" s="223" t="s">
        <v>468</v>
      </c>
      <c r="B129" s="224">
        <v>0.3</v>
      </c>
    </row>
    <row r="130" spans="1:2" ht="16">
      <c r="A130" s="223" t="s">
        <v>538</v>
      </c>
      <c r="B130" s="224">
        <v>0.26860000000000001</v>
      </c>
    </row>
    <row r="131" spans="1:2" ht="16">
      <c r="A131" s="223" t="s">
        <v>340</v>
      </c>
      <c r="B131" s="224">
        <v>0.3</v>
      </c>
    </row>
    <row r="132" spans="1:2" ht="16">
      <c r="A132" s="223" t="s">
        <v>341</v>
      </c>
      <c r="B132" s="224">
        <v>0.22</v>
      </c>
    </row>
    <row r="133" spans="1:2" ht="16">
      <c r="A133" s="223" t="s">
        <v>342</v>
      </c>
      <c r="B133" s="224">
        <v>0.15</v>
      </c>
    </row>
    <row r="134" spans="1:2" ht="16">
      <c r="A134" s="223" t="s">
        <v>343</v>
      </c>
      <c r="B134" s="224">
        <v>0.28999999999999998</v>
      </c>
    </row>
    <row r="135" spans="1:2" ht="16">
      <c r="A135" s="223" t="s">
        <v>586</v>
      </c>
      <c r="B135" s="176">
        <v>0.18760152153615242</v>
      </c>
    </row>
    <row r="136" spans="1:2" ht="16">
      <c r="A136" s="223" t="s">
        <v>344</v>
      </c>
      <c r="B136" s="224">
        <v>0.25</v>
      </c>
    </row>
    <row r="137" spans="1:2" ht="16">
      <c r="A137" s="223" t="s">
        <v>345</v>
      </c>
      <c r="B137" s="224">
        <v>0.3</v>
      </c>
    </row>
    <row r="138" spans="1:2" ht="16">
      <c r="A138" s="223" t="s">
        <v>346</v>
      </c>
      <c r="B138" s="224">
        <v>0.1</v>
      </c>
    </row>
    <row r="139" spans="1:2" ht="16">
      <c r="A139" s="223" t="s">
        <v>347</v>
      </c>
      <c r="B139" s="224">
        <v>0.29499999999999998</v>
      </c>
    </row>
    <row r="140" spans="1:2" ht="16">
      <c r="A140" s="223" t="s">
        <v>348</v>
      </c>
      <c r="B140" s="224">
        <v>0.25</v>
      </c>
    </row>
    <row r="141" spans="1:2" ht="16">
      <c r="A141" s="223" t="s">
        <v>349</v>
      </c>
      <c r="B141" s="224">
        <v>0.19</v>
      </c>
    </row>
    <row r="142" spans="1:2" ht="16">
      <c r="A142" s="223" t="s">
        <v>350</v>
      </c>
      <c r="B142" s="224">
        <v>0.21</v>
      </c>
    </row>
    <row r="143" spans="1:2" ht="16">
      <c r="A143" s="223" t="s">
        <v>351</v>
      </c>
      <c r="B143" s="224">
        <v>0.1</v>
      </c>
    </row>
    <row r="144" spans="1:2" ht="16">
      <c r="A144" s="223" t="s">
        <v>539</v>
      </c>
      <c r="B144" s="224">
        <v>0</v>
      </c>
    </row>
    <row r="145" spans="1:2" ht="16">
      <c r="A145" s="223" t="s">
        <v>587</v>
      </c>
      <c r="B145" s="176">
        <v>0.2576437502455447</v>
      </c>
    </row>
    <row r="146" spans="1:2" ht="16">
      <c r="A146" s="223" t="s">
        <v>352</v>
      </c>
      <c r="B146" s="224">
        <v>0.16</v>
      </c>
    </row>
    <row r="147" spans="1:2" ht="16">
      <c r="A147" s="223" t="s">
        <v>353</v>
      </c>
      <c r="B147" s="224">
        <v>0.25</v>
      </c>
    </row>
    <row r="148" spans="1:2" ht="16">
      <c r="A148" s="223" t="s">
        <v>469</v>
      </c>
      <c r="B148" s="224">
        <v>0.3</v>
      </c>
    </row>
    <row r="149" spans="1:2" ht="16">
      <c r="A149" s="223" t="s">
        <v>470</v>
      </c>
      <c r="B149" s="176">
        <v>0.2724561140242252</v>
      </c>
    </row>
    <row r="150" spans="1:2" ht="16">
      <c r="A150" s="223" t="s">
        <v>354</v>
      </c>
      <c r="B150" s="224">
        <v>0.2</v>
      </c>
    </row>
    <row r="151" spans="1:2" ht="16">
      <c r="A151" s="223" t="s">
        <v>471</v>
      </c>
      <c r="B151" s="224">
        <v>0.3</v>
      </c>
    </row>
    <row r="152" spans="1:2" ht="16">
      <c r="A152" s="223" t="s">
        <v>355</v>
      </c>
      <c r="B152" s="224">
        <v>0.15</v>
      </c>
    </row>
    <row r="153" spans="1:2" ht="16">
      <c r="A153" s="223" t="s">
        <v>540</v>
      </c>
      <c r="B153" s="224">
        <v>0</v>
      </c>
    </row>
    <row r="154" spans="1:2" ht="16">
      <c r="A154" s="225" t="s">
        <v>452</v>
      </c>
      <c r="B154" s="224">
        <v>0.3</v>
      </c>
    </row>
    <row r="155" spans="1:2" ht="16">
      <c r="A155" s="223" t="s">
        <v>356</v>
      </c>
      <c r="B155" s="224">
        <v>0.17</v>
      </c>
    </row>
    <row r="156" spans="1:2" ht="16">
      <c r="A156" s="223" t="s">
        <v>453</v>
      </c>
      <c r="B156" s="224">
        <v>0.21</v>
      </c>
    </row>
    <row r="157" spans="1:2" ht="16">
      <c r="A157" s="223" t="s">
        <v>357</v>
      </c>
      <c r="B157" s="224">
        <v>0.19</v>
      </c>
    </row>
    <row r="158" spans="1:2" ht="16">
      <c r="A158" s="223" t="s">
        <v>472</v>
      </c>
      <c r="B158" s="224">
        <v>0.3</v>
      </c>
    </row>
    <row r="159" spans="1:2" ht="16">
      <c r="A159" s="226" t="s">
        <v>541</v>
      </c>
      <c r="B159" s="224">
        <v>0.29149999999999998</v>
      </c>
    </row>
    <row r="160" spans="1:2" ht="16">
      <c r="A160" s="223" t="s">
        <v>358</v>
      </c>
      <c r="B160" s="224">
        <v>0.27</v>
      </c>
    </row>
    <row r="161" spans="1:2" ht="16">
      <c r="A161" s="223" t="s">
        <v>588</v>
      </c>
      <c r="B161" s="224">
        <v>0.25</v>
      </c>
    </row>
    <row r="162" spans="1:2" ht="16">
      <c r="A162" s="223" t="s">
        <v>359</v>
      </c>
      <c r="B162" s="224">
        <v>0.25</v>
      </c>
    </row>
    <row r="163" spans="1:2" ht="16">
      <c r="A163" s="223" t="s">
        <v>360</v>
      </c>
      <c r="B163" s="224">
        <v>0.24</v>
      </c>
    </row>
    <row r="164" spans="1:2" ht="16">
      <c r="A164" s="223" t="s">
        <v>542</v>
      </c>
      <c r="B164" s="224">
        <v>0.2853</v>
      </c>
    </row>
    <row r="165" spans="1:2" ht="16">
      <c r="A165" s="223" t="s">
        <v>543</v>
      </c>
      <c r="B165" s="224">
        <v>0.2853</v>
      </c>
    </row>
    <row r="166" spans="1:2" ht="16">
      <c r="A166" s="225" t="s">
        <v>361</v>
      </c>
      <c r="B166" s="224">
        <v>0.35</v>
      </c>
    </row>
    <row r="167" spans="1:2" ht="16">
      <c r="A167" s="223" t="s">
        <v>454</v>
      </c>
      <c r="B167" s="224">
        <v>0.36</v>
      </c>
    </row>
    <row r="168" spans="1:2" ht="16">
      <c r="A168" s="223" t="s">
        <v>473</v>
      </c>
      <c r="B168" s="224">
        <v>0.27500000000000002</v>
      </c>
    </row>
    <row r="169" spans="1:2" ht="16">
      <c r="A169" s="223" t="s">
        <v>362</v>
      </c>
      <c r="B169" s="224">
        <v>0.20600000000000002</v>
      </c>
    </row>
    <row r="170" spans="1:2" ht="16">
      <c r="A170" s="223" t="s">
        <v>363</v>
      </c>
      <c r="B170" s="224">
        <v>0.14599999999999999</v>
      </c>
    </row>
    <row r="171" spans="1:2" ht="16">
      <c r="A171" s="226" t="s">
        <v>364</v>
      </c>
      <c r="B171" s="224">
        <v>0.28000000000000003</v>
      </c>
    </row>
    <row r="172" spans="1:2" ht="16">
      <c r="A172" s="223" t="s">
        <v>365</v>
      </c>
      <c r="B172" s="224">
        <v>0.2</v>
      </c>
    </row>
    <row r="173" spans="1:2" ht="16">
      <c r="A173" s="223" t="s">
        <v>544</v>
      </c>
      <c r="B173" s="224">
        <v>0.18</v>
      </c>
    </row>
    <row r="174" spans="1:2" ht="16">
      <c r="A174" s="223" t="s">
        <v>366</v>
      </c>
      <c r="B174" s="224">
        <v>0.3</v>
      </c>
    </row>
    <row r="175" spans="1:2" ht="16">
      <c r="A175" s="223" t="s">
        <v>367</v>
      </c>
      <c r="B175" s="224">
        <v>0.2</v>
      </c>
    </row>
    <row r="176" spans="1:2" ht="16">
      <c r="A176" s="223" t="s">
        <v>545</v>
      </c>
      <c r="B176" s="224">
        <v>0.26860000000000001</v>
      </c>
    </row>
    <row r="177" spans="1:2" ht="16">
      <c r="A177" s="223" t="s">
        <v>589</v>
      </c>
      <c r="B177" s="224">
        <v>0.3</v>
      </c>
    </row>
    <row r="178" spans="1:2" ht="16">
      <c r="A178" s="223" t="s">
        <v>368</v>
      </c>
      <c r="B178" s="224">
        <v>0.15</v>
      </c>
    </row>
    <row r="179" spans="1:2" ht="16">
      <c r="A179" s="223" t="s">
        <v>369</v>
      </c>
      <c r="B179" s="224">
        <v>0.25</v>
      </c>
    </row>
    <row r="180" spans="1:2" ht="16">
      <c r="A180" s="228" t="s">
        <v>590</v>
      </c>
      <c r="B180" s="224">
        <v>0</v>
      </c>
    </row>
    <row r="181" spans="1:2" ht="16">
      <c r="A181" s="223" t="s">
        <v>370</v>
      </c>
      <c r="B181" s="224">
        <v>0.3</v>
      </c>
    </row>
    <row r="182" spans="1:2" ht="16">
      <c r="A182" s="223" t="s">
        <v>371</v>
      </c>
      <c r="B182" s="224">
        <v>0.18</v>
      </c>
    </row>
    <row r="183" spans="1:2" ht="16">
      <c r="A183" s="223" t="s">
        <v>372</v>
      </c>
      <c r="B183" s="224">
        <v>0.25</v>
      </c>
    </row>
    <row r="184" spans="1:2" ht="16">
      <c r="A184" s="223" t="s">
        <v>373</v>
      </c>
      <c r="B184" s="224">
        <v>0.25</v>
      </c>
    </row>
    <row r="185" spans="1:2" ht="16">
      <c r="A185" s="223" t="s">
        <v>374</v>
      </c>
      <c r="B185" s="224">
        <v>0.25</v>
      </c>
    </row>
    <row r="186" spans="1:2" ht="16">
      <c r="A186" s="223" t="s">
        <v>375</v>
      </c>
      <c r="B186" s="224">
        <v>0.25</v>
      </c>
    </row>
    <row r="187" spans="1:2" ht="16">
      <c r="A187" s="223" t="s">
        <v>474</v>
      </c>
      <c r="B187" s="224">
        <v>0.15</v>
      </c>
    </row>
    <row r="188" spans="1:2" ht="16">
      <c r="A188" s="223" t="s">
        <v>376</v>
      </c>
      <c r="B188" s="224">
        <v>0.34</v>
      </c>
    </row>
    <row r="189" spans="1:2" ht="16">
      <c r="A189" s="223" t="s">
        <v>377</v>
      </c>
      <c r="B189" s="224">
        <v>0.2</v>
      </c>
    </row>
    <row r="190" spans="1:2" ht="16">
      <c r="A190" s="225" t="s">
        <v>378</v>
      </c>
      <c r="B190" s="224">
        <v>0.2</v>
      </c>
    </row>
    <row r="191" spans="1:2" ht="16">
      <c r="A191" s="223" t="s">
        <v>379</v>
      </c>
      <c r="B191" s="224">
        <v>0.35</v>
      </c>
    </row>
    <row r="192" spans="1:2" ht="16">
      <c r="A192" s="226" t="s">
        <v>380</v>
      </c>
      <c r="B192" s="224">
        <v>0.25</v>
      </c>
    </row>
  </sheetData>
  <pageMargins left="0.75" right="0.75" top="1" bottom="1" header="0.5" footer="0.5"/>
  <pageSetup orientation="portrait" horizontalDpi="4294967292" verticalDpi="4294967292"/>
  <headerFooter alignWithMargins="0"/>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38"/>
  <sheetViews>
    <sheetView zoomScaleNormal="100" workbookViewId="0">
      <selection activeCell="E15" sqref="E15"/>
    </sheetView>
  </sheetViews>
  <sheetFormatPr baseColWidth="10" defaultRowHeight="14"/>
  <sheetData>
    <row r="1" spans="1:11" s="36" customFormat="1" ht="18">
      <c r="A1" s="61" t="s">
        <v>25</v>
      </c>
      <c r="B1" s="61"/>
      <c r="C1" s="61"/>
      <c r="D1" s="61"/>
      <c r="E1" s="61"/>
      <c r="F1" s="61"/>
      <c r="G1" s="61"/>
      <c r="H1" s="61"/>
      <c r="I1" s="61"/>
      <c r="J1" s="61"/>
      <c r="K1" s="61"/>
    </row>
    <row r="2" spans="1:11" s="1" customFormat="1" ht="16">
      <c r="A2" s="62" t="s">
        <v>26</v>
      </c>
      <c r="B2" s="63"/>
      <c r="C2" s="63"/>
      <c r="D2" s="63"/>
      <c r="E2" s="63"/>
      <c r="F2" s="63"/>
      <c r="G2" s="63"/>
      <c r="H2" s="63"/>
      <c r="I2" s="63"/>
      <c r="J2" s="64"/>
      <c r="K2" s="65"/>
    </row>
    <row r="3" spans="1:11" s="1" customFormat="1" ht="16">
      <c r="A3" s="66" t="s">
        <v>27</v>
      </c>
      <c r="B3" s="65"/>
      <c r="C3" s="65"/>
      <c r="D3" s="65"/>
      <c r="E3" s="65"/>
      <c r="F3" s="65"/>
      <c r="G3" s="65"/>
      <c r="H3" s="65"/>
      <c r="I3" s="65"/>
      <c r="J3" s="67"/>
      <c r="K3" s="65"/>
    </row>
    <row r="4" spans="1:11" s="71" customFormat="1" ht="16">
      <c r="A4" s="68" t="s">
        <v>28</v>
      </c>
      <c r="B4" s="69"/>
      <c r="C4" s="69"/>
      <c r="D4" s="69"/>
      <c r="E4" s="69"/>
      <c r="F4" s="69"/>
      <c r="G4" s="69"/>
      <c r="H4" s="69"/>
      <c r="I4" s="69"/>
      <c r="J4" s="70"/>
    </row>
    <row r="5" spans="1:11" s="36" customFormat="1" ht="18">
      <c r="A5" s="61"/>
      <c r="B5" s="61"/>
      <c r="C5" s="61"/>
      <c r="D5" s="61"/>
      <c r="E5" s="61"/>
      <c r="F5" s="61"/>
      <c r="G5" s="61"/>
      <c r="H5" s="61"/>
      <c r="I5" s="61"/>
      <c r="J5" s="61"/>
      <c r="K5" s="61"/>
    </row>
    <row r="6" spans="1:11" s="2" customFormat="1" ht="13">
      <c r="A6" s="2" t="s">
        <v>163</v>
      </c>
    </row>
    <row r="7" spans="1:11" s="3" customFormat="1" ht="13">
      <c r="A7" s="3" t="s">
        <v>29</v>
      </c>
      <c r="E7" s="72">
        <v>1264</v>
      </c>
    </row>
    <row r="8" spans="1:11" s="5" customFormat="1" ht="13">
      <c r="A8" s="5" t="s">
        <v>30</v>
      </c>
    </row>
    <row r="9" spans="1:11" s="3" customFormat="1" ht="13">
      <c r="A9" s="6" t="s">
        <v>31</v>
      </c>
      <c r="B9" s="6" t="s">
        <v>32</v>
      </c>
      <c r="C9" s="3" t="s">
        <v>33</v>
      </c>
    </row>
    <row r="10" spans="1:11" s="3" customFormat="1">
      <c r="A10" s="6">
        <v>1</v>
      </c>
      <c r="B10" s="73">
        <v>824</v>
      </c>
      <c r="D10"/>
    </row>
    <row r="11" spans="1:11" s="3" customFormat="1">
      <c r="A11" s="6">
        <v>2</v>
      </c>
      <c r="B11" s="73">
        <v>792</v>
      </c>
      <c r="D11"/>
    </row>
    <row r="12" spans="1:11" s="3" customFormat="1">
      <c r="A12" s="6">
        <v>3</v>
      </c>
      <c r="B12" s="73">
        <v>504</v>
      </c>
      <c r="D12"/>
    </row>
    <row r="13" spans="1:11" s="3" customFormat="1">
      <c r="A13" s="6">
        <v>4</v>
      </c>
      <c r="B13" s="73">
        <v>384</v>
      </c>
      <c r="D13"/>
    </row>
    <row r="14" spans="1:11" s="3" customFormat="1">
      <c r="A14" s="6">
        <v>5</v>
      </c>
      <c r="B14" s="73">
        <v>318</v>
      </c>
      <c r="D14"/>
    </row>
    <row r="15" spans="1:11" s="3" customFormat="1" ht="13">
      <c r="A15" s="6" t="s">
        <v>34</v>
      </c>
      <c r="B15" s="73">
        <v>2265</v>
      </c>
    </row>
    <row r="16" spans="1:11" s="3" customFormat="1" thickBot="1"/>
    <row r="17" spans="1:5" s="3" customFormat="1" thickBot="1">
      <c r="A17" s="3" t="s">
        <v>35</v>
      </c>
      <c r="C17" s="74">
        <f>IF(Inputs!B44="Yes",'Default Spreads and Ratios'!D10,Inputs!B17)</f>
        <v>5.7099999999999998E-2</v>
      </c>
      <c r="D17" s="3" t="s">
        <v>36</v>
      </c>
    </row>
    <row r="18" spans="1:5" s="3" customFormat="1" ht="13"/>
    <row r="19" spans="1:5" s="5" customFormat="1" ht="13">
      <c r="A19" s="5" t="s">
        <v>0</v>
      </c>
    </row>
    <row r="20" spans="1:5" s="3" customFormat="1" ht="13">
      <c r="A20" s="3" t="s">
        <v>1</v>
      </c>
      <c r="D20" s="106">
        <f>Inputs!B11-Inputs!B12</f>
        <v>9332</v>
      </c>
      <c r="E20" s="3" t="s">
        <v>2</v>
      </c>
    </row>
    <row r="21" spans="1:5" s="3" customFormat="1" ht="13">
      <c r="A21" s="3" t="s">
        <v>3</v>
      </c>
      <c r="D21" s="106">
        <f>Inputs!B14</f>
        <v>1973</v>
      </c>
    </row>
    <row r="22" spans="1:5" s="2" customFormat="1" ht="13">
      <c r="A22" s="2" t="s">
        <v>65</v>
      </c>
      <c r="D22" s="75"/>
    </row>
    <row r="23" spans="1:5" s="3" customFormat="1" ht="13">
      <c r="A23" s="3" t="s">
        <v>4</v>
      </c>
      <c r="D23" s="76">
        <f>ROUND(B15/AVERAGE(B10:B14),0)</f>
        <v>4</v>
      </c>
      <c r="E23" s="3" t="s">
        <v>5</v>
      </c>
    </row>
    <row r="24" spans="1:5" s="2" customFormat="1" ht="13">
      <c r="E24" s="3" t="s">
        <v>45</v>
      </c>
    </row>
    <row r="25" spans="1:5" s="5" customFormat="1" ht="13">
      <c r="A25" s="5" t="s">
        <v>46</v>
      </c>
    </row>
    <row r="26" spans="1:5" s="3" customFormat="1" ht="13">
      <c r="A26" s="6" t="s">
        <v>31</v>
      </c>
      <c r="B26" s="6" t="s">
        <v>32</v>
      </c>
      <c r="C26" s="6" t="s">
        <v>47</v>
      </c>
    </row>
    <row r="27" spans="1:5" s="3" customFormat="1" ht="13">
      <c r="A27" s="35">
        <f>A10</f>
        <v>1</v>
      </c>
      <c r="B27" s="77">
        <f>B10</f>
        <v>824</v>
      </c>
      <c r="C27" s="78">
        <f>B27/(1+$C$17)^A27</f>
        <v>779.49106044839664</v>
      </c>
    </row>
    <row r="28" spans="1:5" s="3" customFormat="1" ht="13">
      <c r="A28" s="35">
        <f t="shared" ref="A28:B31" si="0">A11</f>
        <v>2</v>
      </c>
      <c r="B28" s="77">
        <f t="shared" si="0"/>
        <v>792</v>
      </c>
      <c r="C28" s="78">
        <f>B28/(1+$C$17)^A28</f>
        <v>708.74994130664561</v>
      </c>
    </row>
    <row r="29" spans="1:5" s="3" customFormat="1" ht="13">
      <c r="A29" s="35">
        <f t="shared" si="0"/>
        <v>3</v>
      </c>
      <c r="B29" s="77">
        <f t="shared" si="0"/>
        <v>504</v>
      </c>
      <c r="C29" s="78">
        <f>B29/(1+$C$17)^A29</f>
        <v>426.66038210425779</v>
      </c>
    </row>
    <row r="30" spans="1:5" s="3" customFormat="1" ht="13">
      <c r="A30" s="35">
        <f t="shared" si="0"/>
        <v>4</v>
      </c>
      <c r="B30" s="77">
        <f t="shared" si="0"/>
        <v>384</v>
      </c>
      <c r="C30" s="78">
        <f>B30/(1+$C$17)^A30</f>
        <v>307.51544493552097</v>
      </c>
    </row>
    <row r="31" spans="1:5" s="3" customFormat="1" ht="13">
      <c r="A31" s="35">
        <f t="shared" si="0"/>
        <v>5</v>
      </c>
      <c r="B31" s="77">
        <f t="shared" si="0"/>
        <v>318</v>
      </c>
      <c r="C31" s="78">
        <f>B31/(1+$C$17)^A31</f>
        <v>240.90552250234447</v>
      </c>
    </row>
    <row r="32" spans="1:5" s="3" customFormat="1" thickBot="1">
      <c r="A32" s="45" t="str">
        <f>A15</f>
        <v>6 and beyond</v>
      </c>
      <c r="B32" s="79">
        <f>IF(B15&gt;0,IF(D23&gt;0,B15/D23,B15),0)</f>
        <v>566.25</v>
      </c>
      <c r="C32" s="80">
        <f>IF(D23&gt;0,(B32*(1-(1+C17)^(-D23))/C17)/(1+$C$17)^5,B15/(1+C17)^6)</f>
        <v>1496.3537035372688</v>
      </c>
      <c r="D32" s="3" t="s">
        <v>48</v>
      </c>
    </row>
    <row r="33" spans="1:6" s="3" customFormat="1" thickBot="1">
      <c r="A33" s="81" t="s">
        <v>49</v>
      </c>
      <c r="B33" s="81"/>
      <c r="C33" s="82">
        <f>SUM(C27:C32)</f>
        <v>3959.6760548344341</v>
      </c>
    </row>
    <row r="34" spans="1:6" s="3" customFormat="1" ht="13"/>
    <row r="35" spans="1:6" s="3" customFormat="1" thickBot="1">
      <c r="A35" s="5" t="s">
        <v>50</v>
      </c>
    </row>
    <row r="36" spans="1:6" s="3" customFormat="1" thickBot="1">
      <c r="A36" s="3" t="s">
        <v>51</v>
      </c>
      <c r="F36" s="82">
        <f>D20+E7-C33/(5+D23)</f>
        <v>10156.035993907286</v>
      </c>
    </row>
    <row r="37" spans="1:6" s="3" customFormat="1" thickBot="1">
      <c r="A37" s="3" t="s">
        <v>12</v>
      </c>
      <c r="F37" s="83">
        <f>D21+C33*C17</f>
        <v>2199.097502731046</v>
      </c>
    </row>
    <row r="38" spans="1:6">
      <c r="A38" s="3" t="s">
        <v>412</v>
      </c>
      <c r="F38" s="114">
        <f>Inputs!B12+'Operating leases'!C33/(5+'Operating leases'!D23)</f>
        <v>5808.964006092715</v>
      </c>
    </row>
  </sheetData>
  <phoneticPr fontId="20"/>
  <pageMargins left="0.75" right="0.75" top="1" bottom="1" header="0.5" footer="0.5"/>
  <pageSetup orientation="portrait" horizontalDpi="4294967292" verticalDpi="4294967292"/>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66"/>
  <sheetViews>
    <sheetView topLeftCell="A2" zoomScale="188" zoomScaleNormal="188" workbookViewId="0">
      <selection activeCell="A13" sqref="A13:D29"/>
    </sheetView>
  </sheetViews>
  <sheetFormatPr baseColWidth="10" defaultRowHeight="14"/>
  <sheetData>
    <row r="1" spans="1:11" ht="19" thickBot="1">
      <c r="A1" s="36" t="s">
        <v>189</v>
      </c>
    </row>
    <row r="2" spans="1:11" s="37" customFormat="1" ht="15" thickBot="1">
      <c r="A2" s="3" t="s">
        <v>62</v>
      </c>
      <c r="B2" s="3"/>
      <c r="C2" s="105">
        <f>Inputs!B42</f>
        <v>1</v>
      </c>
      <c r="D2" s="3" t="s">
        <v>595</v>
      </c>
      <c r="E2" s="3"/>
      <c r="F2" s="3"/>
      <c r="G2" s="3"/>
      <c r="H2" s="3"/>
      <c r="I2" s="3"/>
      <c r="J2" s="3"/>
    </row>
    <row r="3" spans="1:11" s="37" customFormat="1" ht="15" thickBot="1">
      <c r="A3" s="3" t="s">
        <v>140</v>
      </c>
      <c r="B3" s="3"/>
      <c r="C3" s="3"/>
      <c r="D3" s="3"/>
      <c r="E3" s="3"/>
      <c r="F3" s="103">
        <f>IF(Inputs!B28="Yes",'Operating leases'!F36,Inputs!B11-Inputs!B12)</f>
        <v>10156.035993907286</v>
      </c>
      <c r="G3" s="3" t="s">
        <v>63</v>
      </c>
      <c r="H3" s="3"/>
      <c r="I3" s="3"/>
      <c r="J3" s="3"/>
    </row>
    <row r="4" spans="1:11" s="37" customFormat="1" ht="15" thickBot="1">
      <c r="A4" s="3" t="s">
        <v>141</v>
      </c>
      <c r="B4" s="3"/>
      <c r="C4" s="3"/>
      <c r="D4" s="3"/>
      <c r="E4" s="3"/>
      <c r="F4" s="103">
        <f>IF(Inputs!B28="Yes",Inputs!B14+'Operating leases'!$C$33*'Operating leases'!$C$17,Inputs!B14)</f>
        <v>2199.097502731046</v>
      </c>
      <c r="G4" s="3" t="s">
        <v>64</v>
      </c>
      <c r="H4" s="3"/>
      <c r="I4" s="3"/>
      <c r="J4" s="3"/>
    </row>
    <row r="5" spans="1:11" s="37" customFormat="1" ht="15" thickBot="1">
      <c r="A5" s="3" t="s">
        <v>573</v>
      </c>
      <c r="B5" s="3"/>
      <c r="C5" s="3"/>
      <c r="D5" s="3"/>
      <c r="E5" s="3"/>
      <c r="F5" s="104">
        <f>Inputs!B37</f>
        <v>4.4999999999999998E-2</v>
      </c>
      <c r="G5" s="3"/>
      <c r="H5" s="3"/>
      <c r="I5" s="3"/>
      <c r="J5" s="3"/>
    </row>
    <row r="6" spans="1:11" s="37" customFormat="1" ht="15" thickBot="1">
      <c r="A6" s="2" t="s">
        <v>65</v>
      </c>
      <c r="B6" s="3"/>
      <c r="C6" s="3"/>
      <c r="D6" s="3"/>
      <c r="E6" s="3"/>
      <c r="F6" s="3"/>
      <c r="G6" s="3"/>
      <c r="H6" s="3"/>
      <c r="I6" s="3"/>
      <c r="J6" s="3"/>
    </row>
    <row r="7" spans="1:11" s="37" customFormat="1" ht="15" thickBot="1">
      <c r="A7" s="3" t="s">
        <v>66</v>
      </c>
      <c r="B7" s="3"/>
      <c r="C7" s="3"/>
      <c r="D7" s="38">
        <f>IF(F4&gt;0,F3/F4,10000000)</f>
        <v>4.6182745336641808</v>
      </c>
      <c r="E7" s="3"/>
      <c r="F7" s="3"/>
      <c r="G7" s="3"/>
      <c r="H7" s="3"/>
      <c r="I7" s="3"/>
      <c r="J7" s="3"/>
    </row>
    <row r="8" spans="1:11" s="37" customFormat="1" ht="15" thickBot="1">
      <c r="A8" s="3" t="s">
        <v>67</v>
      </c>
      <c r="D8" s="39" t="str">
        <f>IF(C2=1,VLOOKUP(D7,A15:D29,3),(IF(C2=2,VLOOKUP(D7,A34:D48,3),VLOOKUP(D7,A52:D66,3))))</f>
        <v>A2/A</v>
      </c>
    </row>
    <row r="9" spans="1:11" s="37" customFormat="1" ht="15" thickBot="1">
      <c r="A9" s="3" t="s">
        <v>142</v>
      </c>
      <c r="D9" s="40">
        <f>IF(C2=1,VLOOKUP(D7,A15:D29,4),(IF(C2=2,VLOOKUP(D7,A34:D48,4),VLOOKUP(D7,A52:D66,4))))+Inputs!B39</f>
        <v>1.0699999999999999E-2</v>
      </c>
    </row>
    <row r="10" spans="1:11" s="3" customFormat="1" thickBot="1">
      <c r="A10" s="3" t="s">
        <v>143</v>
      </c>
      <c r="D10" s="41">
        <f>F5+D9</f>
        <v>5.57E-2</v>
      </c>
    </row>
    <row r="11" spans="1:11" s="3" customFormat="1" ht="13">
      <c r="D11" s="24"/>
    </row>
    <row r="12" spans="1:11" s="37" customFormat="1">
      <c r="A12" s="2" t="s">
        <v>596</v>
      </c>
      <c r="B12" s="2"/>
      <c r="C12" s="2"/>
      <c r="D12"/>
      <c r="H12"/>
      <c r="I12"/>
      <c r="J12"/>
      <c r="K12"/>
    </row>
    <row r="13" spans="1:11" s="37" customFormat="1">
      <c r="A13" s="42" t="s">
        <v>13</v>
      </c>
      <c r="B13" s="84"/>
      <c r="C13" s="85"/>
      <c r="D13" s="85"/>
      <c r="E13" s="3"/>
      <c r="H13"/>
      <c r="I13"/>
      <c r="J13"/>
      <c r="K13"/>
    </row>
    <row r="14" spans="1:11" s="37" customFormat="1">
      <c r="A14" s="51" t="s">
        <v>14</v>
      </c>
      <c r="B14" s="86" t="s">
        <v>44</v>
      </c>
      <c r="C14" s="86" t="s">
        <v>61</v>
      </c>
      <c r="D14" s="86" t="s">
        <v>193</v>
      </c>
      <c r="E14" s="43" t="s">
        <v>231</v>
      </c>
      <c r="G14" s="87" t="s">
        <v>61</v>
      </c>
      <c r="H14" s="87" t="s">
        <v>193</v>
      </c>
      <c r="I14"/>
      <c r="J14"/>
      <c r="K14"/>
    </row>
    <row r="15" spans="1:11" s="37" customFormat="1">
      <c r="A15" s="31">
        <v>-100000</v>
      </c>
      <c r="B15" s="87">
        <v>0.19999900000000001</v>
      </c>
      <c r="C15" s="95" t="s">
        <v>259</v>
      </c>
      <c r="D15" s="139">
        <v>0.2</v>
      </c>
      <c r="E15" s="33">
        <v>-0.5</v>
      </c>
      <c r="G15" s="95" t="s">
        <v>405</v>
      </c>
      <c r="H15" s="139">
        <v>9.1999999999999998E-3</v>
      </c>
      <c r="I15"/>
      <c r="J15"/>
      <c r="K15"/>
    </row>
    <row r="16" spans="1:11" s="37" customFormat="1">
      <c r="A16" s="31">
        <v>0.2</v>
      </c>
      <c r="B16" s="87">
        <v>0.64999899999999999</v>
      </c>
      <c r="C16" s="95" t="s">
        <v>258</v>
      </c>
      <c r="D16" s="139">
        <v>0.17</v>
      </c>
      <c r="E16" s="33">
        <v>-0.4</v>
      </c>
      <c r="G16" s="95" t="s">
        <v>248</v>
      </c>
      <c r="H16" s="139">
        <v>1.0699999999999999E-2</v>
      </c>
      <c r="I16"/>
      <c r="J16"/>
      <c r="K16"/>
    </row>
    <row r="17" spans="1:11" s="37" customFormat="1">
      <c r="A17" s="31">
        <v>0.65</v>
      </c>
      <c r="B17" s="87">
        <v>0.79999900000000002</v>
      </c>
      <c r="C17" s="95" t="s">
        <v>257</v>
      </c>
      <c r="D17" s="139">
        <v>0.1178</v>
      </c>
      <c r="E17" s="33">
        <v>-0.4</v>
      </c>
      <c r="G17" s="95" t="s">
        <v>249</v>
      </c>
      <c r="H17" s="139">
        <v>1.21E-2</v>
      </c>
      <c r="I17"/>
      <c r="J17"/>
      <c r="K17"/>
    </row>
    <row r="18" spans="1:11" s="37" customFormat="1">
      <c r="A18" s="31">
        <v>0.8</v>
      </c>
      <c r="B18" s="87">
        <v>1.2499990000000001</v>
      </c>
      <c r="C18" s="95" t="s">
        <v>256</v>
      </c>
      <c r="D18" s="139">
        <v>8.5099999999999995E-2</v>
      </c>
      <c r="E18" s="33">
        <v>-0.4</v>
      </c>
      <c r="G18" s="95" t="s">
        <v>247</v>
      </c>
      <c r="H18" s="139">
        <v>7.0000000000000001E-3</v>
      </c>
      <c r="I18"/>
      <c r="J18"/>
      <c r="K18"/>
    </row>
    <row r="19" spans="1:11" s="37" customFormat="1">
      <c r="A19" s="31">
        <v>1.25</v>
      </c>
      <c r="B19" s="87">
        <v>1.4999990000000001</v>
      </c>
      <c r="C19" s="95" t="s">
        <v>255</v>
      </c>
      <c r="D19" s="139">
        <v>5.2400000000000002E-2</v>
      </c>
      <c r="E19" s="33">
        <v>-0.25</v>
      </c>
      <c r="G19" s="95" t="s">
        <v>246</v>
      </c>
      <c r="H19" s="139">
        <v>5.8999999999999999E-3</v>
      </c>
      <c r="I19"/>
      <c r="J19"/>
      <c r="K19"/>
    </row>
    <row r="20" spans="1:11" s="37" customFormat="1">
      <c r="A20" s="31">
        <v>1.5</v>
      </c>
      <c r="B20" s="87">
        <v>1.7499990000000001</v>
      </c>
      <c r="C20" s="95" t="s">
        <v>254</v>
      </c>
      <c r="D20" s="139">
        <v>3.61E-2</v>
      </c>
      <c r="E20" s="33">
        <v>-0.2</v>
      </c>
      <c r="G20" s="95" t="s">
        <v>253</v>
      </c>
      <c r="H20" s="139">
        <v>3.1399999999999997E-2</v>
      </c>
      <c r="I20"/>
      <c r="J20"/>
      <c r="K20"/>
    </row>
    <row r="21" spans="1:11" s="37" customFormat="1">
      <c r="A21" s="31">
        <v>1.75</v>
      </c>
      <c r="B21" s="87">
        <v>1.9999990000000001</v>
      </c>
      <c r="C21" s="95" t="s">
        <v>253</v>
      </c>
      <c r="D21" s="139">
        <v>3.1399999999999997E-2</v>
      </c>
      <c r="E21" s="33">
        <v>-0.2</v>
      </c>
      <c r="G21" s="95" t="s">
        <v>254</v>
      </c>
      <c r="H21" s="139">
        <v>3.61E-2</v>
      </c>
      <c r="I21"/>
      <c r="J21"/>
      <c r="K21"/>
    </row>
    <row r="22" spans="1:11" s="37" customFormat="1">
      <c r="A22" s="31">
        <v>2</v>
      </c>
      <c r="B22" s="87">
        <v>2.2499999000000002</v>
      </c>
      <c r="C22" s="95" t="s">
        <v>252</v>
      </c>
      <c r="D22" s="139">
        <v>2.2100000000000002E-2</v>
      </c>
      <c r="E22" s="33">
        <v>-0.2</v>
      </c>
      <c r="G22" s="95" t="s">
        <v>255</v>
      </c>
      <c r="H22" s="139">
        <v>5.2400000000000002E-2</v>
      </c>
      <c r="I22"/>
      <c r="J22"/>
      <c r="K22"/>
    </row>
    <row r="23" spans="1:11" s="37" customFormat="1">
      <c r="A23" s="31">
        <v>2.25</v>
      </c>
      <c r="B23" s="87">
        <v>2.4999899999999999</v>
      </c>
      <c r="C23" s="95" t="s">
        <v>251</v>
      </c>
      <c r="D23" s="139">
        <v>1.7399999999999999E-2</v>
      </c>
      <c r="E23" s="33">
        <v>-0.2</v>
      </c>
      <c r="G23" s="95" t="s">
        <v>251</v>
      </c>
      <c r="H23" s="139">
        <v>1.7399999999999999E-2</v>
      </c>
      <c r="I23"/>
      <c r="J23"/>
      <c r="K23"/>
    </row>
    <row r="24" spans="1:11" s="37" customFormat="1">
      <c r="A24" s="31">
        <v>2.5</v>
      </c>
      <c r="B24" s="87">
        <v>2.9999989999999999</v>
      </c>
      <c r="C24" s="95" t="s">
        <v>250</v>
      </c>
      <c r="D24" s="139">
        <v>1.47E-2</v>
      </c>
      <c r="E24" s="33">
        <v>-0.1</v>
      </c>
      <c r="G24" s="95" t="s">
        <v>252</v>
      </c>
      <c r="H24" s="139">
        <v>2.2100000000000002E-2</v>
      </c>
      <c r="I24"/>
      <c r="J24"/>
      <c r="K24"/>
    </row>
    <row r="25" spans="1:11" s="37" customFormat="1">
      <c r="A25" s="31">
        <v>3</v>
      </c>
      <c r="B25" s="87">
        <v>4.2499989999999999</v>
      </c>
      <c r="C25" s="95" t="s">
        <v>249</v>
      </c>
      <c r="D25" s="139">
        <v>1.21E-2</v>
      </c>
      <c r="E25" s="33">
        <v>-0.02</v>
      </c>
      <c r="G25" s="95" t="s">
        <v>250</v>
      </c>
      <c r="H25" s="139">
        <v>1.47E-2</v>
      </c>
      <c r="I25"/>
      <c r="J25"/>
      <c r="K25"/>
    </row>
    <row r="26" spans="1:11" s="37" customFormat="1">
      <c r="A26" s="31">
        <v>4.25</v>
      </c>
      <c r="B26" s="87">
        <v>5.4999989999999999</v>
      </c>
      <c r="C26" s="95" t="s">
        <v>248</v>
      </c>
      <c r="D26" s="139">
        <v>1.0699999999999999E-2</v>
      </c>
      <c r="E26" s="33">
        <v>0</v>
      </c>
      <c r="G26" s="95" t="s">
        <v>258</v>
      </c>
      <c r="H26" s="139">
        <v>0.17</v>
      </c>
      <c r="I26"/>
      <c r="J26"/>
      <c r="K26"/>
    </row>
    <row r="27" spans="1:11" s="37" customFormat="1">
      <c r="A27" s="31">
        <v>5.5</v>
      </c>
      <c r="B27" s="87">
        <v>6.4999989999999999</v>
      </c>
      <c r="C27" s="95" t="s">
        <v>405</v>
      </c>
      <c r="D27" s="139">
        <v>9.1999999999999998E-3</v>
      </c>
      <c r="E27" s="33">
        <v>0</v>
      </c>
      <c r="G27" s="95" t="s">
        <v>257</v>
      </c>
      <c r="H27" s="139">
        <v>0.1178</v>
      </c>
      <c r="I27"/>
      <c r="J27"/>
      <c r="K27"/>
    </row>
    <row r="28" spans="1:11" s="37" customFormat="1">
      <c r="A28" s="31">
        <v>6.5</v>
      </c>
      <c r="B28" s="87">
        <v>8.4999990000000007</v>
      </c>
      <c r="C28" s="95" t="s">
        <v>247</v>
      </c>
      <c r="D28" s="139">
        <v>7.0000000000000001E-3</v>
      </c>
      <c r="E28" s="33">
        <v>0</v>
      </c>
      <c r="G28" s="95" t="s">
        <v>256</v>
      </c>
      <c r="H28" s="139">
        <v>8.5099999999999995E-2</v>
      </c>
      <c r="I28"/>
      <c r="J28"/>
      <c r="K28"/>
    </row>
    <row r="29" spans="1:11" s="37" customFormat="1">
      <c r="A29" s="88">
        <v>8.5</v>
      </c>
      <c r="B29" s="87">
        <v>100000</v>
      </c>
      <c r="C29" s="95" t="s">
        <v>246</v>
      </c>
      <c r="D29" s="139">
        <v>5.8999999999999999E-3</v>
      </c>
      <c r="E29" s="33">
        <v>0</v>
      </c>
      <c r="G29" s="95" t="s">
        <v>259</v>
      </c>
      <c r="H29" s="139">
        <v>0.2</v>
      </c>
      <c r="I29"/>
      <c r="J29"/>
      <c r="K29"/>
    </row>
    <row r="30" spans="1:11" s="37" customFormat="1">
      <c r="H30"/>
      <c r="I30"/>
      <c r="J30"/>
      <c r="K30"/>
    </row>
    <row r="31" spans="1:11" s="37" customFormat="1">
      <c r="A31" s="2" t="s">
        <v>597</v>
      </c>
      <c r="B31" s="2"/>
      <c r="C31"/>
      <c r="D31"/>
      <c r="H31"/>
      <c r="I31"/>
      <c r="J31"/>
      <c r="K31"/>
    </row>
    <row r="32" spans="1:11" s="37" customFormat="1">
      <c r="A32" s="42" t="s">
        <v>13</v>
      </c>
      <c r="B32" s="89"/>
      <c r="C32" s="90"/>
      <c r="D32" s="90"/>
      <c r="H32"/>
      <c r="I32"/>
      <c r="J32"/>
      <c r="K32"/>
    </row>
    <row r="33" spans="1:11" s="37" customFormat="1">
      <c r="A33" s="31" t="s">
        <v>43</v>
      </c>
      <c r="B33" s="87" t="s">
        <v>44</v>
      </c>
      <c r="C33" s="87" t="s">
        <v>61</v>
      </c>
      <c r="D33" s="87" t="s">
        <v>193</v>
      </c>
      <c r="E33" s="43" t="s">
        <v>231</v>
      </c>
      <c r="H33"/>
      <c r="I33"/>
      <c r="J33"/>
      <c r="K33"/>
    </row>
    <row r="34" spans="1:11" s="37" customFormat="1">
      <c r="A34" s="31">
        <v>-100000</v>
      </c>
      <c r="B34" s="87">
        <v>0.49999900000000003</v>
      </c>
      <c r="C34" s="95" t="s">
        <v>259</v>
      </c>
      <c r="D34" s="139">
        <v>0.2</v>
      </c>
      <c r="E34" s="33">
        <f>E15</f>
        <v>-0.5</v>
      </c>
      <c r="H34"/>
      <c r="I34"/>
      <c r="J34"/>
      <c r="K34"/>
    </row>
    <row r="35" spans="1:11" s="37" customFormat="1">
      <c r="A35" s="31">
        <v>0.5</v>
      </c>
      <c r="B35" s="87">
        <v>0.79999900000000002</v>
      </c>
      <c r="C35" s="95" t="s">
        <v>258</v>
      </c>
      <c r="D35" s="139">
        <v>0.17</v>
      </c>
      <c r="E35" s="33">
        <f t="shared" ref="E35:E48" si="0">E16</f>
        <v>-0.4</v>
      </c>
      <c r="H35"/>
      <c r="I35"/>
      <c r="J35"/>
      <c r="K35"/>
    </row>
    <row r="36" spans="1:11" s="37" customFormat="1">
      <c r="A36" s="31">
        <v>0.8</v>
      </c>
      <c r="B36" s="87">
        <v>1.2499990000000001</v>
      </c>
      <c r="C36" s="95" t="s">
        <v>257</v>
      </c>
      <c r="D36" s="139">
        <v>0.1178</v>
      </c>
      <c r="E36" s="33">
        <f t="shared" si="0"/>
        <v>-0.4</v>
      </c>
      <c r="H36"/>
      <c r="I36"/>
      <c r="J36"/>
      <c r="K36"/>
    </row>
    <row r="37" spans="1:11" s="37" customFormat="1">
      <c r="A37" s="31">
        <v>1.25</v>
      </c>
      <c r="B37" s="87">
        <v>1.4999990000000001</v>
      </c>
      <c r="C37" s="95" t="s">
        <v>256</v>
      </c>
      <c r="D37" s="139">
        <v>8.5099999999999995E-2</v>
      </c>
      <c r="E37" s="33">
        <f t="shared" si="0"/>
        <v>-0.4</v>
      </c>
      <c r="H37"/>
      <c r="I37"/>
      <c r="J37"/>
      <c r="K37"/>
    </row>
    <row r="38" spans="1:11" s="37" customFormat="1">
      <c r="A38" s="31">
        <v>1.5</v>
      </c>
      <c r="B38" s="87">
        <v>1.9999990000000001</v>
      </c>
      <c r="C38" s="95" t="s">
        <v>255</v>
      </c>
      <c r="D38" s="139">
        <v>5.2400000000000002E-2</v>
      </c>
      <c r="E38" s="33">
        <f t="shared" si="0"/>
        <v>-0.25</v>
      </c>
      <c r="H38"/>
      <c r="I38"/>
      <c r="J38"/>
      <c r="K38"/>
    </row>
    <row r="39" spans="1:11" s="37" customFormat="1">
      <c r="A39" s="31">
        <v>2</v>
      </c>
      <c r="B39" s="87">
        <v>2.4999989999999999</v>
      </c>
      <c r="C39" s="95" t="s">
        <v>254</v>
      </c>
      <c r="D39" s="139">
        <v>3.61E-2</v>
      </c>
      <c r="E39" s="33">
        <f t="shared" si="0"/>
        <v>-0.2</v>
      </c>
      <c r="H39"/>
      <c r="I39"/>
      <c r="J39"/>
      <c r="K39"/>
    </row>
    <row r="40" spans="1:11" s="37" customFormat="1">
      <c r="A40" s="31">
        <v>2.5</v>
      </c>
      <c r="B40" s="87">
        <v>2.9999989999999999</v>
      </c>
      <c r="C40" s="95" t="s">
        <v>253</v>
      </c>
      <c r="D40" s="139">
        <v>3.1399999999999997E-2</v>
      </c>
      <c r="E40" s="33">
        <f t="shared" si="0"/>
        <v>-0.2</v>
      </c>
      <c r="H40"/>
      <c r="I40"/>
      <c r="J40"/>
      <c r="K40"/>
    </row>
    <row r="41" spans="1:11" s="37" customFormat="1">
      <c r="A41" s="31">
        <v>3</v>
      </c>
      <c r="B41" s="87">
        <v>3.4999989999999999</v>
      </c>
      <c r="C41" s="95" t="s">
        <v>252</v>
      </c>
      <c r="D41" s="139">
        <v>2.2100000000000002E-2</v>
      </c>
      <c r="E41" s="33">
        <f t="shared" si="0"/>
        <v>-0.2</v>
      </c>
      <c r="H41"/>
      <c r="I41"/>
      <c r="J41"/>
      <c r="K41"/>
    </row>
    <row r="42" spans="1:11" s="37" customFormat="1">
      <c r="A42" s="31">
        <v>3.5</v>
      </c>
      <c r="B42" s="87">
        <v>3.9999999000000002</v>
      </c>
      <c r="C42" s="95" t="s">
        <v>251</v>
      </c>
      <c r="D42" s="139">
        <v>1.7399999999999999E-2</v>
      </c>
      <c r="E42" s="33">
        <f t="shared" si="0"/>
        <v>-0.2</v>
      </c>
      <c r="H42"/>
      <c r="I42"/>
      <c r="J42"/>
      <c r="K42"/>
    </row>
    <row r="43" spans="1:11" s="37" customFormat="1">
      <c r="A43" s="31">
        <v>4</v>
      </c>
      <c r="B43" s="87">
        <v>4.4999989999999999</v>
      </c>
      <c r="C43" s="95" t="s">
        <v>250</v>
      </c>
      <c r="D43" s="139">
        <v>1.47E-2</v>
      </c>
      <c r="E43" s="33">
        <f t="shared" si="0"/>
        <v>-0.1</v>
      </c>
      <c r="H43"/>
      <c r="I43"/>
      <c r="J43"/>
      <c r="K43"/>
    </row>
    <row r="44" spans="1:11" s="37" customFormat="1">
      <c r="A44" s="31">
        <v>4.5</v>
      </c>
      <c r="B44" s="87">
        <v>5.9999989999999999</v>
      </c>
      <c r="C44" s="95" t="s">
        <v>249</v>
      </c>
      <c r="D44" s="139">
        <v>1.21E-2</v>
      </c>
      <c r="E44" s="33">
        <f t="shared" si="0"/>
        <v>-0.02</v>
      </c>
      <c r="H44"/>
      <c r="I44"/>
      <c r="J44"/>
      <c r="K44"/>
    </row>
    <row r="45" spans="1:11" s="37" customFormat="1">
      <c r="A45" s="31">
        <v>6</v>
      </c>
      <c r="B45" s="87">
        <v>7.4999989999999999</v>
      </c>
      <c r="C45" s="95" t="s">
        <v>248</v>
      </c>
      <c r="D45" s="139">
        <v>1.0699999999999999E-2</v>
      </c>
      <c r="E45" s="33">
        <f t="shared" si="0"/>
        <v>0</v>
      </c>
      <c r="H45"/>
      <c r="I45"/>
      <c r="J45"/>
      <c r="K45"/>
    </row>
    <row r="46" spans="1:11" s="37" customFormat="1">
      <c r="A46" s="31">
        <v>7.5</v>
      </c>
      <c r="B46" s="87">
        <v>9.4999990000000007</v>
      </c>
      <c r="C46" s="95" t="s">
        <v>405</v>
      </c>
      <c r="D46" s="139">
        <v>9.1999999999999998E-3</v>
      </c>
      <c r="E46" s="33">
        <f t="shared" si="0"/>
        <v>0</v>
      </c>
      <c r="H46"/>
      <c r="I46"/>
      <c r="J46"/>
      <c r="K46"/>
    </row>
    <row r="47" spans="1:11">
      <c r="A47" s="31">
        <v>9.5</v>
      </c>
      <c r="B47" s="87">
        <v>12.499999000000001</v>
      </c>
      <c r="C47" s="95" t="s">
        <v>247</v>
      </c>
      <c r="D47" s="139">
        <v>7.0000000000000001E-3</v>
      </c>
      <c r="E47" s="33">
        <f t="shared" si="0"/>
        <v>0</v>
      </c>
    </row>
    <row r="48" spans="1:11">
      <c r="A48" s="31">
        <v>12.5</v>
      </c>
      <c r="B48" s="87">
        <v>100000</v>
      </c>
      <c r="C48" s="95" t="s">
        <v>246</v>
      </c>
      <c r="D48" s="139">
        <v>5.8999999999999999E-3</v>
      </c>
      <c r="E48" s="33">
        <f t="shared" si="0"/>
        <v>0</v>
      </c>
    </row>
    <row r="50" spans="1:5">
      <c r="A50" s="37" t="s">
        <v>571</v>
      </c>
    </row>
    <row r="51" spans="1:5">
      <c r="A51" s="31" t="s">
        <v>43</v>
      </c>
      <c r="B51" s="87" t="s">
        <v>44</v>
      </c>
      <c r="C51" s="87" t="s">
        <v>61</v>
      </c>
      <c r="D51" s="87" t="s">
        <v>193</v>
      </c>
      <c r="E51" s="203" t="s">
        <v>231</v>
      </c>
    </row>
    <row r="52" spans="1:5">
      <c r="A52" s="31">
        <v>-100000</v>
      </c>
      <c r="B52" s="87">
        <v>0.19999900000000001</v>
      </c>
      <c r="C52" s="95" t="s">
        <v>259</v>
      </c>
      <c r="D52" s="139">
        <v>0.2</v>
      </c>
      <c r="E52" s="33">
        <v>-0.5</v>
      </c>
    </row>
    <row r="53" spans="1:5">
      <c r="A53" s="31">
        <v>0.2</v>
      </c>
      <c r="B53" s="87">
        <v>0.49999900000000003</v>
      </c>
      <c r="C53" s="95" t="s">
        <v>258</v>
      </c>
      <c r="D53" s="139">
        <v>0.17</v>
      </c>
      <c r="E53" s="33">
        <v>-0.4</v>
      </c>
    </row>
    <row r="54" spans="1:5">
      <c r="A54" s="31">
        <v>0.5</v>
      </c>
      <c r="B54" s="87">
        <v>0.74999899999999997</v>
      </c>
      <c r="C54" s="95" t="s">
        <v>257</v>
      </c>
      <c r="D54" s="139">
        <v>0.1178</v>
      </c>
      <c r="E54" s="33">
        <v>-0.4</v>
      </c>
    </row>
    <row r="55" spans="1:5">
      <c r="A55" s="31">
        <v>0.75</v>
      </c>
      <c r="B55" s="87">
        <v>0.99999899999999997</v>
      </c>
      <c r="C55" s="95" t="s">
        <v>256</v>
      </c>
      <c r="D55" s="139">
        <v>8.5099999999999995E-2</v>
      </c>
      <c r="E55" s="33">
        <v>-0.4</v>
      </c>
    </row>
    <row r="56" spans="1:5">
      <c r="A56" s="31">
        <v>1</v>
      </c>
      <c r="B56" s="87">
        <v>1.199999</v>
      </c>
      <c r="C56" s="95" t="s">
        <v>255</v>
      </c>
      <c r="D56" s="139">
        <v>5.2400000000000002E-2</v>
      </c>
      <c r="E56" s="33">
        <v>-0.25</v>
      </c>
    </row>
    <row r="57" spans="1:5">
      <c r="A57" s="31">
        <v>1.2</v>
      </c>
      <c r="B57" s="87">
        <v>1.399999</v>
      </c>
      <c r="C57" s="95" t="s">
        <v>254</v>
      </c>
      <c r="D57" s="139">
        <v>3.61E-2</v>
      </c>
      <c r="E57" s="33">
        <v>-0.2</v>
      </c>
    </row>
    <row r="58" spans="1:5">
      <c r="A58" s="31">
        <v>1.4</v>
      </c>
      <c r="B58" s="87">
        <v>1.5999989999999999</v>
      </c>
      <c r="C58" s="95" t="s">
        <v>253</v>
      </c>
      <c r="D58" s="139">
        <v>3.1399999999999997E-2</v>
      </c>
      <c r="E58" s="33">
        <v>-0.2</v>
      </c>
    </row>
    <row r="59" spans="1:5">
      <c r="A59" s="31">
        <v>1.6</v>
      </c>
      <c r="B59" s="87">
        <v>1.7999989999999999</v>
      </c>
      <c r="C59" s="95" t="s">
        <v>252</v>
      </c>
      <c r="D59" s="139">
        <v>2.2100000000000002E-2</v>
      </c>
      <c r="E59" s="33">
        <v>-0.2</v>
      </c>
    </row>
    <row r="60" spans="1:5">
      <c r="A60" s="31">
        <v>1.8</v>
      </c>
      <c r="B60" s="87">
        <v>1.9999990000000001</v>
      </c>
      <c r="C60" s="95" t="s">
        <v>251</v>
      </c>
      <c r="D60" s="139">
        <v>1.7399999999999999E-2</v>
      </c>
      <c r="E60" s="33">
        <v>-0.2</v>
      </c>
    </row>
    <row r="61" spans="1:5">
      <c r="A61" s="31">
        <v>2</v>
      </c>
      <c r="B61" s="87">
        <v>2.2499989999999999</v>
      </c>
      <c r="C61" s="95" t="s">
        <v>250</v>
      </c>
      <c r="D61" s="139">
        <v>1.47E-2</v>
      </c>
      <c r="E61" s="33">
        <v>-0.1</v>
      </c>
    </row>
    <row r="62" spans="1:5">
      <c r="A62" s="31">
        <v>2.25</v>
      </c>
      <c r="B62" s="87">
        <v>2.9999989999999999</v>
      </c>
      <c r="C62" s="95" t="s">
        <v>249</v>
      </c>
      <c r="D62" s="139">
        <v>1.21E-2</v>
      </c>
      <c r="E62" s="33">
        <v>-0.02</v>
      </c>
    </row>
    <row r="63" spans="1:5">
      <c r="A63" s="31">
        <v>3</v>
      </c>
      <c r="B63" s="87">
        <v>3.4999989999999999</v>
      </c>
      <c r="C63" s="95" t="s">
        <v>248</v>
      </c>
      <c r="D63" s="139">
        <v>1.0699999999999999E-2</v>
      </c>
      <c r="E63" s="33">
        <v>0</v>
      </c>
    </row>
    <row r="64" spans="1:5">
      <c r="A64" s="31">
        <v>3.5</v>
      </c>
      <c r="B64" s="87">
        <v>3.9999989999999999</v>
      </c>
      <c r="C64" s="95" t="s">
        <v>405</v>
      </c>
      <c r="D64" s="139">
        <v>9.1999999999999998E-3</v>
      </c>
      <c r="E64" s="33">
        <v>0</v>
      </c>
    </row>
    <row r="65" spans="1:5">
      <c r="A65" s="31">
        <v>4</v>
      </c>
      <c r="B65" s="87">
        <v>4.4999900000000004</v>
      </c>
      <c r="C65" s="95" t="s">
        <v>247</v>
      </c>
      <c r="D65" s="139">
        <v>7.0000000000000001E-3</v>
      </c>
      <c r="E65" s="33">
        <v>0</v>
      </c>
    </row>
    <row r="66" spans="1:5">
      <c r="A66" s="31">
        <v>4.5</v>
      </c>
      <c r="B66" s="87">
        <v>100000</v>
      </c>
      <c r="C66" s="95" t="s">
        <v>246</v>
      </c>
      <c r="D66" s="139">
        <v>5.8999999999999999E-3</v>
      </c>
      <c r="E66" s="33">
        <v>0</v>
      </c>
    </row>
  </sheetData>
  <sortState xmlns:xlrd2="http://schemas.microsoft.com/office/spreadsheetml/2017/richdata2" ref="G15:H29">
    <sortCondition ref="G15:G29"/>
  </sortState>
  <phoneticPr fontId="19"/>
  <pageMargins left="0.75" right="0.75" top="1" bottom="1" header="0.5" footer="0.5"/>
  <pageSetup orientation="portrait" horizontalDpi="4294967292" verticalDpi="4294967292"/>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91A7C2-18CA-8649-A600-EBDE50A8EE16}">
  <dimension ref="A1:L33"/>
  <sheetViews>
    <sheetView workbookViewId="0">
      <selection activeCell="B27" sqref="B27"/>
    </sheetView>
  </sheetViews>
  <sheetFormatPr baseColWidth="10" defaultRowHeight="14"/>
  <cols>
    <col min="1" max="1" width="17.7109375" customWidth="1"/>
  </cols>
  <sheetData>
    <row r="1" spans="1:12" ht="18">
      <c r="A1" s="190" t="s">
        <v>561</v>
      </c>
      <c r="B1" s="191"/>
      <c r="C1" s="191"/>
      <c r="D1" s="191"/>
      <c r="E1" s="191"/>
    </row>
    <row r="2" spans="1:12">
      <c r="A2" s="192" t="s">
        <v>264</v>
      </c>
      <c r="B2" s="192" t="s">
        <v>562</v>
      </c>
      <c r="C2" s="192" t="s">
        <v>563</v>
      </c>
      <c r="D2" s="192" t="s">
        <v>564</v>
      </c>
      <c r="E2" s="192" t="s">
        <v>565</v>
      </c>
    </row>
    <row r="3" spans="1:12">
      <c r="A3" s="193" t="s">
        <v>288</v>
      </c>
      <c r="B3" s="193">
        <v>800</v>
      </c>
      <c r="C3" s="194">
        <f>IF(B3=0,0,VLOOKUP(A3,'Country ERP '!$A$5:$D$181,4))</f>
        <v>5.6313534284766834E-2</v>
      </c>
      <c r="D3" s="194">
        <f>IF(B3&gt;0,B3/$B$15,)</f>
        <v>0.61538461538461542</v>
      </c>
      <c r="E3" s="194">
        <f>C3*D3</f>
        <v>3.4654482636779595E-2</v>
      </c>
      <c r="H3" s="294" t="s">
        <v>566</v>
      </c>
      <c r="I3" s="294"/>
      <c r="J3" s="294"/>
      <c r="K3" s="294"/>
      <c r="L3" s="294"/>
    </row>
    <row r="4" spans="1:12">
      <c r="A4" s="193" t="s">
        <v>311</v>
      </c>
      <c r="B4" s="193">
        <v>500</v>
      </c>
      <c r="C4" s="194">
        <f>IF(B4=0,0,VLOOKUP(A4,'Country ERP '!$A$5:$D$181,4))</f>
        <v>7.8143848520856624E-2</v>
      </c>
      <c r="D4" s="194">
        <f>IF(B4&gt;0,B4/$B$15,)</f>
        <v>0.38461538461538464</v>
      </c>
      <c r="E4" s="194">
        <f t="shared" ref="E4:E14" si="0">C4*D4</f>
        <v>3.0055326354175627E-2</v>
      </c>
      <c r="H4" s="294"/>
      <c r="I4" s="294"/>
      <c r="J4" s="294"/>
      <c r="K4" s="294"/>
      <c r="L4" s="294"/>
    </row>
    <row r="5" spans="1:12">
      <c r="A5" s="193"/>
      <c r="B5" s="193"/>
      <c r="C5" s="194">
        <f>IF(B5=0,0,VLOOKUP(A5,'Country ERP '!$A$5:$D$181,4))</f>
        <v>0</v>
      </c>
      <c r="D5" s="194">
        <f t="shared" ref="D5:D14" si="1">IF(B5&gt;0,B5/$B$15,)</f>
        <v>0</v>
      </c>
      <c r="E5" s="194">
        <f t="shared" si="0"/>
        <v>0</v>
      </c>
      <c r="H5" s="294"/>
      <c r="I5" s="294"/>
      <c r="J5" s="294"/>
      <c r="K5" s="294"/>
      <c r="L5" s="294"/>
    </row>
    <row r="6" spans="1:12">
      <c r="A6" s="193"/>
      <c r="B6" s="193"/>
      <c r="C6" s="194">
        <f>IF(B6=0,0,VLOOKUP(A6,'Country ERP '!$A$5:$D$181,4))</f>
        <v>0</v>
      </c>
      <c r="D6" s="194">
        <f t="shared" si="1"/>
        <v>0</v>
      </c>
      <c r="E6" s="194">
        <f t="shared" si="0"/>
        <v>0</v>
      </c>
      <c r="H6" s="294"/>
      <c r="I6" s="294"/>
      <c r="J6" s="294"/>
      <c r="K6" s="294"/>
      <c r="L6" s="294"/>
    </row>
    <row r="7" spans="1:12">
      <c r="A7" s="193"/>
      <c r="B7" s="193"/>
      <c r="C7" s="194">
        <f>IF(B7=0,0,VLOOKUP(A7,'Country ERP '!$A$5:$D$181,4))</f>
        <v>0</v>
      </c>
      <c r="D7" s="194">
        <f t="shared" si="1"/>
        <v>0</v>
      </c>
      <c r="E7" s="194">
        <f t="shared" si="0"/>
        <v>0</v>
      </c>
      <c r="H7" s="294"/>
      <c r="I7" s="294"/>
      <c r="J7" s="294"/>
      <c r="K7" s="294"/>
      <c r="L7" s="294"/>
    </row>
    <row r="8" spans="1:12">
      <c r="A8" s="193"/>
      <c r="B8" s="193"/>
      <c r="C8" s="194">
        <f>IF(B8=0,0,VLOOKUP(A8,'Country ERP '!$A$5:$D$181,4))</f>
        <v>0</v>
      </c>
      <c r="D8" s="194">
        <f t="shared" si="1"/>
        <v>0</v>
      </c>
      <c r="E8" s="194">
        <f t="shared" si="0"/>
        <v>0</v>
      </c>
      <c r="H8" s="294"/>
      <c r="I8" s="294"/>
      <c r="J8" s="294"/>
      <c r="K8" s="294"/>
      <c r="L8" s="294"/>
    </row>
    <row r="9" spans="1:12">
      <c r="A9" s="193"/>
      <c r="B9" s="193"/>
      <c r="C9" s="194">
        <f>IF(B9=0,0,VLOOKUP(A9,'Country ERP '!$A$5:$D$181,4))</f>
        <v>0</v>
      </c>
      <c r="D9" s="194">
        <f t="shared" si="1"/>
        <v>0</v>
      </c>
      <c r="E9" s="194">
        <f t="shared" si="0"/>
        <v>0</v>
      </c>
      <c r="H9" s="294"/>
      <c r="I9" s="294"/>
      <c r="J9" s="294"/>
      <c r="K9" s="294"/>
      <c r="L9" s="294"/>
    </row>
    <row r="10" spans="1:12">
      <c r="A10" s="193"/>
      <c r="B10" s="193"/>
      <c r="C10" s="194">
        <f>IF(B10=0,0,VLOOKUP(A10,'Country ERP '!$A$5:$D$181,4))</f>
        <v>0</v>
      </c>
      <c r="D10" s="194">
        <f t="shared" si="1"/>
        <v>0</v>
      </c>
      <c r="E10" s="194">
        <f t="shared" si="0"/>
        <v>0</v>
      </c>
      <c r="H10" s="294"/>
      <c r="I10" s="294"/>
      <c r="J10" s="294"/>
      <c r="K10" s="294"/>
      <c r="L10" s="294"/>
    </row>
    <row r="11" spans="1:12">
      <c r="A11" s="193"/>
      <c r="B11" s="193"/>
      <c r="C11" s="194">
        <f>IF(B11=0,0,VLOOKUP(A11,'Country ERP '!$A$5:$D$181,4))</f>
        <v>0</v>
      </c>
      <c r="D11" s="194">
        <f>IF(B11&gt;0,B11/$B$15,)</f>
        <v>0</v>
      </c>
      <c r="E11" s="194">
        <f>C11*D11</f>
        <v>0</v>
      </c>
      <c r="H11" s="294"/>
      <c r="I11" s="294"/>
      <c r="J11" s="294"/>
      <c r="K11" s="294"/>
      <c r="L11" s="294"/>
    </row>
    <row r="12" spans="1:12">
      <c r="A12" s="193"/>
      <c r="B12" s="193"/>
      <c r="C12" s="194">
        <f>IF(B12=0,0,VLOOKUP(A12,'Country ERP '!$A$5:$D$181,4))</f>
        <v>0</v>
      </c>
      <c r="D12" s="194">
        <f>IF(B12&gt;0,B12/$B$15,)</f>
        <v>0</v>
      </c>
      <c r="E12" s="194">
        <f>C12*D12</f>
        <v>0</v>
      </c>
      <c r="H12" s="294"/>
      <c r="I12" s="294"/>
      <c r="J12" s="294"/>
      <c r="K12" s="294"/>
      <c r="L12" s="294"/>
    </row>
    <row r="13" spans="1:12">
      <c r="A13" s="195"/>
      <c r="B13" s="193"/>
      <c r="C13" s="195"/>
      <c r="D13" s="194">
        <f t="shared" si="1"/>
        <v>0</v>
      </c>
      <c r="E13" s="194">
        <f t="shared" si="0"/>
        <v>0</v>
      </c>
      <c r="H13" s="294"/>
      <c r="I13" s="294"/>
      <c r="J13" s="294"/>
      <c r="K13" s="294"/>
      <c r="L13" s="294"/>
    </row>
    <row r="14" spans="1:12">
      <c r="A14" s="195"/>
      <c r="B14" s="193"/>
      <c r="C14" s="195"/>
      <c r="D14" s="194">
        <f t="shared" si="1"/>
        <v>0</v>
      </c>
      <c r="E14" s="194">
        <f t="shared" si="0"/>
        <v>0</v>
      </c>
      <c r="H14" s="294"/>
      <c r="I14" s="294"/>
      <c r="J14" s="294"/>
      <c r="K14" s="294"/>
      <c r="L14" s="294"/>
    </row>
    <row r="15" spans="1:12">
      <c r="A15" s="196" t="s">
        <v>567</v>
      </c>
      <c r="B15" s="196">
        <f>SUM(B3:B14)</f>
        <v>1300</v>
      </c>
      <c r="C15" s="196"/>
      <c r="D15" s="194">
        <f>SUM(D3:D14)</f>
        <v>1</v>
      </c>
      <c r="E15" s="194">
        <f>SUM(E3:E14)</f>
        <v>6.4709808990955214E-2</v>
      </c>
      <c r="H15" s="294"/>
      <c r="I15" s="294"/>
      <c r="J15" s="294"/>
      <c r="K15" s="294"/>
      <c r="L15" s="294"/>
    </row>
    <row r="16" spans="1:12" ht="16">
      <c r="A16" s="190" t="s">
        <v>568</v>
      </c>
      <c r="B16" s="3"/>
      <c r="C16" s="3"/>
      <c r="D16" s="3"/>
      <c r="E16" s="3"/>
      <c r="H16" s="294"/>
      <c r="I16" s="294"/>
      <c r="J16" s="294"/>
      <c r="K16" s="294"/>
      <c r="L16" s="294"/>
    </row>
    <row r="17" spans="1:12">
      <c r="A17" s="35" t="s">
        <v>546</v>
      </c>
      <c r="B17" s="35" t="s">
        <v>562</v>
      </c>
      <c r="C17" s="35" t="s">
        <v>563</v>
      </c>
      <c r="D17" s="35" t="s">
        <v>564</v>
      </c>
      <c r="E17" s="35" t="s">
        <v>565</v>
      </c>
      <c r="H17" s="294"/>
      <c r="I17" s="294"/>
      <c r="J17" s="294"/>
      <c r="K17" s="294"/>
      <c r="L17" s="294"/>
    </row>
    <row r="18" spans="1:12">
      <c r="A18" s="196" t="str">
        <f>'Country ERP '!A201</f>
        <v>Africa</v>
      </c>
      <c r="B18" s="193"/>
      <c r="C18" s="197">
        <f>'Country ERP '!B201</f>
        <v>0.13763852306889546</v>
      </c>
      <c r="D18" s="194">
        <f t="shared" ref="D18:D29" si="2">B18/$B$29</f>
        <v>0</v>
      </c>
      <c r="E18" s="198">
        <f>C18*D18</f>
        <v>0</v>
      </c>
      <c r="H18" s="294"/>
      <c r="I18" s="294"/>
      <c r="J18" s="294"/>
      <c r="K18" s="294"/>
      <c r="L18" s="294"/>
    </row>
    <row r="19" spans="1:12">
      <c r="A19" s="196" t="str">
        <f>'Country ERP '!A202</f>
        <v>Asia</v>
      </c>
      <c r="B19" s="193">
        <v>10244</v>
      </c>
      <c r="C19" s="197">
        <f>'Country ERP '!B202</f>
        <v>6.2805405008578563E-2</v>
      </c>
      <c r="D19" s="194">
        <f t="shared" si="2"/>
        <v>6.0721017628300122E-2</v>
      </c>
      <c r="E19" s="198">
        <f t="shared" ref="E19:E26" si="3">C19*D19</f>
        <v>3.8136081046784278E-3</v>
      </c>
      <c r="H19" s="294"/>
      <c r="I19" s="294"/>
      <c r="J19" s="294"/>
      <c r="K19" s="294"/>
      <c r="L19" s="294"/>
    </row>
    <row r="20" spans="1:12">
      <c r="A20" s="196" t="str">
        <f>'Country ERP '!A203</f>
        <v>Australia &amp; New Zealand</v>
      </c>
      <c r="B20" s="193"/>
      <c r="C20" s="197">
        <f>'Country ERP '!B203</f>
        <v>4.6047923618641934E-2</v>
      </c>
      <c r="D20" s="194">
        <f t="shared" si="2"/>
        <v>0</v>
      </c>
      <c r="E20" s="198">
        <f t="shared" si="3"/>
        <v>0</v>
      </c>
    </row>
    <row r="21" spans="1:12">
      <c r="A21" s="196" t="str">
        <f>'Country ERP '!A204</f>
        <v>Caribbean</v>
      </c>
      <c r="B21" s="193"/>
      <c r="C21" s="197">
        <f>'Country ERP '!B204</f>
        <v>0.1875348819700155</v>
      </c>
      <c r="D21" s="194">
        <f t="shared" si="2"/>
        <v>0</v>
      </c>
      <c r="E21" s="198">
        <f t="shared" si="3"/>
        <v>0</v>
      </c>
    </row>
    <row r="22" spans="1:12">
      <c r="A22" s="196" t="str">
        <f>'Country ERP '!A205</f>
        <v>Central and South America</v>
      </c>
      <c r="B22" s="193"/>
      <c r="C22" s="197">
        <f>'Country ERP '!B205</f>
        <v>0.10361091058162494</v>
      </c>
      <c r="D22" s="194">
        <f t="shared" si="2"/>
        <v>0</v>
      </c>
      <c r="E22" s="198">
        <f t="shared" si="3"/>
        <v>0</v>
      </c>
    </row>
    <row r="23" spans="1:12">
      <c r="A23" s="196" t="str">
        <f>'Country ERP '!A206</f>
        <v>Eastern Europe &amp; Russia</v>
      </c>
      <c r="B23" s="193"/>
      <c r="C23" s="197">
        <f>'Country ERP '!B206</f>
        <v>9.6579383477192263E-2</v>
      </c>
      <c r="D23" s="194">
        <f t="shared" si="2"/>
        <v>0</v>
      </c>
      <c r="E23" s="198">
        <f t="shared" si="3"/>
        <v>0</v>
      </c>
    </row>
    <row r="24" spans="1:12">
      <c r="A24" s="196" t="str">
        <f>'Country ERP '!A207</f>
        <v>Middle East</v>
      </c>
      <c r="B24" s="193"/>
      <c r="C24" s="197">
        <f>'Country ERP '!B207</f>
        <v>6.7589990892489848E-2</v>
      </c>
      <c r="D24" s="194">
        <f t="shared" si="2"/>
        <v>0</v>
      </c>
      <c r="E24" s="198">
        <f t="shared" si="3"/>
        <v>0</v>
      </c>
    </row>
    <row r="25" spans="1:12">
      <c r="A25" s="196" t="str">
        <f>'Country ERP '!A208</f>
        <v>North America</v>
      </c>
      <c r="B25" s="193">
        <v>148567</v>
      </c>
      <c r="C25" s="197">
        <f>'Country ERP '!B208</f>
        <v>4.5999999999999999E-2</v>
      </c>
      <c r="D25" s="194">
        <f t="shared" si="2"/>
        <v>0.88062665228266923</v>
      </c>
      <c r="E25" s="198">
        <f t="shared" si="3"/>
        <v>4.0508826005002781E-2</v>
      </c>
    </row>
    <row r="26" spans="1:12">
      <c r="A26" s="196" t="str">
        <f>'Country ERP '!A209</f>
        <v>Western Europe</v>
      </c>
      <c r="B26" s="193">
        <v>9895</v>
      </c>
      <c r="C26" s="197">
        <f>'Country ERP '!B209</f>
        <v>5.8871606293643367E-2</v>
      </c>
      <c r="D26" s="194">
        <f t="shared" si="2"/>
        <v>5.8652330089030619E-2</v>
      </c>
      <c r="E26" s="198">
        <f t="shared" si="3"/>
        <v>3.4529568852062231E-3</v>
      </c>
    </row>
    <row r="27" spans="1:12">
      <c r="A27" s="193"/>
      <c r="B27" s="193"/>
      <c r="C27" s="199"/>
      <c r="D27" s="194">
        <f>B27/$B$29</f>
        <v>0</v>
      </c>
      <c r="E27" s="198">
        <f>C27*D27</f>
        <v>0</v>
      </c>
    </row>
    <row r="28" spans="1:12">
      <c r="A28" s="193"/>
      <c r="B28" s="193"/>
      <c r="C28" s="199"/>
      <c r="D28" s="194">
        <f>B28/$B$29</f>
        <v>0</v>
      </c>
      <c r="E28" s="198">
        <f>C28*D28</f>
        <v>0</v>
      </c>
    </row>
    <row r="29" spans="1:12">
      <c r="A29" s="196" t="s">
        <v>567</v>
      </c>
      <c r="B29" s="196">
        <f>SUM(B18:B28)</f>
        <v>168706</v>
      </c>
      <c r="C29" s="197"/>
      <c r="D29" s="194">
        <f t="shared" si="2"/>
        <v>1</v>
      </c>
      <c r="E29" s="200">
        <f>SUM(E18:E28)</f>
        <v>4.777539099488743E-2</v>
      </c>
    </row>
    <row r="33" spans="11:11">
      <c r="K33" s="201"/>
    </row>
  </sheetData>
  <mergeCells count="1">
    <mergeCell ref="H3:L19"/>
  </mergeCell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023264DC-2D9B-5444-AD37-1424F3306165}">
          <x14:formula1>
            <xm:f>'Country ERP '!$A$5:$A$195</xm:f>
          </x14:formula1>
          <xm:sqref>A3:A12</xm:sqref>
        </x14:dataValidation>
      </x14:dataValidation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F4C665-2896-3E48-981F-4AE0A7756908}">
  <dimension ref="A1:F210"/>
  <sheetViews>
    <sheetView topLeftCell="A5" workbookViewId="0">
      <selection activeCell="C200" sqref="C200"/>
    </sheetView>
  </sheetViews>
  <sheetFormatPr baseColWidth="10" defaultRowHeight="14"/>
  <cols>
    <col min="1" max="1" width="23.5703125" bestFit="1" customWidth="1"/>
    <col min="2" max="2" width="12.85546875" bestFit="1" customWidth="1"/>
    <col min="3" max="3" width="15.85546875" bestFit="1" customWidth="1"/>
    <col min="4" max="4" width="18" bestFit="1" customWidth="1"/>
    <col min="5" max="5" width="17.140625" bestFit="1" customWidth="1"/>
    <col min="6" max="6" width="15.140625" bestFit="1" customWidth="1"/>
  </cols>
  <sheetData>
    <row r="1" spans="1:6">
      <c r="A1" t="s">
        <v>487</v>
      </c>
      <c r="B1" s="174">
        <v>4.5999999999999999E-2</v>
      </c>
      <c r="C1" t="s">
        <v>592</v>
      </c>
    </row>
    <row r="2" spans="1:6">
      <c r="A2" s="175" t="s">
        <v>488</v>
      </c>
      <c r="B2" s="175"/>
      <c r="C2" s="175"/>
      <c r="D2" s="175"/>
      <c r="E2" s="175"/>
      <c r="F2" s="175"/>
    </row>
    <row r="4" spans="1:6" ht="16">
      <c r="A4" s="222" t="s">
        <v>264</v>
      </c>
      <c r="B4" s="230" t="s">
        <v>489</v>
      </c>
      <c r="C4" s="231" t="s">
        <v>490</v>
      </c>
      <c r="D4" s="231" t="s">
        <v>491</v>
      </c>
      <c r="E4" s="231" t="s">
        <v>492</v>
      </c>
      <c r="F4" s="231" t="s">
        <v>493</v>
      </c>
    </row>
    <row r="5" spans="1:6" ht="16">
      <c r="A5" s="223" t="s">
        <v>494</v>
      </c>
      <c r="B5" s="232" t="s">
        <v>495</v>
      </c>
      <c r="C5" s="224">
        <v>5.3778762707661788E-3</v>
      </c>
      <c r="D5" s="224">
        <f>$B$1+E5</f>
        <v>5.3219473999336783E-2</v>
      </c>
      <c r="E5" s="224">
        <v>7.219473999336784E-3</v>
      </c>
      <c r="F5" s="224">
        <v>0.15</v>
      </c>
    </row>
    <row r="6" spans="1:6" ht="16">
      <c r="A6" s="223" t="s">
        <v>265</v>
      </c>
      <c r="B6" s="232" t="s">
        <v>496</v>
      </c>
      <c r="C6" s="224">
        <v>4.9041109802463012E-2</v>
      </c>
      <c r="D6" s="224">
        <f t="shared" ref="D6:D69" si="0">$B$1+E6</f>
        <v>0.11183472718442829</v>
      </c>
      <c r="E6" s="224">
        <v>6.5834727184428288E-2</v>
      </c>
      <c r="F6" s="224">
        <v>0.15</v>
      </c>
    </row>
    <row r="7" spans="1:6" ht="16">
      <c r="A7" s="233" t="s">
        <v>445</v>
      </c>
      <c r="B7" s="232" t="s">
        <v>497</v>
      </c>
      <c r="C7" s="224">
        <v>4.9041109802463012E-2</v>
      </c>
      <c r="D7" s="224">
        <f t="shared" si="0"/>
        <v>0.11183472718442829</v>
      </c>
      <c r="E7" s="224">
        <v>6.5834727184428288E-2</v>
      </c>
      <c r="F7" s="224">
        <v>0.26</v>
      </c>
    </row>
    <row r="8" spans="1:6" ht="16">
      <c r="A8" s="223" t="s">
        <v>498</v>
      </c>
      <c r="B8" s="232" t="s">
        <v>499</v>
      </c>
      <c r="C8" s="224">
        <v>2.0743237044383835E-2</v>
      </c>
      <c r="D8" s="224">
        <f t="shared" si="0"/>
        <v>7.3846542568870452E-2</v>
      </c>
      <c r="E8" s="224">
        <v>2.7846542568870453E-2</v>
      </c>
      <c r="F8" s="224">
        <v>0.1898</v>
      </c>
    </row>
    <row r="9" spans="1:6" ht="16">
      <c r="A9" s="223" t="s">
        <v>266</v>
      </c>
      <c r="B9" s="232" t="s">
        <v>500</v>
      </c>
      <c r="C9" s="224">
        <v>7.0808704231754685E-2</v>
      </c>
      <c r="D9" s="224">
        <f t="shared" si="0"/>
        <v>0.14105640765793431</v>
      </c>
      <c r="E9" s="224">
        <v>9.5056407657934314E-2</v>
      </c>
      <c r="F9" s="224">
        <v>0.25</v>
      </c>
    </row>
    <row r="10" spans="1:6" ht="16">
      <c r="A10" s="223" t="s">
        <v>455</v>
      </c>
      <c r="B10" s="91" t="s">
        <v>497</v>
      </c>
      <c r="C10" s="176">
        <v>0.1054310997313879</v>
      </c>
      <c r="D10" s="224">
        <f t="shared" si="0"/>
        <v>0.23353488197001548</v>
      </c>
      <c r="E10" s="176">
        <v>0.1875348819700155</v>
      </c>
      <c r="F10" s="176">
        <v>0.2724561140242252</v>
      </c>
    </row>
    <row r="11" spans="1:6" ht="16">
      <c r="A11" s="223" t="s">
        <v>577</v>
      </c>
      <c r="B11" s="91" t="s">
        <v>497</v>
      </c>
      <c r="C11" s="176">
        <v>0.1054310997313879</v>
      </c>
      <c r="D11" s="224">
        <f t="shared" si="0"/>
        <v>0.23353488197001548</v>
      </c>
      <c r="E11" s="176">
        <v>0.1875348819700155</v>
      </c>
      <c r="F11" s="176">
        <v>0.2724561140242252</v>
      </c>
    </row>
    <row r="12" spans="1:6" ht="16">
      <c r="A12" s="223" t="s">
        <v>267</v>
      </c>
      <c r="B12" s="232" t="s">
        <v>501</v>
      </c>
      <c r="C12" s="224">
        <v>0.13073361124886354</v>
      </c>
      <c r="D12" s="224">
        <f t="shared" si="0"/>
        <v>0.22150197507911562</v>
      </c>
      <c r="E12" s="224">
        <v>0.17550197507911564</v>
      </c>
      <c r="F12" s="224">
        <v>0.35</v>
      </c>
    </row>
    <row r="13" spans="1:6" ht="16">
      <c r="A13" s="223" t="s">
        <v>268</v>
      </c>
      <c r="B13" s="232" t="s">
        <v>502</v>
      </c>
      <c r="C13" s="224">
        <v>3.9181669972725021E-2</v>
      </c>
      <c r="D13" s="224">
        <f t="shared" si="0"/>
        <v>9.8599024852310854E-2</v>
      </c>
      <c r="E13" s="224">
        <v>5.2599024852310855E-2</v>
      </c>
      <c r="F13" s="224">
        <v>0.18</v>
      </c>
    </row>
    <row r="14" spans="1:6" ht="16">
      <c r="A14" s="223" t="s">
        <v>269</v>
      </c>
      <c r="B14" s="232" t="s">
        <v>499</v>
      </c>
      <c r="C14" s="224">
        <v>2.0743237044383835E-2</v>
      </c>
      <c r="D14" s="224">
        <f t="shared" si="0"/>
        <v>7.3846542568870452E-2</v>
      </c>
      <c r="E14" s="224">
        <v>2.7846542568870453E-2</v>
      </c>
      <c r="F14" s="224">
        <v>0.25</v>
      </c>
    </row>
    <row r="15" spans="1:6" ht="16">
      <c r="A15" s="223" t="s">
        <v>270</v>
      </c>
      <c r="B15" s="232" t="s">
        <v>503</v>
      </c>
      <c r="C15" s="224">
        <v>0</v>
      </c>
      <c r="D15" s="224">
        <f t="shared" si="0"/>
        <v>4.5999999999999999E-2</v>
      </c>
      <c r="E15" s="224">
        <v>0</v>
      </c>
      <c r="F15" s="224">
        <v>0.3</v>
      </c>
    </row>
    <row r="16" spans="1:6" ht="16">
      <c r="A16" s="223" t="s">
        <v>271</v>
      </c>
      <c r="B16" s="232" t="s">
        <v>504</v>
      </c>
      <c r="C16" s="224">
        <v>4.3535188858583353E-3</v>
      </c>
      <c r="D16" s="224">
        <f t="shared" si="0"/>
        <v>5.1844336094701203E-2</v>
      </c>
      <c r="E16" s="224">
        <v>5.8443360947012038E-3</v>
      </c>
      <c r="F16" s="224">
        <v>0.24</v>
      </c>
    </row>
    <row r="17" spans="1:6" ht="16">
      <c r="A17" s="223" t="s">
        <v>456</v>
      </c>
      <c r="B17" s="232" t="s">
        <v>505</v>
      </c>
      <c r="C17" s="224">
        <v>2.7273515373171343E-2</v>
      </c>
      <c r="D17" s="224">
        <f t="shared" si="0"/>
        <v>8.2613046710922261E-2</v>
      </c>
      <c r="E17" s="224">
        <v>3.6613046710922262E-2</v>
      </c>
      <c r="F17" s="224">
        <v>0.2</v>
      </c>
    </row>
    <row r="18" spans="1:6" ht="16">
      <c r="A18" s="223" t="s">
        <v>272</v>
      </c>
      <c r="B18" s="232" t="s">
        <v>496</v>
      </c>
      <c r="C18" s="224">
        <v>4.9041109802463012E-2</v>
      </c>
      <c r="D18" s="224">
        <f t="shared" si="0"/>
        <v>0.11183472718442829</v>
      </c>
      <c r="E18" s="224">
        <v>6.5834727184428288E-2</v>
      </c>
      <c r="F18" s="224">
        <v>0</v>
      </c>
    </row>
    <row r="19" spans="1:6" ht="16">
      <c r="A19" s="223" t="s">
        <v>273</v>
      </c>
      <c r="B19" s="232" t="s">
        <v>506</v>
      </c>
      <c r="C19" s="224">
        <v>5.9924907017108855E-2</v>
      </c>
      <c r="D19" s="224">
        <f t="shared" si="0"/>
        <v>0.12644556742118129</v>
      </c>
      <c r="E19" s="224">
        <v>8.0445567421181294E-2</v>
      </c>
      <c r="F19" s="224">
        <v>0</v>
      </c>
    </row>
    <row r="20" spans="1:6" ht="16">
      <c r="A20" s="223" t="s">
        <v>274</v>
      </c>
      <c r="B20" s="232" t="s">
        <v>496</v>
      </c>
      <c r="C20" s="224">
        <v>4.9041109802463012E-2</v>
      </c>
      <c r="D20" s="224">
        <f t="shared" si="0"/>
        <v>0.11183472718442829</v>
      </c>
      <c r="E20" s="224">
        <v>6.5834727184428288E-2</v>
      </c>
      <c r="F20" s="224">
        <v>0.3</v>
      </c>
    </row>
    <row r="21" spans="1:6" ht="16">
      <c r="A21" s="223" t="s">
        <v>275</v>
      </c>
      <c r="B21" s="232" t="s">
        <v>500</v>
      </c>
      <c r="C21" s="224">
        <v>7.0808704231754685E-2</v>
      </c>
      <c r="D21" s="224">
        <f t="shared" si="0"/>
        <v>0.14105640765793431</v>
      </c>
      <c r="E21" s="224">
        <v>9.5056407657934314E-2</v>
      </c>
      <c r="F21" s="224">
        <v>5.5E-2</v>
      </c>
    </row>
    <row r="22" spans="1:6" ht="16">
      <c r="A22" s="223" t="s">
        <v>276</v>
      </c>
      <c r="B22" s="232" t="s">
        <v>217</v>
      </c>
      <c r="C22" s="224">
        <v>0.17499999999999999</v>
      </c>
      <c r="D22" s="224">
        <f t="shared" si="0"/>
        <v>0.28092692770782934</v>
      </c>
      <c r="E22" s="224">
        <v>0.23492692770782936</v>
      </c>
      <c r="F22" s="224">
        <v>0.18</v>
      </c>
    </row>
    <row r="23" spans="1:6" ht="16">
      <c r="A23" s="223" t="s">
        <v>277</v>
      </c>
      <c r="B23" s="232" t="s">
        <v>508</v>
      </c>
      <c r="C23" s="224">
        <v>6.5302783287875029E-3</v>
      </c>
      <c r="D23" s="224">
        <f t="shared" si="0"/>
        <v>5.4766504142051808E-2</v>
      </c>
      <c r="E23" s="224">
        <v>8.7665041420518092E-3</v>
      </c>
      <c r="F23" s="224">
        <v>0.25</v>
      </c>
    </row>
    <row r="24" spans="1:6" ht="16">
      <c r="A24" s="223" t="s">
        <v>509</v>
      </c>
      <c r="B24" s="232" t="s">
        <v>510</v>
      </c>
      <c r="C24" s="224">
        <v>9.8082219604926024E-2</v>
      </c>
      <c r="D24" s="224">
        <f t="shared" si="0"/>
        <v>0.17766945436885656</v>
      </c>
      <c r="E24" s="224">
        <v>0.13166945436885658</v>
      </c>
      <c r="F24" s="224">
        <v>0.2853</v>
      </c>
    </row>
    <row r="25" spans="1:6" ht="16">
      <c r="A25" s="223" t="s">
        <v>457</v>
      </c>
      <c r="B25" s="232" t="s">
        <v>496</v>
      </c>
      <c r="C25" s="224">
        <v>4.9041109802463012E-2</v>
      </c>
      <c r="D25" s="224">
        <f t="shared" si="0"/>
        <v>0.11183472718442829</v>
      </c>
      <c r="E25" s="224">
        <v>6.5834727184428288E-2</v>
      </c>
      <c r="F25" s="224">
        <v>0.3</v>
      </c>
    </row>
    <row r="26" spans="1:6" ht="16">
      <c r="A26" s="223" t="s">
        <v>278</v>
      </c>
      <c r="B26" s="232" t="s">
        <v>511</v>
      </c>
      <c r="C26" s="224">
        <v>9.2192164641705932E-3</v>
      </c>
      <c r="D26" s="224">
        <f t="shared" si="0"/>
        <v>5.83762411417202E-2</v>
      </c>
      <c r="E26" s="224">
        <v>1.2376241141720201E-2</v>
      </c>
      <c r="F26" s="224">
        <v>0</v>
      </c>
    </row>
    <row r="27" spans="1:6" ht="16">
      <c r="A27" s="223" t="s">
        <v>279</v>
      </c>
      <c r="B27" s="232" t="s">
        <v>507</v>
      </c>
      <c r="C27" s="224">
        <v>8.1692501446400528E-2</v>
      </c>
      <c r="D27" s="224">
        <f t="shared" si="0"/>
        <v>0.15566724789468733</v>
      </c>
      <c r="E27" s="224">
        <v>0.10966724789468733</v>
      </c>
      <c r="F27" s="224">
        <v>0.25</v>
      </c>
    </row>
    <row r="28" spans="1:6" ht="16">
      <c r="A28" s="223" t="s">
        <v>280</v>
      </c>
      <c r="B28" s="232" t="s">
        <v>500</v>
      </c>
      <c r="C28" s="224">
        <v>7.0808704231754685E-2</v>
      </c>
      <c r="D28" s="224">
        <f t="shared" si="0"/>
        <v>0.14105640765793431</v>
      </c>
      <c r="E28" s="224">
        <v>9.5056407657934314E-2</v>
      </c>
      <c r="F28" s="224">
        <v>0.1</v>
      </c>
    </row>
    <row r="29" spans="1:6" ht="16">
      <c r="A29" s="223" t="s">
        <v>281</v>
      </c>
      <c r="B29" s="232" t="s">
        <v>512</v>
      </c>
      <c r="C29" s="224">
        <v>1.3060556657575006E-2</v>
      </c>
      <c r="D29" s="224">
        <f t="shared" si="0"/>
        <v>6.3533008284103618E-2</v>
      </c>
      <c r="E29" s="224">
        <v>1.7533008284103618E-2</v>
      </c>
      <c r="F29" s="224">
        <v>0.22</v>
      </c>
    </row>
    <row r="30" spans="1:6" ht="16">
      <c r="A30" s="223" t="s">
        <v>282</v>
      </c>
      <c r="B30" s="232" t="s">
        <v>513</v>
      </c>
      <c r="C30" s="224">
        <v>3.2779436317050999E-2</v>
      </c>
      <c r="D30" s="224">
        <f t="shared" si="0"/>
        <v>9.0004412948338497E-2</v>
      </c>
      <c r="E30" s="224">
        <v>4.4004412948338498E-2</v>
      </c>
      <c r="F30" s="224">
        <v>0.34</v>
      </c>
    </row>
    <row r="31" spans="1:6" ht="16">
      <c r="A31" s="223" t="s">
        <v>578</v>
      </c>
      <c r="B31" s="232" t="s">
        <v>513</v>
      </c>
      <c r="C31" s="224">
        <v>3.2779436317050999E-2</v>
      </c>
      <c r="D31" s="224">
        <f t="shared" si="0"/>
        <v>9.0004412948338497E-2</v>
      </c>
      <c r="E31" s="224">
        <v>4.4004412948338498E-2</v>
      </c>
      <c r="F31" s="224">
        <v>0.34</v>
      </c>
    </row>
    <row r="32" spans="1:6" ht="16">
      <c r="A32" s="234" t="s">
        <v>514</v>
      </c>
      <c r="B32" s="232" t="s">
        <v>497</v>
      </c>
      <c r="C32" s="224">
        <v>6.5302783287875029E-3</v>
      </c>
      <c r="D32" s="224">
        <f t="shared" si="0"/>
        <v>5.4766504142051808E-2</v>
      </c>
      <c r="E32" s="224">
        <v>8.7665041420518092E-3</v>
      </c>
      <c r="F32" s="224">
        <v>0.185</v>
      </c>
    </row>
    <row r="33" spans="1:6" ht="16">
      <c r="A33" s="223" t="s">
        <v>283</v>
      </c>
      <c r="B33" s="232" t="s">
        <v>515</v>
      </c>
      <c r="C33" s="224">
        <v>1.7414075543433341E-2</v>
      </c>
      <c r="D33" s="224">
        <f t="shared" si="0"/>
        <v>6.9377344378804828E-2</v>
      </c>
      <c r="E33" s="224">
        <v>2.3377344378804829E-2</v>
      </c>
      <c r="F33" s="224">
        <v>0.1</v>
      </c>
    </row>
    <row r="34" spans="1:6" ht="16">
      <c r="A34" s="223" t="s">
        <v>458</v>
      </c>
      <c r="B34" s="232" t="s">
        <v>507</v>
      </c>
      <c r="C34" s="224">
        <v>8.1692501446400528E-2</v>
      </c>
      <c r="D34" s="224">
        <f t="shared" si="0"/>
        <v>0.15566724789468733</v>
      </c>
      <c r="E34" s="224">
        <v>0.10966724789468733</v>
      </c>
      <c r="F34" s="224">
        <v>0.28000000000000003</v>
      </c>
    </row>
    <row r="35" spans="1:6" ht="16">
      <c r="A35" s="223" t="s">
        <v>284</v>
      </c>
      <c r="B35" s="232" t="s">
        <v>506</v>
      </c>
      <c r="C35" s="224">
        <v>5.9924907017108855E-2</v>
      </c>
      <c r="D35" s="224">
        <f t="shared" si="0"/>
        <v>0.12644556742118129</v>
      </c>
      <c r="E35" s="224">
        <v>8.0445567421181294E-2</v>
      </c>
      <c r="F35" s="224">
        <v>0.2</v>
      </c>
    </row>
    <row r="36" spans="1:6" ht="16">
      <c r="A36" s="223" t="s">
        <v>446</v>
      </c>
      <c r="B36" s="232" t="s">
        <v>507</v>
      </c>
      <c r="C36" s="224">
        <v>8.1692501446400528E-2</v>
      </c>
      <c r="D36" s="224">
        <f t="shared" si="0"/>
        <v>0.15566724789468733</v>
      </c>
      <c r="E36" s="224">
        <v>0.10966724789468733</v>
      </c>
      <c r="F36" s="224">
        <v>0.33</v>
      </c>
    </row>
    <row r="37" spans="1:6" ht="16">
      <c r="A37" s="223" t="s">
        <v>285</v>
      </c>
      <c r="B37" s="232" t="s">
        <v>503</v>
      </c>
      <c r="C37" s="224">
        <v>0</v>
      </c>
      <c r="D37" s="224">
        <f t="shared" si="0"/>
        <v>4.5999999999999999E-2</v>
      </c>
      <c r="E37" s="224">
        <v>0</v>
      </c>
      <c r="F37" s="224">
        <v>0.26500000000000001</v>
      </c>
    </row>
    <row r="38" spans="1:6" ht="16">
      <c r="A38" s="223" t="s">
        <v>516</v>
      </c>
      <c r="B38" s="232" t="s">
        <v>500</v>
      </c>
      <c r="C38" s="224">
        <v>7.0808704231754685E-2</v>
      </c>
      <c r="D38" s="224">
        <f t="shared" si="0"/>
        <v>0.14105640765793431</v>
      </c>
      <c r="E38" s="224">
        <v>9.5056407657934314E-2</v>
      </c>
      <c r="F38" s="224">
        <v>0</v>
      </c>
    </row>
    <row r="39" spans="1:6" ht="16">
      <c r="A39" s="223" t="s">
        <v>286</v>
      </c>
      <c r="B39" s="232" t="s">
        <v>508</v>
      </c>
      <c r="C39" s="224">
        <v>6.5302783287875029E-3</v>
      </c>
      <c r="D39" s="224">
        <f t="shared" si="0"/>
        <v>5.4766504142051808E-2</v>
      </c>
      <c r="E39" s="224">
        <v>8.7665041420518092E-3</v>
      </c>
      <c r="F39" s="224">
        <v>0</v>
      </c>
    </row>
    <row r="40" spans="1:6" ht="16">
      <c r="A40" s="223" t="s">
        <v>579</v>
      </c>
      <c r="B40" s="91" t="s">
        <v>497</v>
      </c>
      <c r="C40" s="176">
        <v>9.5882201472833571E-3</v>
      </c>
      <c r="D40" s="224">
        <f t="shared" si="0"/>
        <v>0.10487160629364337</v>
      </c>
      <c r="E40" s="176">
        <v>5.8871606293643367E-2</v>
      </c>
      <c r="F40" s="176">
        <v>0.24707349543413576</v>
      </c>
    </row>
    <row r="41" spans="1:6" ht="16">
      <c r="A41" s="223" t="s">
        <v>287</v>
      </c>
      <c r="B41" s="232" t="s">
        <v>511</v>
      </c>
      <c r="C41" s="224">
        <v>9.2192164641705932E-3</v>
      </c>
      <c r="D41" s="224">
        <f t="shared" si="0"/>
        <v>5.83762411417202E-2</v>
      </c>
      <c r="E41" s="224">
        <v>1.2376241141720201E-2</v>
      </c>
      <c r="F41" s="224">
        <v>0.27</v>
      </c>
    </row>
    <row r="42" spans="1:6" ht="16">
      <c r="A42" s="223" t="s">
        <v>288</v>
      </c>
      <c r="B42" s="232" t="s">
        <v>517</v>
      </c>
      <c r="C42" s="224">
        <v>7.6826803868088279E-3</v>
      </c>
      <c r="D42" s="224">
        <f t="shared" si="0"/>
        <v>5.6313534284766834E-2</v>
      </c>
      <c r="E42" s="224">
        <v>1.0313534284766834E-2</v>
      </c>
      <c r="F42" s="224">
        <v>0.25</v>
      </c>
    </row>
    <row r="43" spans="1:6" ht="16">
      <c r="A43" s="223" t="s">
        <v>289</v>
      </c>
      <c r="B43" s="232" t="s">
        <v>499</v>
      </c>
      <c r="C43" s="224">
        <v>2.0743237044383835E-2</v>
      </c>
      <c r="D43" s="224">
        <f t="shared" si="0"/>
        <v>7.3846542568870452E-2</v>
      </c>
      <c r="E43" s="224">
        <v>2.7846542568870453E-2</v>
      </c>
      <c r="F43" s="224">
        <v>0.35</v>
      </c>
    </row>
    <row r="44" spans="1:6" ht="16">
      <c r="A44" s="223" t="s">
        <v>518</v>
      </c>
      <c r="B44" s="232" t="s">
        <v>500</v>
      </c>
      <c r="C44" s="224">
        <v>7.0808704231754685E-2</v>
      </c>
      <c r="D44" s="224">
        <f t="shared" si="0"/>
        <v>0.14105640765793431</v>
      </c>
      <c r="E44" s="224">
        <v>9.5056407657934314E-2</v>
      </c>
      <c r="F44" s="224">
        <v>0.3</v>
      </c>
    </row>
    <row r="45" spans="1:6" ht="16">
      <c r="A45" s="223" t="s">
        <v>519</v>
      </c>
      <c r="B45" s="232" t="s">
        <v>510</v>
      </c>
      <c r="C45" s="224">
        <v>9.8082219604926024E-2</v>
      </c>
      <c r="D45" s="224">
        <f t="shared" si="0"/>
        <v>0.17766945436885656</v>
      </c>
      <c r="E45" s="224">
        <v>0.13166945436885658</v>
      </c>
      <c r="F45" s="224">
        <v>0.28000000000000003</v>
      </c>
    </row>
    <row r="46" spans="1:6" ht="16">
      <c r="A46" s="223" t="s">
        <v>520</v>
      </c>
      <c r="B46" s="232" t="s">
        <v>496</v>
      </c>
      <c r="C46" s="224">
        <v>4.9041109802463012E-2</v>
      </c>
      <c r="D46" s="224">
        <f t="shared" si="0"/>
        <v>0.11183472718442829</v>
      </c>
      <c r="E46" s="224">
        <v>6.5834727184428288E-2</v>
      </c>
      <c r="F46" s="224">
        <v>0.2974</v>
      </c>
    </row>
    <row r="47" spans="1:6" ht="16">
      <c r="A47" s="223" t="s">
        <v>290</v>
      </c>
      <c r="B47" s="232" t="s">
        <v>496</v>
      </c>
      <c r="C47" s="224">
        <v>4.9041109802463012E-2</v>
      </c>
      <c r="D47" s="224">
        <f t="shared" si="0"/>
        <v>0.11183472718442829</v>
      </c>
      <c r="E47" s="224">
        <v>6.5834727184428288E-2</v>
      </c>
      <c r="F47" s="224">
        <v>0.3</v>
      </c>
    </row>
    <row r="48" spans="1:6" ht="16">
      <c r="A48" s="223" t="s">
        <v>291</v>
      </c>
      <c r="B48" s="232" t="s">
        <v>499</v>
      </c>
      <c r="C48" s="224">
        <v>2.0743237044383835E-2</v>
      </c>
      <c r="D48" s="224">
        <f t="shared" si="0"/>
        <v>7.3846542568870452E-2</v>
      </c>
      <c r="E48" s="224">
        <v>2.7846542568870453E-2</v>
      </c>
      <c r="F48" s="224">
        <v>0.18</v>
      </c>
    </row>
    <row r="49" spans="1:6" ht="16">
      <c r="A49" s="223" t="s">
        <v>521</v>
      </c>
      <c r="B49" s="232" t="s">
        <v>501</v>
      </c>
      <c r="C49" s="224">
        <v>0.13073361124886354</v>
      </c>
      <c r="D49" s="224">
        <f t="shared" si="0"/>
        <v>0.22150197507911562</v>
      </c>
      <c r="E49" s="224">
        <v>0.17550197507911564</v>
      </c>
      <c r="F49" s="224">
        <v>0.2853</v>
      </c>
    </row>
    <row r="50" spans="1:6" ht="16">
      <c r="A50" s="227" t="s">
        <v>580</v>
      </c>
      <c r="B50" s="232" t="s">
        <v>499</v>
      </c>
      <c r="C50" s="224">
        <v>2.0743237044383835E-2</v>
      </c>
      <c r="D50" s="224">
        <f t="shared" si="0"/>
        <v>7.3846542568870452E-2</v>
      </c>
      <c r="E50" s="224">
        <v>2.7846542568870453E-2</v>
      </c>
      <c r="F50" s="224">
        <v>0.22</v>
      </c>
    </row>
    <row r="51" spans="1:6" ht="16">
      <c r="A51" s="223" t="s">
        <v>292</v>
      </c>
      <c r="B51" s="232" t="s">
        <v>499</v>
      </c>
      <c r="C51" s="224">
        <v>2.0743237044383835E-2</v>
      </c>
      <c r="D51" s="224">
        <f t="shared" si="0"/>
        <v>7.3846542568870452E-2</v>
      </c>
      <c r="E51" s="224">
        <v>2.7846542568870453E-2</v>
      </c>
      <c r="F51" s="224">
        <v>0.125</v>
      </c>
    </row>
    <row r="52" spans="1:6" ht="16">
      <c r="A52" s="223" t="s">
        <v>293</v>
      </c>
      <c r="B52" s="232" t="s">
        <v>508</v>
      </c>
      <c r="C52" s="224">
        <v>6.5302783287875029E-3</v>
      </c>
      <c r="D52" s="224">
        <f t="shared" si="0"/>
        <v>5.4766504142051808E-2</v>
      </c>
      <c r="E52" s="224">
        <v>8.7665041420518092E-3</v>
      </c>
      <c r="F52" s="224">
        <v>0.19</v>
      </c>
    </row>
    <row r="53" spans="1:6" ht="16">
      <c r="A53" s="223" t="s">
        <v>294</v>
      </c>
      <c r="B53" s="232" t="s">
        <v>503</v>
      </c>
      <c r="C53" s="224">
        <v>0</v>
      </c>
      <c r="D53" s="224">
        <f t="shared" si="0"/>
        <v>4.5999999999999999E-2</v>
      </c>
      <c r="E53" s="224">
        <v>0</v>
      </c>
      <c r="F53" s="224">
        <v>0.22</v>
      </c>
    </row>
    <row r="54" spans="1:6" ht="16">
      <c r="A54" s="223" t="s">
        <v>295</v>
      </c>
      <c r="B54" s="232" t="s">
        <v>502</v>
      </c>
      <c r="C54" s="224">
        <v>3.9181669972725021E-2</v>
      </c>
      <c r="D54" s="224">
        <f t="shared" si="0"/>
        <v>9.8599024852310854E-2</v>
      </c>
      <c r="E54" s="224">
        <v>5.2599024852310855E-2</v>
      </c>
      <c r="F54" s="224">
        <v>0.27</v>
      </c>
    </row>
    <row r="55" spans="1:6" ht="16">
      <c r="A55" s="223" t="s">
        <v>296</v>
      </c>
      <c r="B55" s="232" t="s">
        <v>522</v>
      </c>
      <c r="C55" s="224">
        <v>0.10896601681957188</v>
      </c>
      <c r="D55" s="224">
        <f t="shared" si="0"/>
        <v>0.19228029460560964</v>
      </c>
      <c r="E55" s="224">
        <v>0.14628029460560965</v>
      </c>
      <c r="F55" s="224">
        <v>0.25</v>
      </c>
    </row>
    <row r="56" spans="1:6" ht="16">
      <c r="A56" s="223" t="s">
        <v>297</v>
      </c>
      <c r="B56" s="232" t="s">
        <v>507</v>
      </c>
      <c r="C56" s="224">
        <v>8.1692501446400528E-2</v>
      </c>
      <c r="D56" s="224">
        <f t="shared" si="0"/>
        <v>0.15566724789468733</v>
      </c>
      <c r="E56" s="224">
        <v>0.10966724789468733</v>
      </c>
      <c r="F56" s="224">
        <v>0.22500000000000001</v>
      </c>
    </row>
    <row r="57" spans="1:6" ht="16">
      <c r="A57" s="223" t="s">
        <v>299</v>
      </c>
      <c r="B57" s="232" t="s">
        <v>522</v>
      </c>
      <c r="C57" s="224">
        <v>0.10896601681957188</v>
      </c>
      <c r="D57" s="224">
        <f t="shared" si="0"/>
        <v>0.19228029460560964</v>
      </c>
      <c r="E57" s="224">
        <v>0.14628029460560965</v>
      </c>
      <c r="F57" s="224">
        <v>0.3</v>
      </c>
    </row>
    <row r="58" spans="1:6" ht="16">
      <c r="A58" s="223" t="s">
        <v>298</v>
      </c>
      <c r="B58" s="232" t="s">
        <v>517</v>
      </c>
      <c r="C58" s="224">
        <v>7.6826803868088279E-3</v>
      </c>
      <c r="D58" s="224">
        <f t="shared" si="0"/>
        <v>5.6313534284766834E-2</v>
      </c>
      <c r="E58" s="224">
        <v>1.0313534284766834E-2</v>
      </c>
      <c r="F58" s="224">
        <v>0.2</v>
      </c>
    </row>
    <row r="59" spans="1:6" ht="16">
      <c r="A59" s="223" t="s">
        <v>459</v>
      </c>
      <c r="B59" s="232" t="s">
        <v>510</v>
      </c>
      <c r="C59" s="224">
        <v>9.8082219604926024E-2</v>
      </c>
      <c r="D59" s="224">
        <f t="shared" si="0"/>
        <v>0.17766945436885656</v>
      </c>
      <c r="E59" s="224">
        <v>0.13166945436885658</v>
      </c>
      <c r="F59" s="224">
        <v>0.3</v>
      </c>
    </row>
    <row r="60" spans="1:6" ht="16">
      <c r="A60" s="223" t="s">
        <v>581</v>
      </c>
      <c r="B60" s="91" t="s">
        <v>497</v>
      </c>
      <c r="C60" s="176">
        <v>4.2915086193622262E-2</v>
      </c>
      <c r="D60" s="224">
        <f t="shared" si="0"/>
        <v>0.14961091058162493</v>
      </c>
      <c r="E60" s="176">
        <v>0.10361091058162493</v>
      </c>
      <c r="F60" s="176">
        <v>0.31595749426030023</v>
      </c>
    </row>
    <row r="61" spans="1:6" ht="16">
      <c r="A61" s="223" t="s">
        <v>300</v>
      </c>
      <c r="B61" s="232" t="s">
        <v>496</v>
      </c>
      <c r="C61" s="224">
        <v>4.9041109802463012E-2</v>
      </c>
      <c r="D61" s="224">
        <f t="shared" si="0"/>
        <v>0.11183472718442829</v>
      </c>
      <c r="E61" s="224">
        <v>6.5834727184428288E-2</v>
      </c>
      <c r="F61" s="224">
        <v>0.2</v>
      </c>
    </row>
    <row r="62" spans="1:6" ht="16">
      <c r="A62" s="223" t="s">
        <v>301</v>
      </c>
      <c r="B62" s="232" t="s">
        <v>504</v>
      </c>
      <c r="C62" s="224">
        <v>4.3535188858583353E-3</v>
      </c>
      <c r="D62" s="224">
        <f t="shared" si="0"/>
        <v>5.1844336094701203E-2</v>
      </c>
      <c r="E62" s="224">
        <v>5.8443360947012038E-3</v>
      </c>
      <c r="F62" s="224">
        <v>0.2</v>
      </c>
    </row>
    <row r="63" spans="1:6" ht="16">
      <c r="A63" s="223" t="s">
        <v>302</v>
      </c>
      <c r="B63" s="232" t="s">
        <v>495</v>
      </c>
      <c r="C63" s="224">
        <v>5.3778762707661788E-3</v>
      </c>
      <c r="D63" s="224">
        <f t="shared" si="0"/>
        <v>5.3219473999336783E-2</v>
      </c>
      <c r="E63" s="224">
        <v>7.219473999336784E-3</v>
      </c>
      <c r="F63" s="224">
        <v>0.25</v>
      </c>
    </row>
    <row r="64" spans="1:6" ht="16">
      <c r="A64" s="223" t="s">
        <v>582</v>
      </c>
      <c r="B64" s="91" t="s">
        <v>497</v>
      </c>
      <c r="C64" s="176">
        <v>4.2915086193622262E-2</v>
      </c>
      <c r="D64" s="224">
        <f t="shared" si="0"/>
        <v>0.14961091058162493</v>
      </c>
      <c r="E64" s="176">
        <v>0.10361091058162493</v>
      </c>
      <c r="F64" s="176">
        <v>0.31595749426030023</v>
      </c>
    </row>
    <row r="65" spans="1:6" ht="16">
      <c r="A65" s="223" t="s">
        <v>460</v>
      </c>
      <c r="B65" s="232" t="s">
        <v>507</v>
      </c>
      <c r="C65" s="224">
        <v>8.1692501446400528E-2</v>
      </c>
      <c r="D65" s="224">
        <f t="shared" si="0"/>
        <v>0.15566724789468733</v>
      </c>
      <c r="E65" s="224">
        <v>0.10966724789468733</v>
      </c>
      <c r="F65" s="224">
        <v>0.3</v>
      </c>
    </row>
    <row r="66" spans="1:6" ht="16">
      <c r="A66" s="233" t="s">
        <v>461</v>
      </c>
      <c r="B66" s="232" t="s">
        <v>497</v>
      </c>
      <c r="C66" s="224">
        <v>4.9041109802463012E-2</v>
      </c>
      <c r="D66" s="224">
        <f t="shared" si="0"/>
        <v>0.11183472718442829</v>
      </c>
      <c r="E66" s="224">
        <v>6.5834727184428288E-2</v>
      </c>
      <c r="F66" s="224">
        <v>0.31</v>
      </c>
    </row>
    <row r="67" spans="1:6" ht="16">
      <c r="A67" s="223" t="s">
        <v>303</v>
      </c>
      <c r="B67" s="232" t="s">
        <v>513</v>
      </c>
      <c r="C67" s="224">
        <v>3.2779436317050999E-2</v>
      </c>
      <c r="D67" s="224">
        <f t="shared" si="0"/>
        <v>9.0004412948338497E-2</v>
      </c>
      <c r="E67" s="224">
        <v>4.4004412948338498E-2</v>
      </c>
      <c r="F67" s="224">
        <v>0.15</v>
      </c>
    </row>
    <row r="68" spans="1:6" ht="16">
      <c r="A68" s="223" t="s">
        <v>304</v>
      </c>
      <c r="B68" s="232" t="s">
        <v>503</v>
      </c>
      <c r="C68" s="224">
        <v>0</v>
      </c>
      <c r="D68" s="224">
        <f t="shared" si="0"/>
        <v>4.5999999999999999E-2</v>
      </c>
      <c r="E68" s="224">
        <v>0</v>
      </c>
      <c r="F68" s="224">
        <v>0.3</v>
      </c>
    </row>
    <row r="69" spans="1:6" ht="16">
      <c r="A69" s="223" t="s">
        <v>447</v>
      </c>
      <c r="B69" s="232" t="s">
        <v>522</v>
      </c>
      <c r="C69" s="224">
        <v>0.10896601681957188</v>
      </c>
      <c r="D69" s="224">
        <f t="shared" si="0"/>
        <v>0.19228029460560964</v>
      </c>
      <c r="E69" s="224">
        <v>0.14628029460560965</v>
      </c>
      <c r="F69" s="224">
        <v>0.25</v>
      </c>
    </row>
    <row r="70" spans="1:6" ht="16">
      <c r="A70" s="223" t="s">
        <v>305</v>
      </c>
      <c r="B70" s="91" t="s">
        <v>497</v>
      </c>
      <c r="C70" s="176">
        <v>9.5882201472833571E-3</v>
      </c>
      <c r="D70" s="224">
        <f t="shared" ref="D70:D133" si="1">$B$1+E70</f>
        <v>0.10487160629364337</v>
      </c>
      <c r="E70" s="176">
        <v>5.8871606293643367E-2</v>
      </c>
      <c r="F70" s="176">
        <v>0.24707349543413576</v>
      </c>
    </row>
    <row r="71" spans="1:6" ht="16">
      <c r="A71" s="223" t="s">
        <v>306</v>
      </c>
      <c r="B71" s="232" t="s">
        <v>505</v>
      </c>
      <c r="C71" s="224">
        <v>2.7273515373171343E-2</v>
      </c>
      <c r="D71" s="224">
        <f t="shared" si="1"/>
        <v>8.2613046710922261E-2</v>
      </c>
      <c r="E71" s="224">
        <v>3.6613046710922262E-2</v>
      </c>
      <c r="F71" s="224">
        <v>0.22</v>
      </c>
    </row>
    <row r="72" spans="1:6" ht="16">
      <c r="A72" s="223" t="s">
        <v>583</v>
      </c>
      <c r="B72" s="91" t="s">
        <v>497</v>
      </c>
      <c r="C72" s="176">
        <f t="shared" ref="C72" si="2">J72</f>
        <v>0</v>
      </c>
      <c r="D72" s="224">
        <f t="shared" si="1"/>
        <v>4.5999999999999999E-2</v>
      </c>
      <c r="E72" s="176">
        <f t="shared" ref="E72" si="3">H72</f>
        <v>0</v>
      </c>
      <c r="F72" s="176">
        <f t="shared" ref="F72" si="4">K72</f>
        <v>0</v>
      </c>
    </row>
    <row r="73" spans="1:6" ht="16">
      <c r="A73" s="223" t="s">
        <v>307</v>
      </c>
      <c r="B73" s="232" t="s">
        <v>505</v>
      </c>
      <c r="C73" s="224">
        <v>2.7273515373171343E-2</v>
      </c>
      <c r="D73" s="224">
        <f t="shared" si="1"/>
        <v>8.2613046710922261E-2</v>
      </c>
      <c r="E73" s="224">
        <v>3.6613046710922262E-2</v>
      </c>
      <c r="F73" s="224">
        <v>0.25</v>
      </c>
    </row>
    <row r="74" spans="1:6" ht="16">
      <c r="A74" s="223" t="s">
        <v>523</v>
      </c>
      <c r="B74" s="232" t="s">
        <v>517</v>
      </c>
      <c r="C74" s="224">
        <v>7.6826803868088279E-3</v>
      </c>
      <c r="D74" s="224">
        <f t="shared" si="1"/>
        <v>5.6313534284766834E-2</v>
      </c>
      <c r="E74" s="224">
        <v>1.0313534284766834E-2</v>
      </c>
      <c r="F74" s="224">
        <v>0</v>
      </c>
    </row>
    <row r="75" spans="1:6" ht="16">
      <c r="A75" s="234" t="s">
        <v>524</v>
      </c>
      <c r="B75" s="232" t="s">
        <v>497</v>
      </c>
      <c r="C75" s="224">
        <v>9.8082219604926024E-2</v>
      </c>
      <c r="D75" s="224">
        <f t="shared" si="1"/>
        <v>0.17766945436885656</v>
      </c>
      <c r="E75" s="224">
        <v>0.13166945436885658</v>
      </c>
      <c r="F75" s="224">
        <v>0.29149999999999998</v>
      </c>
    </row>
    <row r="76" spans="1:6" ht="16">
      <c r="A76" s="233" t="s">
        <v>525</v>
      </c>
      <c r="B76" s="232" t="s">
        <v>497</v>
      </c>
      <c r="C76" s="224">
        <v>5.9924907017108842E-2</v>
      </c>
      <c r="D76" s="224">
        <f t="shared" si="1"/>
        <v>0.12644556742118129</v>
      </c>
      <c r="E76" s="224">
        <v>8.0445567421181294E-2</v>
      </c>
      <c r="F76" s="224">
        <v>0.29149999999999998</v>
      </c>
    </row>
    <row r="77" spans="1:6" ht="16">
      <c r="A77" s="234" t="s">
        <v>526</v>
      </c>
      <c r="B77" s="232" t="s">
        <v>497</v>
      </c>
      <c r="C77" s="224">
        <v>1.7414075543433345E-2</v>
      </c>
      <c r="D77" s="224">
        <f t="shared" si="1"/>
        <v>6.9377344378804828E-2</v>
      </c>
      <c r="E77" s="224">
        <v>2.3377344378804829E-2</v>
      </c>
      <c r="F77" s="224">
        <v>0.18640000000000001</v>
      </c>
    </row>
    <row r="78" spans="1:6" ht="16">
      <c r="A78" s="233" t="s">
        <v>527</v>
      </c>
      <c r="B78" s="232" t="s">
        <v>497</v>
      </c>
      <c r="C78" s="224">
        <v>0.10896601681957191</v>
      </c>
      <c r="D78" s="224">
        <f t="shared" si="1"/>
        <v>0.19228029460560964</v>
      </c>
      <c r="E78" s="224">
        <v>0.14628029460560965</v>
      </c>
      <c r="F78" s="224">
        <v>0.18640000000000001</v>
      </c>
    </row>
    <row r="79" spans="1:6" ht="16">
      <c r="A79" s="223" t="s">
        <v>308</v>
      </c>
      <c r="B79" s="232" t="s">
        <v>496</v>
      </c>
      <c r="C79" s="224">
        <v>4.9041109802463012E-2</v>
      </c>
      <c r="D79" s="224">
        <f t="shared" si="1"/>
        <v>0.11183472718442829</v>
      </c>
      <c r="E79" s="224">
        <v>6.5834727184428288E-2</v>
      </c>
      <c r="F79" s="224">
        <v>0.25</v>
      </c>
    </row>
    <row r="80" spans="1:6" ht="16">
      <c r="A80" s="223" t="s">
        <v>528</v>
      </c>
      <c r="B80" s="232" t="s">
        <v>508</v>
      </c>
      <c r="C80" s="224">
        <v>6.5302783287875029E-3</v>
      </c>
      <c r="D80" s="224">
        <f t="shared" si="1"/>
        <v>5.4766504142051808E-2</v>
      </c>
      <c r="E80" s="224">
        <v>8.7665041420518092E-3</v>
      </c>
      <c r="F80" s="224">
        <v>0.16500000000000001</v>
      </c>
    </row>
    <row r="81" spans="1:6" ht="16">
      <c r="A81" s="223" t="s">
        <v>309</v>
      </c>
      <c r="B81" s="232" t="s">
        <v>499</v>
      </c>
      <c r="C81" s="224">
        <v>2.0743237044383835E-2</v>
      </c>
      <c r="D81" s="224">
        <f t="shared" si="1"/>
        <v>7.3846542568870452E-2</v>
      </c>
      <c r="E81" s="224">
        <v>2.7846542568870453E-2</v>
      </c>
      <c r="F81" s="224">
        <v>0.09</v>
      </c>
    </row>
    <row r="82" spans="1:6" ht="16">
      <c r="A82" s="223" t="s">
        <v>310</v>
      </c>
      <c r="B82" s="232" t="s">
        <v>511</v>
      </c>
      <c r="C82" s="224">
        <v>9.2192164641705932E-3</v>
      </c>
      <c r="D82" s="224">
        <f t="shared" si="1"/>
        <v>5.83762411417202E-2</v>
      </c>
      <c r="E82" s="224">
        <v>1.2376241141720201E-2</v>
      </c>
      <c r="F82" s="224">
        <v>0.2</v>
      </c>
    </row>
    <row r="83" spans="1:6" ht="16">
      <c r="A83" s="223" t="s">
        <v>311</v>
      </c>
      <c r="B83" s="232" t="s">
        <v>529</v>
      </c>
      <c r="C83" s="224">
        <v>2.3944353872220846E-2</v>
      </c>
      <c r="D83" s="224">
        <f t="shared" si="1"/>
        <v>7.8143848520856624E-2</v>
      </c>
      <c r="E83" s="224">
        <v>3.2143848520856624E-2</v>
      </c>
      <c r="F83" s="224">
        <v>0.3</v>
      </c>
    </row>
    <row r="84" spans="1:6" ht="16">
      <c r="A84" s="223" t="s">
        <v>312</v>
      </c>
      <c r="B84" s="232" t="s">
        <v>499</v>
      </c>
      <c r="C84" s="224">
        <v>2.0743237044383835E-2</v>
      </c>
      <c r="D84" s="224">
        <f t="shared" si="1"/>
        <v>7.3846542568870452E-2</v>
      </c>
      <c r="E84" s="224">
        <v>2.7846542568870453E-2</v>
      </c>
      <c r="F84" s="224">
        <v>0.22</v>
      </c>
    </row>
    <row r="85" spans="1:6" ht="16">
      <c r="A85" s="234" t="s">
        <v>530</v>
      </c>
      <c r="B85" s="232" t="s">
        <v>497</v>
      </c>
      <c r="C85" s="224">
        <v>7.0808704231754685E-2</v>
      </c>
      <c r="D85" s="224">
        <f t="shared" si="1"/>
        <v>0.14105640765793431</v>
      </c>
      <c r="E85" s="224">
        <v>9.5056407657934314E-2</v>
      </c>
      <c r="F85" s="224">
        <v>0.20230000000000001</v>
      </c>
    </row>
    <row r="86" spans="1:6" ht="16">
      <c r="A86" s="223" t="s">
        <v>448</v>
      </c>
      <c r="B86" s="232" t="s">
        <v>507</v>
      </c>
      <c r="C86" s="224">
        <v>8.1692501446400528E-2</v>
      </c>
      <c r="D86" s="224">
        <f t="shared" si="1"/>
        <v>0.15566724789468733</v>
      </c>
      <c r="E86" s="224">
        <v>0.10966724789468733</v>
      </c>
      <c r="F86" s="224">
        <v>0.15</v>
      </c>
    </row>
    <row r="87" spans="1:6" ht="16">
      <c r="A87" s="223" t="s">
        <v>313</v>
      </c>
      <c r="B87" s="232" t="s">
        <v>508</v>
      </c>
      <c r="C87" s="224">
        <v>6.5302783287875029E-3</v>
      </c>
      <c r="D87" s="224">
        <f t="shared" si="1"/>
        <v>5.4766504142051808E-2</v>
      </c>
      <c r="E87" s="224">
        <v>8.7665041420518092E-3</v>
      </c>
      <c r="F87" s="224">
        <v>0.125</v>
      </c>
    </row>
    <row r="88" spans="1:6" ht="16">
      <c r="A88" s="223" t="s">
        <v>314</v>
      </c>
      <c r="B88" s="232" t="s">
        <v>508</v>
      </c>
      <c r="C88" s="224">
        <v>6.5302783287875029E-3</v>
      </c>
      <c r="D88" s="224">
        <f t="shared" si="1"/>
        <v>5.4766504142051808E-2</v>
      </c>
      <c r="E88" s="224">
        <v>8.7665041420518092E-3</v>
      </c>
      <c r="F88" s="224">
        <v>0</v>
      </c>
    </row>
    <row r="89" spans="1:6" ht="16">
      <c r="A89" s="223" t="s">
        <v>315</v>
      </c>
      <c r="B89" s="232" t="s">
        <v>517</v>
      </c>
      <c r="C89" s="224">
        <v>7.6826803868088279E-3</v>
      </c>
      <c r="D89" s="224">
        <f t="shared" si="1"/>
        <v>5.6313534284766834E-2</v>
      </c>
      <c r="E89" s="224">
        <v>1.0313534284766834E-2</v>
      </c>
      <c r="F89" s="224">
        <v>0.23</v>
      </c>
    </row>
    <row r="90" spans="1:6" ht="16">
      <c r="A90" s="223" t="s">
        <v>316</v>
      </c>
      <c r="B90" s="232" t="s">
        <v>529</v>
      </c>
      <c r="C90" s="224">
        <v>2.3944353872220846E-2</v>
      </c>
      <c r="D90" s="224">
        <f t="shared" si="1"/>
        <v>7.8143848520856624E-2</v>
      </c>
      <c r="E90" s="224">
        <v>3.2143848520856624E-2</v>
      </c>
      <c r="F90" s="224">
        <v>0.24</v>
      </c>
    </row>
    <row r="91" spans="1:6" ht="16">
      <c r="A91" s="223" t="s">
        <v>462</v>
      </c>
      <c r="B91" s="232" t="s">
        <v>502</v>
      </c>
      <c r="C91" s="224">
        <v>3.9181669972725021E-2</v>
      </c>
      <c r="D91" s="224">
        <f t="shared" si="1"/>
        <v>9.8599024852310854E-2</v>
      </c>
      <c r="E91" s="224">
        <v>5.2599024852310855E-2</v>
      </c>
      <c r="F91" s="224">
        <v>0.25</v>
      </c>
    </row>
    <row r="92" spans="1:6" ht="16">
      <c r="A92" s="223" t="s">
        <v>317</v>
      </c>
      <c r="B92" s="232" t="s">
        <v>496</v>
      </c>
      <c r="C92" s="224">
        <v>4.9041109802463012E-2</v>
      </c>
      <c r="D92" s="224">
        <f t="shared" si="1"/>
        <v>0.11183472718442829</v>
      </c>
      <c r="E92" s="224">
        <v>6.5834727184428288E-2</v>
      </c>
      <c r="F92" s="224">
        <v>0.25</v>
      </c>
    </row>
    <row r="93" spans="1:6" ht="16">
      <c r="A93" s="223" t="s">
        <v>318</v>
      </c>
      <c r="B93" s="232" t="s">
        <v>517</v>
      </c>
      <c r="C93" s="224">
        <v>7.6826803868088279E-3</v>
      </c>
      <c r="D93" s="224">
        <f t="shared" si="1"/>
        <v>5.6313534284766834E-2</v>
      </c>
      <c r="E93" s="224">
        <v>1.0313534284766834E-2</v>
      </c>
      <c r="F93" s="224">
        <v>0.30620000000000003</v>
      </c>
    </row>
    <row r="94" spans="1:6" ht="16">
      <c r="A94" s="223" t="s">
        <v>531</v>
      </c>
      <c r="B94" s="232" t="s">
        <v>508</v>
      </c>
      <c r="C94" s="224">
        <v>6.5302783287875029E-3</v>
      </c>
      <c r="D94" s="224">
        <f t="shared" si="1"/>
        <v>5.4766504142051808E-2</v>
      </c>
      <c r="E94" s="224">
        <v>8.7665041420518092E-3</v>
      </c>
      <c r="F94" s="224">
        <v>0</v>
      </c>
    </row>
    <row r="95" spans="1:6" ht="16">
      <c r="A95" s="223" t="s">
        <v>319</v>
      </c>
      <c r="B95" s="232" t="s">
        <v>496</v>
      </c>
      <c r="C95" s="224">
        <v>4.9041109802463012E-2</v>
      </c>
      <c r="D95" s="224">
        <f t="shared" si="1"/>
        <v>0.11183472718442829</v>
      </c>
      <c r="E95" s="224">
        <v>6.5834727184428288E-2</v>
      </c>
      <c r="F95" s="224">
        <v>0.2</v>
      </c>
    </row>
    <row r="96" spans="1:6" ht="16">
      <c r="A96" s="223" t="s">
        <v>320</v>
      </c>
      <c r="B96" s="232" t="s">
        <v>499</v>
      </c>
      <c r="C96" s="224">
        <v>2.0743237044383835E-2</v>
      </c>
      <c r="D96" s="224">
        <f t="shared" si="1"/>
        <v>7.3846542568870452E-2</v>
      </c>
      <c r="E96" s="224">
        <v>2.7846542568870453E-2</v>
      </c>
      <c r="F96" s="224">
        <v>0.2</v>
      </c>
    </row>
    <row r="97" spans="1:6" ht="16">
      <c r="A97" s="223" t="s">
        <v>321</v>
      </c>
      <c r="B97" s="232" t="s">
        <v>500</v>
      </c>
      <c r="C97" s="224">
        <v>7.0808704231754685E-2</v>
      </c>
      <c r="D97" s="224">
        <f t="shared" si="1"/>
        <v>0.14105640765793431</v>
      </c>
      <c r="E97" s="224">
        <v>9.5056407657934314E-2</v>
      </c>
      <c r="F97" s="224">
        <v>0.3</v>
      </c>
    </row>
    <row r="98" spans="1:6" ht="16">
      <c r="A98" s="233" t="s">
        <v>532</v>
      </c>
      <c r="B98" s="232" t="s">
        <v>497</v>
      </c>
      <c r="C98" s="224">
        <v>0.17499999999999999</v>
      </c>
      <c r="D98" s="224">
        <f t="shared" si="1"/>
        <v>0.28092692770782934</v>
      </c>
      <c r="E98" s="224">
        <v>0.23492692770782936</v>
      </c>
      <c r="F98" s="224">
        <v>0.23100000000000001</v>
      </c>
    </row>
    <row r="99" spans="1:6" ht="16">
      <c r="A99" s="223" t="s">
        <v>322</v>
      </c>
      <c r="B99" s="232" t="s">
        <v>517</v>
      </c>
      <c r="C99" s="224">
        <v>7.6826803868088279E-3</v>
      </c>
      <c r="D99" s="224">
        <f t="shared" si="1"/>
        <v>5.6313534284766834E-2</v>
      </c>
      <c r="E99" s="224">
        <v>1.0313534284766834E-2</v>
      </c>
      <c r="F99" s="224">
        <v>0.15</v>
      </c>
    </row>
    <row r="100" spans="1:6" ht="16">
      <c r="A100" s="223" t="s">
        <v>463</v>
      </c>
      <c r="B100" s="232" t="s">
        <v>500</v>
      </c>
      <c r="C100" s="224">
        <v>7.0808704231754685E-2</v>
      </c>
      <c r="D100" s="224">
        <f t="shared" si="1"/>
        <v>0.14105640765793431</v>
      </c>
      <c r="E100" s="224">
        <v>9.5056407657934314E-2</v>
      </c>
      <c r="F100" s="224">
        <v>0.1</v>
      </c>
    </row>
    <row r="101" spans="1:6" ht="16">
      <c r="A101" s="223" t="s">
        <v>533</v>
      </c>
      <c r="B101" s="232" t="s">
        <v>522</v>
      </c>
      <c r="C101" s="224">
        <v>0.10896601681957188</v>
      </c>
      <c r="D101" s="224">
        <f t="shared" si="1"/>
        <v>0.19228029460560964</v>
      </c>
      <c r="E101" s="224">
        <v>0.14628029460560965</v>
      </c>
      <c r="F101" s="224">
        <v>0.26860000000000001</v>
      </c>
    </row>
    <row r="102" spans="1:6" ht="16">
      <c r="A102" s="223" t="s">
        <v>323</v>
      </c>
      <c r="B102" s="232" t="s">
        <v>512</v>
      </c>
      <c r="C102" s="224">
        <v>1.3060556657575006E-2</v>
      </c>
      <c r="D102" s="224">
        <f t="shared" si="1"/>
        <v>6.3533008284103618E-2</v>
      </c>
      <c r="E102" s="224">
        <v>1.7533008284103618E-2</v>
      </c>
      <c r="F102" s="224">
        <v>0.2</v>
      </c>
    </row>
    <row r="103" spans="1:6" ht="16">
      <c r="A103" s="223" t="s">
        <v>449</v>
      </c>
      <c r="B103" s="232" t="s">
        <v>217</v>
      </c>
      <c r="C103" s="224">
        <v>0.17499999999999999</v>
      </c>
      <c r="D103" s="224">
        <f t="shared" si="1"/>
        <v>0.28092692770782934</v>
      </c>
      <c r="E103" s="224">
        <v>0.23492692770782936</v>
      </c>
      <c r="F103" s="224">
        <v>0.17</v>
      </c>
    </row>
    <row r="104" spans="1:6" ht="16">
      <c r="A104" s="234" t="s">
        <v>534</v>
      </c>
      <c r="B104" s="232" t="s">
        <v>497</v>
      </c>
      <c r="C104" s="224">
        <v>0.13073361124886354</v>
      </c>
      <c r="D104" s="224">
        <f t="shared" si="1"/>
        <v>0.22150197507911562</v>
      </c>
      <c r="E104" s="224">
        <v>0.17550197507911564</v>
      </c>
      <c r="F104" s="224">
        <v>0.29149999999999998</v>
      </c>
    </row>
    <row r="105" spans="1:6" ht="16">
      <c r="A105" s="233" t="s">
        <v>324</v>
      </c>
      <c r="B105" s="232" t="s">
        <v>497</v>
      </c>
      <c r="C105" s="224">
        <v>2.0743237044383835E-2</v>
      </c>
      <c r="D105" s="224">
        <f t="shared" si="1"/>
        <v>7.3846542568870452E-2</v>
      </c>
      <c r="E105" s="224">
        <v>2.7846542568870453E-2</v>
      </c>
      <c r="F105" s="224">
        <v>0.2</v>
      </c>
    </row>
    <row r="106" spans="1:6" ht="16">
      <c r="A106" s="223" t="s">
        <v>325</v>
      </c>
      <c r="B106" s="232" t="s">
        <v>503</v>
      </c>
      <c r="C106" s="224">
        <v>0</v>
      </c>
      <c r="D106" s="224">
        <f t="shared" si="1"/>
        <v>4.5999999999999999E-2</v>
      </c>
      <c r="E106" s="224">
        <v>0</v>
      </c>
      <c r="F106" s="224">
        <v>0.125</v>
      </c>
    </row>
    <row r="107" spans="1:6" ht="16">
      <c r="A107" s="223" t="s">
        <v>326</v>
      </c>
      <c r="B107" s="232" t="s">
        <v>511</v>
      </c>
      <c r="C107" s="224">
        <v>9.2192164641705932E-3</v>
      </c>
      <c r="D107" s="224">
        <f t="shared" si="1"/>
        <v>5.83762411417202E-2</v>
      </c>
      <c r="E107" s="224">
        <v>1.2376241141720201E-2</v>
      </c>
      <c r="F107" s="224">
        <v>0.15</v>
      </c>
    </row>
    <row r="108" spans="1:6" ht="16">
      <c r="A108" s="223" t="s">
        <v>327</v>
      </c>
      <c r="B108" s="232" t="s">
        <v>503</v>
      </c>
      <c r="C108" s="224">
        <v>0</v>
      </c>
      <c r="D108" s="224">
        <f t="shared" si="1"/>
        <v>4.5999999999999999E-2</v>
      </c>
      <c r="E108" s="224">
        <v>0</v>
      </c>
      <c r="F108" s="224">
        <v>0.24940000000000001</v>
      </c>
    </row>
    <row r="109" spans="1:6" ht="16">
      <c r="A109" s="223" t="s">
        <v>328</v>
      </c>
      <c r="B109" s="232" t="s">
        <v>508</v>
      </c>
      <c r="C109" s="224">
        <v>6.5302783287875029E-3</v>
      </c>
      <c r="D109" s="224">
        <f t="shared" si="1"/>
        <v>5.4766504142051808E-2</v>
      </c>
      <c r="E109" s="224">
        <v>8.7665041420518092E-3</v>
      </c>
      <c r="F109" s="224">
        <v>0.26860000000000001</v>
      </c>
    </row>
    <row r="110" spans="1:6" ht="16">
      <c r="A110" s="223" t="s">
        <v>329</v>
      </c>
      <c r="B110" s="232" t="s">
        <v>502</v>
      </c>
      <c r="C110" s="224">
        <v>3.9181669972725021E-2</v>
      </c>
      <c r="D110" s="224">
        <f t="shared" si="1"/>
        <v>9.8599024852310854E-2</v>
      </c>
      <c r="E110" s="224">
        <v>5.2599024852310855E-2</v>
      </c>
      <c r="F110" s="224">
        <v>0.1</v>
      </c>
    </row>
    <row r="111" spans="1:6" ht="16">
      <c r="A111" s="234" t="s">
        <v>464</v>
      </c>
      <c r="B111" s="232" t="s">
        <v>497</v>
      </c>
      <c r="C111" s="224">
        <v>7.0808704231754685E-2</v>
      </c>
      <c r="D111" s="224">
        <f t="shared" si="1"/>
        <v>0.14105640765793431</v>
      </c>
      <c r="E111" s="224">
        <v>9.5056407657934314E-2</v>
      </c>
      <c r="F111" s="224">
        <v>0.2</v>
      </c>
    </row>
    <row r="112" spans="1:6" ht="16">
      <c r="A112" s="233" t="s">
        <v>330</v>
      </c>
      <c r="B112" s="232" t="s">
        <v>497</v>
      </c>
      <c r="C112" s="224">
        <v>0.13073361124886354</v>
      </c>
      <c r="D112" s="224">
        <f t="shared" si="1"/>
        <v>0.22150197507911562</v>
      </c>
      <c r="E112" s="224">
        <v>0.17550197507911564</v>
      </c>
      <c r="F112" s="224">
        <v>0.3</v>
      </c>
    </row>
    <row r="113" spans="1:6" ht="16">
      <c r="A113" s="223" t="s">
        <v>331</v>
      </c>
      <c r="B113" s="232" t="s">
        <v>512</v>
      </c>
      <c r="C113" s="224">
        <v>1.3060556657575006E-2</v>
      </c>
      <c r="D113" s="224">
        <f t="shared" si="1"/>
        <v>6.3533008284103618E-2</v>
      </c>
      <c r="E113" s="224">
        <v>1.7533008284103618E-2</v>
      </c>
      <c r="F113" s="224">
        <v>0.24</v>
      </c>
    </row>
    <row r="114" spans="1:6" ht="16">
      <c r="A114" s="223" t="s">
        <v>535</v>
      </c>
      <c r="B114" s="232" t="s">
        <v>507</v>
      </c>
      <c r="C114" s="224">
        <v>8.1692501446400528E-2</v>
      </c>
      <c r="D114" s="224">
        <f t="shared" si="1"/>
        <v>0.15566724789468733</v>
      </c>
      <c r="E114" s="224">
        <v>0.10966724789468733</v>
      </c>
      <c r="F114" s="224">
        <v>0.26860000000000001</v>
      </c>
    </row>
    <row r="115" spans="1:6" ht="16">
      <c r="A115" s="223" t="s">
        <v>536</v>
      </c>
      <c r="B115" s="232" t="s">
        <v>510</v>
      </c>
      <c r="C115" s="224">
        <v>9.8082219604926024E-2</v>
      </c>
      <c r="D115" s="224">
        <f t="shared" si="1"/>
        <v>0.17766945436885656</v>
      </c>
      <c r="E115" s="224">
        <v>0.13166945436885658</v>
      </c>
      <c r="F115" s="224">
        <v>0.26860000000000001</v>
      </c>
    </row>
    <row r="116" spans="1:6" ht="16">
      <c r="A116" s="223" t="s">
        <v>332</v>
      </c>
      <c r="B116" s="232" t="s">
        <v>511</v>
      </c>
      <c r="C116" s="224">
        <v>9.2192164641705932E-3</v>
      </c>
      <c r="D116" s="224">
        <f t="shared" si="1"/>
        <v>5.83762411417202E-2</v>
      </c>
      <c r="E116" s="224">
        <v>1.2376241141720201E-2</v>
      </c>
      <c r="F116" s="224">
        <v>0.35</v>
      </c>
    </row>
    <row r="117" spans="1:6" ht="16">
      <c r="A117" s="223" t="s">
        <v>584</v>
      </c>
      <c r="B117" s="91" t="s">
        <v>497</v>
      </c>
      <c r="C117" s="176">
        <f t="shared" ref="C117" si="5">J117</f>
        <v>0</v>
      </c>
      <c r="D117" s="224">
        <f t="shared" si="1"/>
        <v>4.5999999999999999E-2</v>
      </c>
      <c r="E117" s="176">
        <f t="shared" ref="E117" si="6">H117</f>
        <v>0</v>
      </c>
      <c r="F117" s="176">
        <f t="shared" ref="F117" si="7">K117</f>
        <v>0</v>
      </c>
    </row>
    <row r="118" spans="1:6" ht="16">
      <c r="A118" s="223" t="s">
        <v>333</v>
      </c>
      <c r="B118" s="232" t="s">
        <v>529</v>
      </c>
      <c r="C118" s="224">
        <v>2.3944353872220846E-2</v>
      </c>
      <c r="D118" s="224">
        <f t="shared" si="1"/>
        <v>7.8143848520856624E-2</v>
      </c>
      <c r="E118" s="224">
        <v>3.2143848520856624E-2</v>
      </c>
      <c r="F118" s="224">
        <v>0.15</v>
      </c>
    </row>
    <row r="119" spans="1:6" ht="16">
      <c r="A119" s="223" t="s">
        <v>334</v>
      </c>
      <c r="B119" s="232" t="s">
        <v>499</v>
      </c>
      <c r="C119" s="224">
        <v>2.0743237044383835E-2</v>
      </c>
      <c r="D119" s="224">
        <f t="shared" si="1"/>
        <v>7.3846542568870452E-2</v>
      </c>
      <c r="E119" s="224">
        <v>2.7846542568870453E-2</v>
      </c>
      <c r="F119" s="224">
        <v>0.3</v>
      </c>
    </row>
    <row r="120" spans="1:6" ht="16">
      <c r="A120" s="223" t="s">
        <v>465</v>
      </c>
      <c r="B120" s="91" t="s">
        <v>497</v>
      </c>
      <c r="C120" s="176">
        <v>9.5882201472833571E-3</v>
      </c>
      <c r="D120" s="224">
        <f t="shared" si="1"/>
        <v>0.10487160629364337</v>
      </c>
      <c r="E120" s="176">
        <v>5.8871606293643367E-2</v>
      </c>
      <c r="F120" s="176">
        <v>0.24707349543413576</v>
      </c>
    </row>
    <row r="121" spans="1:6" ht="16">
      <c r="A121" s="223" t="s">
        <v>450</v>
      </c>
      <c r="B121" s="232" t="s">
        <v>500</v>
      </c>
      <c r="C121" s="224">
        <v>7.0808704231754685E-2</v>
      </c>
      <c r="D121" s="224">
        <f t="shared" si="1"/>
        <v>0.14105640765793431</v>
      </c>
      <c r="E121" s="224">
        <v>9.5056407657934314E-2</v>
      </c>
      <c r="F121" s="224">
        <v>0.12</v>
      </c>
    </row>
    <row r="122" spans="1:6" ht="16">
      <c r="A122" s="223" t="s">
        <v>466</v>
      </c>
      <c r="B122" s="232" t="s">
        <v>500</v>
      </c>
      <c r="C122" s="224">
        <v>7.0808704231754685E-2</v>
      </c>
      <c r="D122" s="224">
        <f t="shared" si="1"/>
        <v>0.14105640765793431</v>
      </c>
      <c r="E122" s="224">
        <v>9.5056407657934314E-2</v>
      </c>
      <c r="F122" s="224">
        <v>0.25</v>
      </c>
    </row>
    <row r="123" spans="1:6" ht="16">
      <c r="A123" s="223" t="s">
        <v>335</v>
      </c>
      <c r="B123" s="232" t="s">
        <v>496</v>
      </c>
      <c r="C123" s="224">
        <v>4.9041109802463012E-2</v>
      </c>
      <c r="D123" s="224">
        <f t="shared" si="1"/>
        <v>0.11183472718442829</v>
      </c>
      <c r="E123" s="224">
        <v>6.5834727184428288E-2</v>
      </c>
      <c r="F123" s="224">
        <v>0.15</v>
      </c>
    </row>
    <row r="124" spans="1:6" ht="16">
      <c r="A124" s="223" t="s">
        <v>537</v>
      </c>
      <c r="B124" s="232" t="s">
        <v>529</v>
      </c>
      <c r="C124" s="224">
        <v>2.3944353872220846E-2</v>
      </c>
      <c r="D124" s="224">
        <f t="shared" si="1"/>
        <v>7.8143848520856624E-2</v>
      </c>
      <c r="E124" s="224">
        <v>3.2143848520856624E-2</v>
      </c>
      <c r="F124" s="224">
        <v>0.2853</v>
      </c>
    </row>
    <row r="125" spans="1:6" ht="16">
      <c r="A125" s="223" t="s">
        <v>451</v>
      </c>
      <c r="B125" s="232" t="s">
        <v>505</v>
      </c>
      <c r="C125" s="224">
        <v>2.7273515373171343E-2</v>
      </c>
      <c r="D125" s="224">
        <f t="shared" si="1"/>
        <v>8.2613046710922261E-2</v>
      </c>
      <c r="E125" s="224">
        <v>3.6613046710922262E-2</v>
      </c>
      <c r="F125" s="224">
        <v>0.32</v>
      </c>
    </row>
    <row r="126" spans="1:6" ht="16">
      <c r="A126" s="223" t="s">
        <v>336</v>
      </c>
      <c r="B126" s="232" t="s">
        <v>510</v>
      </c>
      <c r="C126" s="224">
        <v>9.8082219604926024E-2</v>
      </c>
      <c r="D126" s="224">
        <f t="shared" si="1"/>
        <v>0.17766945436885656</v>
      </c>
      <c r="E126" s="224">
        <v>0.13166945436885658</v>
      </c>
      <c r="F126" s="224">
        <v>0.32</v>
      </c>
    </row>
    <row r="127" spans="1:6" ht="16">
      <c r="A127" s="234" t="s">
        <v>467</v>
      </c>
      <c r="B127" s="232" t="s">
        <v>497</v>
      </c>
      <c r="C127" s="224">
        <v>0.10896601681957191</v>
      </c>
      <c r="D127" s="224">
        <f t="shared" si="1"/>
        <v>0.19228029460560964</v>
      </c>
      <c r="E127" s="224">
        <v>0.14628029460560965</v>
      </c>
      <c r="F127" s="224">
        <v>0.25</v>
      </c>
    </row>
    <row r="128" spans="1:6" ht="16">
      <c r="A128" s="223" t="s">
        <v>337</v>
      </c>
      <c r="B128" s="232" t="s">
        <v>496</v>
      </c>
      <c r="C128" s="224">
        <v>4.9041109802463012E-2</v>
      </c>
      <c r="D128" s="224">
        <f t="shared" si="1"/>
        <v>0.11183472718442829</v>
      </c>
      <c r="E128" s="224">
        <v>6.5834727184428288E-2</v>
      </c>
      <c r="F128" s="224">
        <v>0.32</v>
      </c>
    </row>
    <row r="129" spans="1:6" ht="16">
      <c r="A129" s="223" t="s">
        <v>338</v>
      </c>
      <c r="B129" s="232" t="s">
        <v>503</v>
      </c>
      <c r="C129" s="224">
        <v>0</v>
      </c>
      <c r="D129" s="224">
        <f t="shared" si="1"/>
        <v>4.5999999999999999E-2</v>
      </c>
      <c r="E129" s="224">
        <v>0</v>
      </c>
      <c r="F129" s="224">
        <v>0.25800000000000001</v>
      </c>
    </row>
    <row r="130" spans="1:6" ht="16">
      <c r="A130" s="223" t="s">
        <v>585</v>
      </c>
      <c r="B130" s="91" t="s">
        <v>497</v>
      </c>
      <c r="C130" s="176">
        <v>0.1054310997313879</v>
      </c>
      <c r="D130" s="224">
        <f t="shared" si="1"/>
        <v>0.23353488197001548</v>
      </c>
      <c r="E130" s="176">
        <v>0.1875348819700155</v>
      </c>
      <c r="F130" s="176">
        <v>0.2724561140242252</v>
      </c>
    </row>
    <row r="131" spans="1:6" ht="16">
      <c r="A131" s="223" t="s">
        <v>339</v>
      </c>
      <c r="B131" s="232" t="s">
        <v>503</v>
      </c>
      <c r="C131" s="224">
        <v>0</v>
      </c>
      <c r="D131" s="224">
        <f t="shared" si="1"/>
        <v>4.5999999999999999E-2</v>
      </c>
      <c r="E131" s="224">
        <v>0</v>
      </c>
      <c r="F131" s="224">
        <v>0.28000000000000003</v>
      </c>
    </row>
    <row r="132" spans="1:6" ht="16">
      <c r="A132" s="223" t="s">
        <v>468</v>
      </c>
      <c r="B132" s="232" t="s">
        <v>500</v>
      </c>
      <c r="C132" s="224">
        <v>7.0808704231754685E-2</v>
      </c>
      <c r="D132" s="224">
        <f t="shared" si="1"/>
        <v>0.14105640765793431</v>
      </c>
      <c r="E132" s="224">
        <v>9.5056407657934314E-2</v>
      </c>
      <c r="F132" s="224">
        <v>0.3</v>
      </c>
    </row>
    <row r="133" spans="1:6" ht="16">
      <c r="A133" s="223" t="s">
        <v>538</v>
      </c>
      <c r="B133" s="232" t="s">
        <v>510</v>
      </c>
      <c r="C133" s="224">
        <v>9.8082219604926024E-2</v>
      </c>
      <c r="D133" s="224">
        <f t="shared" si="1"/>
        <v>0.17766945436885656</v>
      </c>
      <c r="E133" s="224">
        <v>0.13166945436885658</v>
      </c>
      <c r="F133" s="224">
        <v>0.26860000000000001</v>
      </c>
    </row>
    <row r="134" spans="1:6" ht="16">
      <c r="A134" s="223" t="s">
        <v>340</v>
      </c>
      <c r="B134" s="232" t="s">
        <v>507</v>
      </c>
      <c r="C134" s="224">
        <v>8.1692501446400528E-2</v>
      </c>
      <c r="D134" s="224">
        <f t="shared" ref="D134:D195" si="8">$B$1+E134</f>
        <v>0.15566724789468733</v>
      </c>
      <c r="E134" s="224">
        <v>0.10966724789468733</v>
      </c>
      <c r="F134" s="224">
        <v>0.3</v>
      </c>
    </row>
    <row r="135" spans="1:6" ht="16">
      <c r="A135" s="223" t="s">
        <v>341</v>
      </c>
      <c r="B135" s="232" t="s">
        <v>503</v>
      </c>
      <c r="C135" s="224">
        <v>0</v>
      </c>
      <c r="D135" s="224">
        <f t="shared" si="8"/>
        <v>4.5999999999999999E-2</v>
      </c>
      <c r="E135" s="224">
        <v>0</v>
      </c>
      <c r="F135" s="224">
        <v>0.22</v>
      </c>
    </row>
    <row r="136" spans="1:6" ht="16">
      <c r="A136" s="223" t="s">
        <v>342</v>
      </c>
      <c r="B136" s="232" t="s">
        <v>505</v>
      </c>
      <c r="C136" s="224">
        <v>2.7273515373171343E-2</v>
      </c>
      <c r="D136" s="224">
        <f t="shared" si="8"/>
        <v>8.2613046710922261E-2</v>
      </c>
      <c r="E136" s="224">
        <v>3.6613046710922262E-2</v>
      </c>
      <c r="F136" s="224">
        <v>0.15</v>
      </c>
    </row>
    <row r="137" spans="1:6" ht="16">
      <c r="A137" s="223" t="s">
        <v>343</v>
      </c>
      <c r="B137" s="232" t="s">
        <v>522</v>
      </c>
      <c r="C137" s="224">
        <v>0.10896601681957188</v>
      </c>
      <c r="D137" s="224">
        <f t="shared" si="8"/>
        <v>0.19228029460560964</v>
      </c>
      <c r="E137" s="224">
        <v>0.14628029460560965</v>
      </c>
      <c r="F137" s="224">
        <v>0.28999999999999998</v>
      </c>
    </row>
    <row r="138" spans="1:6" ht="16">
      <c r="A138" s="223" t="s">
        <v>586</v>
      </c>
      <c r="B138" s="91" t="s">
        <v>497</v>
      </c>
      <c r="C138" s="176">
        <v>1.6082653627874467E-2</v>
      </c>
      <c r="D138" s="224">
        <f t="shared" si="8"/>
        <v>0.11358999089248985</v>
      </c>
      <c r="E138" s="176">
        <v>6.7589990892489848E-2</v>
      </c>
      <c r="F138" s="176">
        <v>0.18760152153615242</v>
      </c>
    </row>
    <row r="139" spans="1:6" ht="16">
      <c r="A139" s="223" t="s">
        <v>344</v>
      </c>
      <c r="B139" s="232" t="s">
        <v>499</v>
      </c>
      <c r="C139" s="224">
        <v>2.0743237044383835E-2</v>
      </c>
      <c r="D139" s="224">
        <f t="shared" si="8"/>
        <v>7.3846542568870452E-2</v>
      </c>
      <c r="E139" s="224">
        <v>2.7846542568870453E-2</v>
      </c>
      <c r="F139" s="224">
        <v>0.25</v>
      </c>
    </row>
    <row r="140" spans="1:6" ht="16">
      <c r="A140" s="223" t="s">
        <v>345</v>
      </c>
      <c r="B140" s="232" t="s">
        <v>506</v>
      </c>
      <c r="C140" s="224">
        <v>5.9924907017108855E-2</v>
      </c>
      <c r="D140" s="224">
        <f t="shared" si="8"/>
        <v>0.12644556742118129</v>
      </c>
      <c r="E140" s="224">
        <v>8.0445567421181294E-2</v>
      </c>
      <c r="F140" s="224">
        <v>0.3</v>
      </c>
    </row>
    <row r="141" spans="1:6" ht="16">
      <c r="A141" s="223" t="s">
        <v>346</v>
      </c>
      <c r="B141" s="232" t="s">
        <v>505</v>
      </c>
      <c r="C141" s="224">
        <v>2.7273515373171343E-2</v>
      </c>
      <c r="D141" s="224">
        <f t="shared" si="8"/>
        <v>8.2613046710922261E-2</v>
      </c>
      <c r="E141" s="224">
        <v>3.6613046710922262E-2</v>
      </c>
      <c r="F141" s="224">
        <v>0.1</v>
      </c>
    </row>
    <row r="142" spans="1:6" ht="16">
      <c r="A142" s="223" t="s">
        <v>347</v>
      </c>
      <c r="B142" s="232" t="s">
        <v>515</v>
      </c>
      <c r="C142" s="224">
        <v>1.7414075543433341E-2</v>
      </c>
      <c r="D142" s="224">
        <f t="shared" si="8"/>
        <v>6.9377344378804828E-2</v>
      </c>
      <c r="E142" s="224">
        <v>2.3377344378804829E-2</v>
      </c>
      <c r="F142" s="224">
        <v>0.29499999999999998</v>
      </c>
    </row>
    <row r="143" spans="1:6" ht="16">
      <c r="A143" s="223" t="s">
        <v>348</v>
      </c>
      <c r="B143" s="232" t="s">
        <v>499</v>
      </c>
      <c r="C143" s="224">
        <v>2.0743237044383835E-2</v>
      </c>
      <c r="D143" s="224">
        <f t="shared" si="8"/>
        <v>7.3846542568870452E-2</v>
      </c>
      <c r="E143" s="224">
        <v>2.7846542568870453E-2</v>
      </c>
      <c r="F143" s="224">
        <v>0.25</v>
      </c>
    </row>
    <row r="144" spans="1:6" ht="16">
      <c r="A144" s="223" t="s">
        <v>349</v>
      </c>
      <c r="B144" s="232" t="s">
        <v>511</v>
      </c>
      <c r="C144" s="224">
        <v>9.2192164641705932E-3</v>
      </c>
      <c r="D144" s="224">
        <f t="shared" si="8"/>
        <v>5.83762411417202E-2</v>
      </c>
      <c r="E144" s="224">
        <v>1.2376241141720201E-2</v>
      </c>
      <c r="F144" s="224">
        <v>0.19</v>
      </c>
    </row>
    <row r="145" spans="1:6" ht="16">
      <c r="A145" s="223" t="s">
        <v>350</v>
      </c>
      <c r="B145" s="232" t="s">
        <v>512</v>
      </c>
      <c r="C145" s="224">
        <v>1.3060556657575006E-2</v>
      </c>
      <c r="D145" s="224">
        <f t="shared" si="8"/>
        <v>6.3533008284103618E-2</v>
      </c>
      <c r="E145" s="224">
        <v>1.7533008284103618E-2</v>
      </c>
      <c r="F145" s="224">
        <v>0.21</v>
      </c>
    </row>
    <row r="146" spans="1:6" ht="16">
      <c r="A146" s="223" t="s">
        <v>351</v>
      </c>
      <c r="B146" s="232" t="s">
        <v>508</v>
      </c>
      <c r="C146" s="224">
        <v>6.5302783287875029E-3</v>
      </c>
      <c r="D146" s="224">
        <f t="shared" si="8"/>
        <v>5.4766504142051808E-2</v>
      </c>
      <c r="E146" s="224">
        <v>8.7665041420518092E-3</v>
      </c>
      <c r="F146" s="224">
        <v>0.1</v>
      </c>
    </row>
    <row r="147" spans="1:6" ht="16">
      <c r="A147" s="223" t="s">
        <v>539</v>
      </c>
      <c r="B147" s="232" t="s">
        <v>512</v>
      </c>
      <c r="C147" s="224">
        <v>1.3060556657575006E-2</v>
      </c>
      <c r="D147" s="224">
        <f t="shared" si="8"/>
        <v>6.3533008284103618E-2</v>
      </c>
      <c r="E147" s="224">
        <v>1.7533008284103618E-2</v>
      </c>
      <c r="F147" s="224">
        <v>0</v>
      </c>
    </row>
    <row r="148" spans="1:6" ht="16">
      <c r="A148" s="223" t="s">
        <v>587</v>
      </c>
      <c r="B148" s="91" t="s">
        <v>497</v>
      </c>
      <c r="C148" s="176">
        <v>1.2518555898193178E-2</v>
      </c>
      <c r="D148" s="224">
        <f t="shared" si="8"/>
        <v>0.10880540500857855</v>
      </c>
      <c r="E148" s="176">
        <v>6.2805405008578549E-2</v>
      </c>
      <c r="F148" s="176">
        <v>0.2576437502455447</v>
      </c>
    </row>
    <row r="149" spans="1:6" ht="16">
      <c r="A149" s="223" t="s">
        <v>352</v>
      </c>
      <c r="B149" s="232" t="s">
        <v>529</v>
      </c>
      <c r="C149" s="224">
        <v>2.3944353872220846E-2</v>
      </c>
      <c r="D149" s="224">
        <f t="shared" si="8"/>
        <v>7.8143848520856624E-2</v>
      </c>
      <c r="E149" s="224">
        <v>3.2143848520856624E-2</v>
      </c>
      <c r="F149" s="224">
        <v>0.16</v>
      </c>
    </row>
    <row r="150" spans="1:6" ht="16">
      <c r="A150" s="223" t="s">
        <v>353</v>
      </c>
      <c r="B150" s="232" t="s">
        <v>497</v>
      </c>
      <c r="C150" s="224">
        <v>4.9041109802463012E-2</v>
      </c>
      <c r="D150" s="224">
        <f t="shared" si="8"/>
        <v>0.11183472718442829</v>
      </c>
      <c r="E150" s="224">
        <v>6.5834727184428288E-2</v>
      </c>
      <c r="F150" s="224">
        <v>0.25</v>
      </c>
    </row>
    <row r="151" spans="1:6" ht="16">
      <c r="A151" s="223" t="s">
        <v>469</v>
      </c>
      <c r="B151" s="232" t="s">
        <v>506</v>
      </c>
      <c r="C151" s="224">
        <v>5.9924907017108855E-2</v>
      </c>
      <c r="D151" s="224">
        <f t="shared" si="8"/>
        <v>0.12644556742118129</v>
      </c>
      <c r="E151" s="224">
        <v>8.0445567421181294E-2</v>
      </c>
      <c r="F151" s="224">
        <v>0.3</v>
      </c>
    </row>
    <row r="152" spans="1:6" ht="16">
      <c r="A152" s="223" t="s">
        <v>470</v>
      </c>
      <c r="B152" s="91" t="s">
        <v>497</v>
      </c>
      <c r="C152" s="176">
        <v>0.1054310997313879</v>
      </c>
      <c r="D152" s="224">
        <f t="shared" si="8"/>
        <v>0.23353488197001548</v>
      </c>
      <c r="E152" s="176">
        <v>0.1875348819700155</v>
      </c>
      <c r="F152" s="176">
        <v>0.2724561140242252</v>
      </c>
    </row>
    <row r="153" spans="1:6" ht="16">
      <c r="A153" s="223" t="s">
        <v>354</v>
      </c>
      <c r="B153" s="232" t="s">
        <v>517</v>
      </c>
      <c r="C153" s="224">
        <v>7.6826803868088279E-3</v>
      </c>
      <c r="D153" s="224">
        <f t="shared" si="8"/>
        <v>5.6313534284766834E-2</v>
      </c>
      <c r="E153" s="224">
        <v>1.0313534284766834E-2</v>
      </c>
      <c r="F153" s="224">
        <v>0.2</v>
      </c>
    </row>
    <row r="154" spans="1:6" ht="16">
      <c r="A154" s="223" t="s">
        <v>471</v>
      </c>
      <c r="B154" s="232" t="s">
        <v>502</v>
      </c>
      <c r="C154" s="224">
        <v>3.9181669972725021E-2</v>
      </c>
      <c r="D154" s="224">
        <f t="shared" si="8"/>
        <v>9.8599024852310854E-2</v>
      </c>
      <c r="E154" s="224">
        <v>5.2599024852310855E-2</v>
      </c>
      <c r="F154" s="224">
        <v>0.3</v>
      </c>
    </row>
    <row r="155" spans="1:6" ht="16">
      <c r="A155" s="223" t="s">
        <v>355</v>
      </c>
      <c r="B155" s="232" t="s">
        <v>513</v>
      </c>
      <c r="C155" s="224">
        <v>3.2779436317050999E-2</v>
      </c>
      <c r="D155" s="224">
        <f t="shared" si="8"/>
        <v>9.0004412948338497E-2</v>
      </c>
      <c r="E155" s="224">
        <v>4.4004412948338498E-2</v>
      </c>
      <c r="F155" s="224">
        <v>0.15</v>
      </c>
    </row>
    <row r="156" spans="1:6" ht="16">
      <c r="A156" s="223" t="s">
        <v>540</v>
      </c>
      <c r="B156" s="232" t="s">
        <v>505</v>
      </c>
      <c r="C156" s="224">
        <v>2.7273515373171343E-2</v>
      </c>
      <c r="D156" s="224">
        <f t="shared" si="8"/>
        <v>8.2613046710922261E-2</v>
      </c>
      <c r="E156" s="224">
        <v>3.6613046710922262E-2</v>
      </c>
      <c r="F156" s="224">
        <v>0</v>
      </c>
    </row>
    <row r="157" spans="1:6" ht="16">
      <c r="A157" s="233" t="s">
        <v>452</v>
      </c>
      <c r="B157" s="232" t="s">
        <v>497</v>
      </c>
      <c r="C157" s="224">
        <v>0.10896601681957191</v>
      </c>
      <c r="D157" s="224">
        <f t="shared" si="8"/>
        <v>0.19228029460560964</v>
      </c>
      <c r="E157" s="224">
        <v>0.14628029460560965</v>
      </c>
      <c r="F157" s="224">
        <v>0.3</v>
      </c>
    </row>
    <row r="158" spans="1:6" ht="16">
      <c r="A158" s="223" t="s">
        <v>356</v>
      </c>
      <c r="B158" s="232" t="s">
        <v>503</v>
      </c>
      <c r="C158" s="224">
        <v>0</v>
      </c>
      <c r="D158" s="224">
        <f t="shared" si="8"/>
        <v>4.5999999999999999E-2</v>
      </c>
      <c r="E158" s="224">
        <v>0</v>
      </c>
      <c r="F158" s="224">
        <v>0.17</v>
      </c>
    </row>
    <row r="159" spans="1:6" ht="16">
      <c r="A159" s="223" t="s">
        <v>453</v>
      </c>
      <c r="B159" s="232" t="s">
        <v>511</v>
      </c>
      <c r="C159" s="224">
        <v>9.2192164641705932E-3</v>
      </c>
      <c r="D159" s="224">
        <f t="shared" si="8"/>
        <v>5.83762411417202E-2</v>
      </c>
      <c r="E159" s="224">
        <v>1.2376241141720201E-2</v>
      </c>
      <c r="F159" s="224">
        <v>0.21</v>
      </c>
    </row>
    <row r="160" spans="1:6" ht="16">
      <c r="A160" s="223" t="s">
        <v>357</v>
      </c>
      <c r="B160" s="232" t="s">
        <v>512</v>
      </c>
      <c r="C160" s="224">
        <v>1.3060556657575006E-2</v>
      </c>
      <c r="D160" s="224">
        <f t="shared" si="8"/>
        <v>6.3533008284103618E-2</v>
      </c>
      <c r="E160" s="224">
        <v>1.7533008284103618E-2</v>
      </c>
      <c r="F160" s="224">
        <v>0.19</v>
      </c>
    </row>
    <row r="161" spans="1:6" ht="16">
      <c r="A161" s="223" t="s">
        <v>472</v>
      </c>
      <c r="B161" s="232" t="s">
        <v>507</v>
      </c>
      <c r="C161" s="224">
        <v>8.1692501446400528E-2</v>
      </c>
      <c r="D161" s="224">
        <f t="shared" si="8"/>
        <v>0.15566724789468733</v>
      </c>
      <c r="E161" s="224">
        <v>0.10966724789468733</v>
      </c>
      <c r="F161" s="224">
        <v>0.3</v>
      </c>
    </row>
    <row r="162" spans="1:6" ht="16">
      <c r="A162" s="234" t="s">
        <v>541</v>
      </c>
      <c r="B162" s="232" t="s">
        <v>497</v>
      </c>
      <c r="C162" s="224">
        <v>0.13073361124886354</v>
      </c>
      <c r="D162" s="224">
        <f t="shared" si="8"/>
        <v>0.22150197507911562</v>
      </c>
      <c r="E162" s="224">
        <v>0.17550197507911564</v>
      </c>
      <c r="F162" s="224">
        <v>0.29149999999999998</v>
      </c>
    </row>
    <row r="163" spans="1:6" ht="16">
      <c r="A163" s="223" t="s">
        <v>358</v>
      </c>
      <c r="B163" s="232" t="s">
        <v>513</v>
      </c>
      <c r="C163" s="224">
        <v>3.2779436317050999E-2</v>
      </c>
      <c r="D163" s="224">
        <f t="shared" si="8"/>
        <v>9.0004412948338497E-2</v>
      </c>
      <c r="E163" s="224">
        <v>4.4004412948338498E-2</v>
      </c>
      <c r="F163" s="224">
        <v>0.27</v>
      </c>
    </row>
    <row r="164" spans="1:6" ht="16">
      <c r="A164" s="223" t="s">
        <v>588</v>
      </c>
      <c r="B164" s="232" t="s">
        <v>495</v>
      </c>
      <c r="C164" s="224">
        <v>5.3778762707661788E-3</v>
      </c>
      <c r="D164" s="224">
        <f t="shared" si="8"/>
        <v>5.3219473999336783E-2</v>
      </c>
      <c r="E164" s="224">
        <v>7.219473999336784E-3</v>
      </c>
      <c r="F164" s="224">
        <v>0.25</v>
      </c>
    </row>
    <row r="165" spans="1:6" ht="16">
      <c r="A165" s="223" t="s">
        <v>359</v>
      </c>
      <c r="B165" s="232" t="s">
        <v>515</v>
      </c>
      <c r="C165" s="224">
        <v>1.7414075543433341E-2</v>
      </c>
      <c r="D165" s="224">
        <f t="shared" si="8"/>
        <v>6.9377344378804828E-2</v>
      </c>
      <c r="E165" s="224">
        <v>2.3377344378804829E-2</v>
      </c>
      <c r="F165" s="224">
        <v>0.25</v>
      </c>
    </row>
    <row r="166" spans="1:6" ht="16">
      <c r="A166" s="223" t="s">
        <v>360</v>
      </c>
      <c r="B166" s="232" t="s">
        <v>501</v>
      </c>
      <c r="C166" s="224">
        <v>0.13073361124886354</v>
      </c>
      <c r="D166" s="224">
        <f t="shared" si="8"/>
        <v>0.22150197507911562</v>
      </c>
      <c r="E166" s="224">
        <v>0.17550197507911564</v>
      </c>
      <c r="F166" s="224">
        <v>0.24</v>
      </c>
    </row>
    <row r="167" spans="1:6" ht="16">
      <c r="A167" s="223" t="s">
        <v>542</v>
      </c>
      <c r="B167" s="232" t="s">
        <v>513</v>
      </c>
      <c r="C167" s="224">
        <v>3.2779436317050999E-2</v>
      </c>
      <c r="D167" s="224">
        <f t="shared" si="8"/>
        <v>9.0004412948338497E-2</v>
      </c>
      <c r="E167" s="224">
        <v>4.4004412948338498E-2</v>
      </c>
      <c r="F167" s="224">
        <v>0.2853</v>
      </c>
    </row>
    <row r="168" spans="1:6" ht="16">
      <c r="A168" s="223" t="s">
        <v>543</v>
      </c>
      <c r="B168" s="232" t="s">
        <v>500</v>
      </c>
      <c r="C168" s="224">
        <v>7.0808704231754685E-2</v>
      </c>
      <c r="D168" s="224">
        <f t="shared" si="8"/>
        <v>0.14105640765793431</v>
      </c>
      <c r="E168" s="224">
        <v>9.5056407657934314E-2</v>
      </c>
      <c r="F168" s="224">
        <v>0.2853</v>
      </c>
    </row>
    <row r="169" spans="1:6" ht="16">
      <c r="A169" s="233" t="s">
        <v>361</v>
      </c>
      <c r="B169" s="232" t="s">
        <v>497</v>
      </c>
      <c r="C169" s="224">
        <v>0.17499999999999999</v>
      </c>
      <c r="D169" s="224">
        <f t="shared" si="8"/>
        <v>0.28092692770782934</v>
      </c>
      <c r="E169" s="224">
        <v>0.23492692770782936</v>
      </c>
      <c r="F169" s="224">
        <v>0.35</v>
      </c>
    </row>
    <row r="170" spans="1:6" ht="16">
      <c r="A170" s="223" t="s">
        <v>454</v>
      </c>
      <c r="B170" s="232" t="s">
        <v>522</v>
      </c>
      <c r="C170" s="224">
        <v>0.10896601681957188</v>
      </c>
      <c r="D170" s="224">
        <f t="shared" si="8"/>
        <v>0.19228029460560964</v>
      </c>
      <c r="E170" s="224">
        <v>0.14628029460560965</v>
      </c>
      <c r="F170" s="224">
        <v>0.36</v>
      </c>
    </row>
    <row r="171" spans="1:6" ht="16">
      <c r="A171" s="223" t="s">
        <v>473</v>
      </c>
      <c r="B171" s="232" t="s">
        <v>500</v>
      </c>
      <c r="C171" s="224">
        <v>7.0808704231754685E-2</v>
      </c>
      <c r="D171" s="224">
        <f t="shared" si="8"/>
        <v>0.14105640765793431</v>
      </c>
      <c r="E171" s="224">
        <v>9.5056407657934314E-2</v>
      </c>
      <c r="F171" s="224">
        <v>0.27500000000000002</v>
      </c>
    </row>
    <row r="172" spans="1:6" ht="16">
      <c r="A172" s="223" t="s">
        <v>362</v>
      </c>
      <c r="B172" s="232" t="s">
        <v>503</v>
      </c>
      <c r="C172" s="224">
        <v>0</v>
      </c>
      <c r="D172" s="224">
        <f t="shared" si="8"/>
        <v>4.5999999999999999E-2</v>
      </c>
      <c r="E172" s="224">
        <v>0</v>
      </c>
      <c r="F172" s="224">
        <v>0.20600000000000002</v>
      </c>
    </row>
    <row r="173" spans="1:6" ht="16">
      <c r="A173" s="223" t="s">
        <v>363</v>
      </c>
      <c r="B173" s="232" t="s">
        <v>503</v>
      </c>
      <c r="C173" s="224">
        <v>0</v>
      </c>
      <c r="D173" s="224">
        <f t="shared" si="8"/>
        <v>4.5999999999999999E-2</v>
      </c>
      <c r="E173" s="224">
        <v>0</v>
      </c>
      <c r="F173" s="224">
        <v>0.14599999999999999</v>
      </c>
    </row>
    <row r="174" spans="1:6" ht="16">
      <c r="A174" s="234" t="s">
        <v>364</v>
      </c>
      <c r="B174" s="232" t="s">
        <v>497</v>
      </c>
      <c r="C174" s="224">
        <v>0.17499999999999999</v>
      </c>
      <c r="D174" s="224">
        <f t="shared" si="8"/>
        <v>0.28092692770782934</v>
      </c>
      <c r="E174" s="224">
        <v>0.23492692770782936</v>
      </c>
      <c r="F174" s="224">
        <v>0.28000000000000003</v>
      </c>
    </row>
    <row r="175" spans="1:6" ht="16">
      <c r="A175" s="223" t="s">
        <v>365</v>
      </c>
      <c r="B175" s="232" t="s">
        <v>508</v>
      </c>
      <c r="C175" s="224">
        <v>6.5302783287875029E-3</v>
      </c>
      <c r="D175" s="224">
        <f t="shared" si="8"/>
        <v>5.4766504142051808E-2</v>
      </c>
      <c r="E175" s="224">
        <v>8.7665041420518092E-3</v>
      </c>
      <c r="F175" s="224">
        <v>0.2</v>
      </c>
    </row>
    <row r="176" spans="1:6" ht="16">
      <c r="A176" s="223" t="s">
        <v>544</v>
      </c>
      <c r="B176" s="232" t="s">
        <v>500</v>
      </c>
      <c r="C176" s="224">
        <v>7.0808704231754685E-2</v>
      </c>
      <c r="D176" s="224">
        <f t="shared" si="8"/>
        <v>0.14105640765793431</v>
      </c>
      <c r="E176" s="224">
        <v>9.5056407657934314E-2</v>
      </c>
      <c r="F176" s="224">
        <v>0.18</v>
      </c>
    </row>
    <row r="177" spans="1:6" ht="16">
      <c r="A177" s="223" t="s">
        <v>366</v>
      </c>
      <c r="B177" s="232" t="s">
        <v>506</v>
      </c>
      <c r="C177" s="224">
        <v>5.9924907017108855E-2</v>
      </c>
      <c r="D177" s="224">
        <f t="shared" si="8"/>
        <v>0.12644556742118129</v>
      </c>
      <c r="E177" s="224">
        <v>8.0445567421181294E-2</v>
      </c>
      <c r="F177" s="224">
        <v>0.3</v>
      </c>
    </row>
    <row r="178" spans="1:6" ht="16">
      <c r="A178" s="223" t="s">
        <v>367</v>
      </c>
      <c r="B178" s="232" t="s">
        <v>515</v>
      </c>
      <c r="C178" s="224">
        <v>1.7414075543433341E-2</v>
      </c>
      <c r="D178" s="224">
        <f t="shared" si="8"/>
        <v>6.9377344378804828E-2</v>
      </c>
      <c r="E178" s="224">
        <v>2.3377344378804829E-2</v>
      </c>
      <c r="F178" s="224">
        <v>0.2</v>
      </c>
    </row>
    <row r="179" spans="1:6" ht="16">
      <c r="A179" s="223" t="s">
        <v>545</v>
      </c>
      <c r="B179" s="232" t="s">
        <v>500</v>
      </c>
      <c r="C179" s="224">
        <v>7.0808704231754685E-2</v>
      </c>
      <c r="D179" s="224">
        <f t="shared" si="8"/>
        <v>0.14105640765793431</v>
      </c>
      <c r="E179" s="224">
        <v>9.5056407657934314E-2</v>
      </c>
      <c r="F179" s="224">
        <v>0.26860000000000001</v>
      </c>
    </row>
    <row r="180" spans="1:6" ht="16">
      <c r="A180" s="223" t="s">
        <v>589</v>
      </c>
      <c r="B180" s="232" t="s">
        <v>513</v>
      </c>
      <c r="C180" s="224">
        <v>3.2779436317050999E-2</v>
      </c>
      <c r="D180" s="224">
        <f t="shared" si="8"/>
        <v>9.0004412948338497E-2</v>
      </c>
      <c r="E180" s="224">
        <v>4.4004412948338498E-2</v>
      </c>
      <c r="F180" s="224">
        <v>0.3</v>
      </c>
    </row>
    <row r="181" spans="1:6" ht="16">
      <c r="A181" s="223" t="s">
        <v>368</v>
      </c>
      <c r="B181" s="232" t="s">
        <v>510</v>
      </c>
      <c r="C181" s="224">
        <v>9.8082219604926024E-2</v>
      </c>
      <c r="D181" s="224">
        <f t="shared" si="8"/>
        <v>0.17766945436885656</v>
      </c>
      <c r="E181" s="224">
        <v>0.13166945436885658</v>
      </c>
      <c r="F181" s="224">
        <v>0.15</v>
      </c>
    </row>
    <row r="182" spans="1:6" ht="16">
      <c r="A182" s="223" t="s">
        <v>369</v>
      </c>
      <c r="B182" s="232" t="s">
        <v>500</v>
      </c>
      <c r="C182" s="224">
        <v>7.0808704231754685E-2</v>
      </c>
      <c r="D182" s="224">
        <f t="shared" si="8"/>
        <v>0.14105640765793431</v>
      </c>
      <c r="E182" s="224">
        <v>9.5056407657934314E-2</v>
      </c>
      <c r="F182" s="224">
        <v>0.25</v>
      </c>
    </row>
    <row r="183" spans="1:6" ht="16">
      <c r="A183" s="228" t="s">
        <v>590</v>
      </c>
      <c r="B183" s="232" t="s">
        <v>515</v>
      </c>
      <c r="C183" s="224">
        <v>1.7414075543433341E-2</v>
      </c>
      <c r="D183" s="224">
        <f t="shared" si="8"/>
        <v>6.9377344378804828E-2</v>
      </c>
      <c r="E183" s="224">
        <v>2.3377344378804829E-2</v>
      </c>
      <c r="F183" s="224">
        <v>0</v>
      </c>
    </row>
    <row r="184" spans="1:6" ht="16">
      <c r="A184" s="223" t="s">
        <v>370</v>
      </c>
      <c r="B184" s="232" t="s">
        <v>506</v>
      </c>
      <c r="C184" s="224">
        <v>5.9924907017108855E-2</v>
      </c>
      <c r="D184" s="224">
        <f t="shared" si="8"/>
        <v>0.12644556742118129</v>
      </c>
      <c r="E184" s="224">
        <v>8.0445567421181294E-2</v>
      </c>
      <c r="F184" s="224">
        <v>0.3</v>
      </c>
    </row>
    <row r="185" spans="1:6" ht="16">
      <c r="A185" s="223" t="s">
        <v>371</v>
      </c>
      <c r="B185" s="232" t="s">
        <v>501</v>
      </c>
      <c r="C185" s="224">
        <v>0.13073361124886354</v>
      </c>
      <c r="D185" s="224">
        <f t="shared" si="8"/>
        <v>0.22150197507911562</v>
      </c>
      <c r="E185" s="224">
        <v>0.17550197507911564</v>
      </c>
      <c r="F185" s="224">
        <v>0.18</v>
      </c>
    </row>
    <row r="186" spans="1:6" ht="16">
      <c r="A186" s="223" t="s">
        <v>372</v>
      </c>
      <c r="B186" s="232" t="s">
        <v>495</v>
      </c>
      <c r="C186" s="224">
        <v>5.3778762707661788E-3</v>
      </c>
      <c r="D186" s="224">
        <f t="shared" si="8"/>
        <v>5.3219473999336783E-2</v>
      </c>
      <c r="E186" s="224">
        <v>7.219473999336784E-3</v>
      </c>
      <c r="F186" s="224">
        <v>0.25</v>
      </c>
    </row>
    <row r="187" spans="1:6" ht="16">
      <c r="A187" s="223" t="s">
        <v>373</v>
      </c>
      <c r="B187" s="232" t="s">
        <v>508</v>
      </c>
      <c r="C187" s="224">
        <v>6.5302783287875029E-3</v>
      </c>
      <c r="D187" s="224">
        <f t="shared" si="8"/>
        <v>5.4766504142051808E-2</v>
      </c>
      <c r="E187" s="224">
        <v>8.7665041420518092E-3</v>
      </c>
      <c r="F187" s="224">
        <v>0.25</v>
      </c>
    </row>
    <row r="188" spans="1:6" ht="16">
      <c r="A188" s="223" t="s">
        <v>374</v>
      </c>
      <c r="B188" s="232" t="s">
        <v>503</v>
      </c>
      <c r="C188" s="224">
        <v>0</v>
      </c>
      <c r="D188" s="224">
        <f t="shared" si="8"/>
        <v>4.5999999999999999E-2</v>
      </c>
      <c r="E188" s="224">
        <v>0</v>
      </c>
      <c r="F188" s="224">
        <v>0.25</v>
      </c>
    </row>
    <row r="189" spans="1:6" ht="16">
      <c r="A189" s="223" t="s">
        <v>375</v>
      </c>
      <c r="B189" s="232" t="s">
        <v>499</v>
      </c>
      <c r="C189" s="224">
        <v>2.0743237044383835E-2</v>
      </c>
      <c r="D189" s="224">
        <f t="shared" si="8"/>
        <v>7.3846542568870452E-2</v>
      </c>
      <c r="E189" s="224">
        <v>2.7846542568870453E-2</v>
      </c>
      <c r="F189" s="224">
        <v>0.25</v>
      </c>
    </row>
    <row r="190" spans="1:6" ht="16">
      <c r="A190" s="223" t="s">
        <v>474</v>
      </c>
      <c r="B190" s="232" t="s">
        <v>502</v>
      </c>
      <c r="C190" s="224">
        <v>3.9181669972725021E-2</v>
      </c>
      <c r="D190" s="224">
        <f t="shared" si="8"/>
        <v>9.8599024852310854E-2</v>
      </c>
      <c r="E190" s="224">
        <v>5.2599024852310855E-2</v>
      </c>
      <c r="F190" s="224">
        <v>0.15</v>
      </c>
    </row>
    <row r="191" spans="1:6" ht="16">
      <c r="A191" s="223" t="s">
        <v>376</v>
      </c>
      <c r="B191" s="232" t="s">
        <v>217</v>
      </c>
      <c r="C191" s="224">
        <v>0.17499999999999999</v>
      </c>
      <c r="D191" s="224">
        <f t="shared" si="8"/>
        <v>0.28092692770782934</v>
      </c>
      <c r="E191" s="224">
        <v>0.23492692770782936</v>
      </c>
      <c r="F191" s="224">
        <v>0.34</v>
      </c>
    </row>
    <row r="192" spans="1:6" ht="16">
      <c r="A192" s="223" t="s">
        <v>377</v>
      </c>
      <c r="B192" s="232" t="s">
        <v>513</v>
      </c>
      <c r="C192" s="224">
        <v>3.2779436317050999E-2</v>
      </c>
      <c r="D192" s="224">
        <f t="shared" si="8"/>
        <v>9.0004412948338497E-2</v>
      </c>
      <c r="E192" s="224">
        <v>4.4004412948338498E-2</v>
      </c>
      <c r="F192" s="224">
        <v>0.2</v>
      </c>
    </row>
    <row r="193" spans="1:6" ht="16">
      <c r="A193" s="233" t="s">
        <v>378</v>
      </c>
      <c r="B193" s="232" t="s">
        <v>497</v>
      </c>
      <c r="C193" s="224">
        <v>0.10896601681957191</v>
      </c>
      <c r="D193" s="224">
        <f t="shared" si="8"/>
        <v>0.19228029460560964</v>
      </c>
      <c r="E193" s="224">
        <v>0.14628029460560965</v>
      </c>
      <c r="F193" s="224">
        <v>0.2</v>
      </c>
    </row>
    <row r="194" spans="1:6" ht="16">
      <c r="A194" s="223" t="s">
        <v>379</v>
      </c>
      <c r="B194" s="232" t="s">
        <v>522</v>
      </c>
      <c r="C194" s="224">
        <v>0.10896601681957188</v>
      </c>
      <c r="D194" s="224">
        <f t="shared" si="8"/>
        <v>0.19228029460560964</v>
      </c>
      <c r="E194" s="224">
        <v>0.14628029460560965</v>
      </c>
      <c r="F194" s="224">
        <v>0.35</v>
      </c>
    </row>
    <row r="195" spans="1:6" ht="16">
      <c r="A195" s="234" t="s">
        <v>380</v>
      </c>
      <c r="B195" s="232" t="s">
        <v>497</v>
      </c>
      <c r="C195" s="224">
        <v>9.8082219604926024E-2</v>
      </c>
      <c r="D195" s="224">
        <f t="shared" si="8"/>
        <v>0.17766945436885656</v>
      </c>
      <c r="E195" s="224">
        <v>0.13166945436885658</v>
      </c>
      <c r="F195" s="224">
        <v>0.25</v>
      </c>
    </row>
    <row r="196" spans="1:6" ht="16">
      <c r="A196" s="1"/>
      <c r="B196" s="144"/>
      <c r="C196" s="239"/>
      <c r="D196" s="239"/>
      <c r="E196" s="239"/>
      <c r="F196" s="239"/>
    </row>
    <row r="197" spans="1:6" ht="16">
      <c r="A197" s="1"/>
      <c r="B197" s="144"/>
      <c r="C197" s="239"/>
      <c r="D197" s="239"/>
      <c r="E197" s="239"/>
      <c r="F197" s="239"/>
    </row>
    <row r="200" spans="1:6">
      <c r="A200" s="235" t="s">
        <v>546</v>
      </c>
      <c r="B200" s="236" t="s">
        <v>563</v>
      </c>
      <c r="C200" s="236" t="s">
        <v>593</v>
      </c>
      <c r="D200" s="236" t="s">
        <v>97</v>
      </c>
      <c r="E200" s="236" t="s">
        <v>594</v>
      </c>
    </row>
    <row r="201" spans="1:6">
      <c r="A201" s="237" t="s">
        <v>547</v>
      </c>
      <c r="B201" s="238">
        <f>$B$1+E201</f>
        <v>0.13763852306889546</v>
      </c>
      <c r="C201" s="238">
        <v>6.8262679351091926E-2</v>
      </c>
      <c r="D201" s="238">
        <v>0.27302836489005694</v>
      </c>
      <c r="E201" s="238">
        <v>9.1638523068895444E-2</v>
      </c>
    </row>
    <row r="202" spans="1:6">
      <c r="A202" s="237" t="s">
        <v>548</v>
      </c>
      <c r="B202" s="238">
        <f t="shared" ref="B202:B210" si="9">$B$1+E202</f>
        <v>6.2805405008578563E-2</v>
      </c>
      <c r="C202" s="238">
        <v>1.2518555898193178E-2</v>
      </c>
      <c r="D202" s="238">
        <v>0.2576437502455447</v>
      </c>
      <c r="E202" s="238">
        <v>1.6805405008578567E-2</v>
      </c>
    </row>
    <row r="203" spans="1:6">
      <c r="A203" s="237" t="s">
        <v>549</v>
      </c>
      <c r="B203" s="238">
        <f t="shared" si="9"/>
        <v>4.6047923618641934E-2</v>
      </c>
      <c r="C203" s="238">
        <v>3.5698901544265913E-5</v>
      </c>
      <c r="D203" s="238">
        <v>0.29744361328762281</v>
      </c>
      <c r="E203" s="238">
        <v>4.7923618641935289E-5</v>
      </c>
    </row>
    <row r="204" spans="1:6">
      <c r="A204" s="237" t="s">
        <v>550</v>
      </c>
      <c r="B204" s="238">
        <f t="shared" si="9"/>
        <v>0.1875348819700155</v>
      </c>
      <c r="C204" s="238">
        <v>0.1054310997313879</v>
      </c>
      <c r="D204" s="238">
        <v>0.2724561140242252</v>
      </c>
      <c r="E204" s="238">
        <v>0.14153488197001549</v>
      </c>
    </row>
    <row r="205" spans="1:6">
      <c r="A205" s="237" t="s">
        <v>551</v>
      </c>
      <c r="B205" s="238">
        <f t="shared" si="9"/>
        <v>0.10361091058162494</v>
      </c>
      <c r="C205" s="238">
        <v>4.2915086193622262E-2</v>
      </c>
      <c r="D205" s="238">
        <v>0.31595749426030023</v>
      </c>
      <c r="E205" s="238">
        <v>5.7610910581624951E-2</v>
      </c>
    </row>
    <row r="206" spans="1:6">
      <c r="A206" s="237" t="s">
        <v>552</v>
      </c>
      <c r="B206" s="238">
        <f t="shared" si="9"/>
        <v>9.6579383477192263E-2</v>
      </c>
      <c r="C206" s="238">
        <v>3.7670398345457844E-2</v>
      </c>
      <c r="D206" s="238">
        <v>0.18485819102180306</v>
      </c>
      <c r="E206" s="238">
        <v>5.0579383477192263E-2</v>
      </c>
    </row>
    <row r="207" spans="1:6">
      <c r="A207" s="237" t="s">
        <v>553</v>
      </c>
      <c r="B207" s="238">
        <f t="shared" si="9"/>
        <v>6.7589990892489848E-2</v>
      </c>
      <c r="C207" s="238">
        <v>1.6082653627874467E-2</v>
      </c>
      <c r="D207" s="238">
        <v>0.18760152153615242</v>
      </c>
      <c r="E207" s="238">
        <v>2.1589990892489853E-2</v>
      </c>
    </row>
    <row r="208" spans="1:6">
      <c r="A208" s="237" t="s">
        <v>554</v>
      </c>
      <c r="B208" s="238">
        <f t="shared" si="9"/>
        <v>4.5999999999999999E-2</v>
      </c>
      <c r="C208" s="238">
        <v>0</v>
      </c>
      <c r="D208" s="238">
        <v>0.25116286561170831</v>
      </c>
      <c r="E208" s="238">
        <v>0</v>
      </c>
    </row>
    <row r="209" spans="1:5">
      <c r="A209" s="237" t="s">
        <v>555</v>
      </c>
      <c r="B209" s="238">
        <f t="shared" si="9"/>
        <v>5.8871606293643367E-2</v>
      </c>
      <c r="C209" s="238">
        <v>9.5882201472833571E-3</v>
      </c>
      <c r="D209" s="238">
        <v>0.24707349543413576</v>
      </c>
      <c r="E209" s="238">
        <v>1.2871606293643371E-2</v>
      </c>
    </row>
    <row r="210" spans="1:5">
      <c r="A210" s="237" t="s">
        <v>556</v>
      </c>
      <c r="B210" s="238">
        <f t="shared" si="9"/>
        <v>6.4100000000000004E-2</v>
      </c>
      <c r="C210" s="238">
        <v>1.35E-2</v>
      </c>
      <c r="D210" s="238">
        <v>0.25225942509764748</v>
      </c>
      <c r="E210" s="238">
        <v>1.8100000000000002E-2</v>
      </c>
    </row>
  </sheetData>
  <pageMargins left="0.7" right="0.7" top="0.75" bottom="0.75" header="0.3" footer="0.3"/>
  <legacy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17"/>
  <sheetViews>
    <sheetView workbookViewId="0">
      <selection activeCell="B18" sqref="B18"/>
    </sheetView>
  </sheetViews>
  <sheetFormatPr baseColWidth="10" defaultRowHeight="14"/>
  <cols>
    <col min="1" max="1" width="30.85546875" customWidth="1"/>
    <col min="2" max="2" width="11.140625" bestFit="1" customWidth="1"/>
  </cols>
  <sheetData>
    <row r="1" spans="1:3" ht="30" customHeight="1">
      <c r="A1" s="121" t="s">
        <v>426</v>
      </c>
    </row>
    <row r="2" spans="1:3">
      <c r="A2" t="s">
        <v>427</v>
      </c>
      <c r="B2" s="127">
        <f>'Optimal CS Worksheet'!E22</f>
        <v>100.3</v>
      </c>
    </row>
    <row r="3" spans="1:3">
      <c r="A3" t="s">
        <v>431</v>
      </c>
      <c r="B3" s="126">
        <f>Inputs!B19</f>
        <v>1831</v>
      </c>
    </row>
    <row r="4" spans="1:3">
      <c r="A4" t="s">
        <v>428</v>
      </c>
      <c r="B4" s="122">
        <v>67.709999999999994</v>
      </c>
      <c r="C4" t="s">
        <v>444</v>
      </c>
    </row>
    <row r="6" spans="1:3">
      <c r="A6" t="s">
        <v>423</v>
      </c>
      <c r="B6" s="123">
        <f>'Optimal CS Worksheet'!B43</f>
        <v>50390.676054834432</v>
      </c>
    </row>
    <row r="7" spans="1:3">
      <c r="A7" t="s">
        <v>424</v>
      </c>
      <c r="B7" s="124">
        <f ca="1">'Optimal CS Worksheet'!F12*('Optimal CS Worksheet'!B43+'Optimal CS Worksheet'!F42)</f>
        <v>70211.992816450322</v>
      </c>
    </row>
    <row r="8" spans="1:3">
      <c r="A8" t="s">
        <v>425</v>
      </c>
      <c r="B8" s="124">
        <f ca="1">B7-B6</f>
        <v>19821.31676161589</v>
      </c>
    </row>
    <row r="9" spans="1:3">
      <c r="A9" t="s">
        <v>429</v>
      </c>
      <c r="B9" s="125">
        <f ca="1">B8/B4</f>
        <v>292.73839553412927</v>
      </c>
    </row>
    <row r="10" spans="1:3">
      <c r="A10" t="s">
        <v>430</v>
      </c>
      <c r="B10" s="126">
        <f ca="1">B3-B9</f>
        <v>1538.2616044658707</v>
      </c>
    </row>
    <row r="12" spans="1:3">
      <c r="A12" t="s">
        <v>432</v>
      </c>
      <c r="B12" s="123">
        <f ca="1">'Optimal CS Worksheet'!F21</f>
        <v>228591.23745668039</v>
      </c>
    </row>
    <row r="13" spans="1:3">
      <c r="A13" t="s">
        <v>433</v>
      </c>
      <c r="B13" s="125">
        <f>Inputs!B22</f>
        <v>11615</v>
      </c>
    </row>
    <row r="14" spans="1:3">
      <c r="A14" t="s">
        <v>434</v>
      </c>
      <c r="B14" s="128">
        <f ca="1">B7</f>
        <v>70211.992816450322</v>
      </c>
    </row>
    <row r="15" spans="1:3">
      <c r="A15" t="s">
        <v>435</v>
      </c>
      <c r="B15" s="128">
        <f ca="1">B12+B13-B14</f>
        <v>169994.24464023008</v>
      </c>
    </row>
    <row r="16" spans="1:3">
      <c r="A16" t="s">
        <v>436</v>
      </c>
      <c r="B16" s="126">
        <f ca="1">B10</f>
        <v>1538.2616044658707</v>
      </c>
    </row>
    <row r="17" spans="1:2">
      <c r="A17" t="s">
        <v>437</v>
      </c>
      <c r="B17" s="129">
        <f ca="1">B15/B16</f>
        <v>110.51062065561797</v>
      </c>
    </row>
  </sheetData>
  <pageMargins left="0.75" right="0.75" top="1" bottom="1" header="0.5" footer="0.5"/>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I38"/>
  <sheetViews>
    <sheetView workbookViewId="0">
      <selection sqref="A1:H11"/>
    </sheetView>
  </sheetViews>
  <sheetFormatPr baseColWidth="10" defaultRowHeight="14"/>
  <cols>
    <col min="1" max="4" width="10.7109375" style="4"/>
    <col min="5" max="5" width="12.140625" style="4" customWidth="1"/>
    <col min="6" max="6" width="10.7109375" style="3"/>
    <col min="7" max="7" width="14.28515625" style="3" customWidth="1"/>
    <col min="8" max="9" width="10.7109375" style="3"/>
  </cols>
  <sheetData>
    <row r="1" spans="1:9">
      <c r="A1" s="6" t="s">
        <v>132</v>
      </c>
      <c r="B1" s="6" t="s">
        <v>133</v>
      </c>
      <c r="C1" s="6" t="s">
        <v>134</v>
      </c>
      <c r="D1" s="6" t="s">
        <v>95</v>
      </c>
      <c r="E1" s="6" t="s">
        <v>96</v>
      </c>
      <c r="F1" s="6" t="s">
        <v>97</v>
      </c>
      <c r="G1" s="6" t="s">
        <v>98</v>
      </c>
      <c r="H1" s="6" t="s">
        <v>83</v>
      </c>
      <c r="I1" s="6" t="s">
        <v>420</v>
      </c>
    </row>
    <row r="2" spans="1:9">
      <c r="A2" s="32">
        <v>0</v>
      </c>
      <c r="B2" s="113">
        <f>'Optimal CS Worksheet'!B50</f>
        <v>0.94712546487807625</v>
      </c>
      <c r="C2" s="7">
        <f>'Optimal CS Worksheet'!B74</f>
        <v>9.0249289405764613E-2</v>
      </c>
      <c r="D2" s="6" t="str">
        <f>'Optimal CS Worksheet'!B65</f>
        <v>Aaa/AAA</v>
      </c>
      <c r="E2" s="7">
        <f>'Optimal CS Worksheet'!B66</f>
        <v>5.0900000000000001E-2</v>
      </c>
      <c r="F2" s="7">
        <f>'Optimal CS Worksheet'!B68</f>
        <v>0.25</v>
      </c>
      <c r="G2" s="33">
        <f>E2*(1-F2)</f>
        <v>3.8175000000000001E-2</v>
      </c>
      <c r="H2" s="33">
        <f>C2*(1-A2)+G2*A2</f>
        <v>9.0249289405764613E-2</v>
      </c>
      <c r="I2" s="216">
        <f>'Optimal CS Worksheet'!B78</f>
        <v>208150.58249757529</v>
      </c>
    </row>
    <row r="3" spans="1:9">
      <c r="A3" s="32">
        <v>0.1</v>
      </c>
      <c r="B3" s="113">
        <f>'Optimal CS Worksheet'!C50</f>
        <v>1.0260525869512491</v>
      </c>
      <c r="C3" s="7">
        <f>'Optimal CS Worksheet'!C74</f>
        <v>9.4020063522911659E-2</v>
      </c>
      <c r="D3" s="6" t="str">
        <f>'Optimal CS Worksheet'!C65</f>
        <v>Aaa/AAA</v>
      </c>
      <c r="E3" s="7">
        <f>'Optimal CS Worksheet'!C66</f>
        <v>5.0900000000000001E-2</v>
      </c>
      <c r="F3" s="7">
        <f>'Optimal CS Worksheet'!C68</f>
        <v>0.25</v>
      </c>
      <c r="G3" s="33">
        <f t="shared" ref="G3:G11" si="0">E3*(1-F3)</f>
        <v>3.8175000000000001E-2</v>
      </c>
      <c r="H3" s="33">
        <f t="shared" ref="H3:H11" si="1">C3*(1-A3)+G3*A3</f>
        <v>8.8435557170620502E-2</v>
      </c>
      <c r="I3" s="216">
        <f>'Optimal CS Worksheet'!C78</f>
        <v>216842.29605743344</v>
      </c>
    </row>
    <row r="4" spans="1:9">
      <c r="A4" s="32">
        <v>0.2</v>
      </c>
      <c r="B4" s="113">
        <f>'Optimal CS Worksheet'!D50</f>
        <v>1.1247114895427155</v>
      </c>
      <c r="C4" s="7">
        <f>'Optimal CS Worksheet'!D74</f>
        <v>9.8733531169345468E-2</v>
      </c>
      <c r="D4" s="6" t="str">
        <f>'Optimal CS Worksheet'!D65</f>
        <v>A2/A</v>
      </c>
      <c r="E4" s="7">
        <f>'Optimal CS Worksheet'!D66</f>
        <v>5.57E-2</v>
      </c>
      <c r="F4" s="7">
        <f>'Optimal CS Worksheet'!D68</f>
        <v>0.25</v>
      </c>
      <c r="G4" s="33">
        <f t="shared" si="0"/>
        <v>4.1775E-2</v>
      </c>
      <c r="H4" s="33">
        <f t="shared" si="1"/>
        <v>8.7341824935476375E-2</v>
      </c>
      <c r="I4" s="216">
        <f>'Optimal CS Worksheet'!D78</f>
        <v>222443.55225038435</v>
      </c>
    </row>
    <row r="5" spans="1:9">
      <c r="A5" s="32">
        <v>0.3</v>
      </c>
      <c r="B5" s="113">
        <f ca="1">'Optimal CS Worksheet'!E50</f>
        <v>1.2515586500174578</v>
      </c>
      <c r="C5" s="7">
        <f ca="1">'Optimal CS Worksheet'!E74</f>
        <v>0.10479370385761752</v>
      </c>
      <c r="D5" s="6" t="str">
        <f ca="1">'Optimal CS Worksheet'!E65</f>
        <v>A3/A-</v>
      </c>
      <c r="E5" s="7">
        <f ca="1">'Optimal CS Worksheet'!E66</f>
        <v>5.7099999999999998E-2</v>
      </c>
      <c r="F5" s="7">
        <f ca="1">'Optimal CS Worksheet'!E68</f>
        <v>0.25</v>
      </c>
      <c r="G5" s="33">
        <f t="shared" ca="1" si="0"/>
        <v>4.2825000000000002E-2</v>
      </c>
      <c r="H5" s="33">
        <f t="shared" ca="1" si="1"/>
        <v>8.6203092700332259E-2</v>
      </c>
      <c r="I5" s="216">
        <f ca="1">'Optimal CS Worksheet'!E78</f>
        <v>228591.23745668039</v>
      </c>
    </row>
    <row r="6" spans="1:9">
      <c r="A6" s="32">
        <v>0.4</v>
      </c>
      <c r="B6" s="113">
        <f ca="1">'Optimal CS Worksheet'!F50</f>
        <v>1.4206881973171144</v>
      </c>
      <c r="C6" s="7">
        <f ca="1">'Optimal CS Worksheet'!F74</f>
        <v>0.11287393410864692</v>
      </c>
      <c r="D6" s="6" t="str">
        <f ca="1">'Optimal CS Worksheet'!F65</f>
        <v>B1/B+</v>
      </c>
      <c r="E6" s="7">
        <f ca="1">'Optimal CS Worksheet'!F66</f>
        <v>7.6399999999999996E-2</v>
      </c>
      <c r="F6" s="7">
        <f ca="1">'Optimal CS Worksheet'!F68</f>
        <v>0.25</v>
      </c>
      <c r="G6" s="33">
        <f t="shared" ca="1" si="0"/>
        <v>5.7299999999999997E-2</v>
      </c>
      <c r="H6" s="33">
        <f t="shared" ca="1" si="1"/>
        <v>9.0644360465188145E-2</v>
      </c>
      <c r="I6" s="216">
        <f ca="1">'Optimal CS Worksheet'!F78</f>
        <v>206348.95201554321</v>
      </c>
    </row>
    <row r="7" spans="1:9">
      <c r="A7" s="32">
        <v>0.5</v>
      </c>
      <c r="B7" s="113">
        <f ca="1">'Optimal CS Worksheet'!G50</f>
        <v>1.7430178585934755</v>
      </c>
      <c r="C7" s="7">
        <f ca="1">'Optimal CS Worksheet'!G74</f>
        <v>0.12827335970537468</v>
      </c>
      <c r="D7" s="6" t="str">
        <f ca="1">'Optimal CS Worksheet'!G65</f>
        <v>C2/C</v>
      </c>
      <c r="E7" s="7">
        <f ca="1">'Optimal CS Worksheet'!G66</f>
        <v>0.21500000000000002</v>
      </c>
      <c r="F7" s="7">
        <f ca="1">'Optimal CS Worksheet'!G68</f>
        <v>0.15967585792041314</v>
      </c>
      <c r="G7" s="33">
        <f t="shared" ca="1" si="0"/>
        <v>0.18066969054711118</v>
      </c>
      <c r="H7" s="33">
        <f t="shared" ca="1" si="1"/>
        <v>0.15447152512624293</v>
      </c>
      <c r="I7" s="216">
        <f ca="1">'Optimal CS Worksheet'!G78</f>
        <v>86037.587733884488</v>
      </c>
    </row>
    <row r="8" spans="1:9">
      <c r="A8" s="32">
        <v>0.6</v>
      </c>
      <c r="B8" s="113">
        <f ca="1">'Optimal CS Worksheet'!H50</f>
        <v>2.1934137805655771</v>
      </c>
      <c r="C8" s="7">
        <f ca="1">'Optimal CS Worksheet'!H74</f>
        <v>0.14979120098009469</v>
      </c>
      <c r="D8" s="6" t="str">
        <f ca="1">'Optimal CS Worksheet'!H65</f>
        <v>C2/C</v>
      </c>
      <c r="E8" s="7">
        <f ca="1">'Optimal CS Worksheet'!H66</f>
        <v>0.21500000000000002</v>
      </c>
      <c r="F8" s="7">
        <f ca="1">'Optimal CS Worksheet'!H68</f>
        <v>0.12275732420312735</v>
      </c>
      <c r="G8" s="33">
        <f t="shared" ca="1" si="0"/>
        <v>0.18860717529632764</v>
      </c>
      <c r="H8" s="33">
        <f t="shared" ca="1" si="1"/>
        <v>0.17308078556983444</v>
      </c>
      <c r="I8" s="216">
        <f ca="1">'Optimal CS Worksheet'!H78</f>
        <v>73536.915826268538</v>
      </c>
    </row>
    <row r="9" spans="1:9">
      <c r="A9" s="32">
        <v>0.7</v>
      </c>
      <c r="B9" s="113">
        <f ca="1">'Optimal CS Worksheet'!I50</f>
        <v>2.9367415846498752</v>
      </c>
      <c r="C9" s="7">
        <f ca="1">'Optimal CS Worksheet'!I74</f>
        <v>0.18530397745759308</v>
      </c>
      <c r="D9" s="6" t="str">
        <f ca="1">'Optimal CS Worksheet'!I65</f>
        <v>C2/C</v>
      </c>
      <c r="E9" s="7">
        <f ca="1">'Optimal CS Worksheet'!I66</f>
        <v>0.21500000000000002</v>
      </c>
      <c r="F9" s="7">
        <f ca="1">'Optimal CS Worksheet'!I68</f>
        <v>9.9704680763588432E-2</v>
      </c>
      <c r="G9" s="33">
        <f t="shared" ca="1" si="0"/>
        <v>0.1935634936358285</v>
      </c>
      <c r="H9" s="33">
        <f t="shared" ca="1" si="1"/>
        <v>0.19108563878235788</v>
      </c>
      <c r="I9" s="216">
        <f ca="1">'Optimal CS Worksheet'!I78</f>
        <v>64473.592516807439</v>
      </c>
    </row>
    <row r="10" spans="1:9">
      <c r="A10" s="32">
        <v>0.8</v>
      </c>
      <c r="B10" s="113">
        <f ca="1">'Optimal CS Worksheet'!J50</f>
        <v>4.4176155120895597</v>
      </c>
      <c r="C10" s="7">
        <f ca="1">'Optimal CS Worksheet'!J74</f>
        <v>0.25605330835515855</v>
      </c>
      <c r="D10" s="6" t="str">
        <f ca="1">'Optimal CS Worksheet'!J65</f>
        <v>C2/C</v>
      </c>
      <c r="E10" s="7">
        <f ca="1">'Optimal CS Worksheet'!J66</f>
        <v>0.21500000000000002</v>
      </c>
      <c r="F10" s="7">
        <f ca="1">'Optimal CS Worksheet'!J68</f>
        <v>8.3941310864701676E-2</v>
      </c>
      <c r="G10" s="33">
        <f t="shared" ca="1" si="0"/>
        <v>0.19695261816408915</v>
      </c>
      <c r="H10" s="33">
        <f t="shared" ca="1" si="1"/>
        <v>0.20877275620230304</v>
      </c>
      <c r="I10" s="216">
        <f ca="1">'Optimal CS Worksheet'!J78</f>
        <v>57510.578473605841</v>
      </c>
    </row>
    <row r="11" spans="1:9">
      <c r="A11" s="32">
        <v>0.9</v>
      </c>
      <c r="B11" s="113">
        <f ca="1">'Optimal CS Worksheet'!K50</f>
        <v>8.8534097246149326</v>
      </c>
      <c r="C11" s="7">
        <f ca="1">'Optimal CS Worksheet'!K74</f>
        <v>0.46797511123141705</v>
      </c>
      <c r="D11" s="6" t="str">
        <f ca="1">'Optimal CS Worksheet'!K65</f>
        <v>C2/C</v>
      </c>
      <c r="E11" s="7">
        <f ca="1">'Optimal CS Worksheet'!K66</f>
        <v>0.21500000000000002</v>
      </c>
      <c r="F11" s="7">
        <f ca="1">'Optimal CS Worksheet'!K68</f>
        <v>7.2481881824667235E-2</v>
      </c>
      <c r="G11" s="33">
        <f t="shared" ca="1" si="0"/>
        <v>0.19941639540769657</v>
      </c>
      <c r="H11" s="33">
        <f t="shared" ca="1" si="1"/>
        <v>0.22627226699006861</v>
      </c>
      <c r="I11" s="216">
        <f ca="1">'Optimal CS Worksheet'!K78</f>
        <v>51958.67025774705</v>
      </c>
    </row>
    <row r="14" spans="1:9">
      <c r="A14" s="6" t="s">
        <v>132</v>
      </c>
      <c r="B14" s="6" t="s">
        <v>111</v>
      </c>
      <c r="C14" s="6" t="s">
        <v>413</v>
      </c>
      <c r="D14" s="6" t="s">
        <v>414</v>
      </c>
      <c r="E14" s="6" t="s">
        <v>95</v>
      </c>
      <c r="F14" s="35" t="s">
        <v>192</v>
      </c>
      <c r="G14" s="35" t="s">
        <v>415</v>
      </c>
      <c r="H14" s="35" t="s">
        <v>416</v>
      </c>
    </row>
    <row r="15" spans="1:9">
      <c r="A15" s="32">
        <f>A2</f>
        <v>0</v>
      </c>
      <c r="B15" s="34">
        <f>'Optimal CS Worksheet'!B49</f>
        <v>0</v>
      </c>
      <c r="C15" s="34">
        <f>'Optimal CS Worksheet'!B56</f>
        <v>0</v>
      </c>
      <c r="D15" s="6" t="str">
        <f>'Optimal CS Worksheet'!B63</f>
        <v>∞</v>
      </c>
      <c r="E15" s="6" t="str">
        <f t="shared" ref="E15:H24" si="2">D2</f>
        <v>Aaa/AAA</v>
      </c>
      <c r="F15" s="48">
        <f t="shared" si="2"/>
        <v>5.0900000000000001E-2</v>
      </c>
      <c r="G15" s="48">
        <f t="shared" si="2"/>
        <v>0.25</v>
      </c>
      <c r="H15" s="48">
        <f t="shared" si="2"/>
        <v>3.8175000000000001E-2</v>
      </c>
    </row>
    <row r="16" spans="1:9">
      <c r="A16" s="32">
        <f t="shared" ref="A16:A24" si="3">A3</f>
        <v>0.1</v>
      </c>
      <c r="B16" s="34">
        <f>'Optimal CS Worksheet'!C49</f>
        <v>22242.497605483444</v>
      </c>
      <c r="C16" s="34">
        <f>'Optimal CS Worksheet'!C56</f>
        <v>945.15405172446935</v>
      </c>
      <c r="D16" s="21">
        <f>'Optimal CS Worksheet'!C63</f>
        <v>10.745376349365706</v>
      </c>
      <c r="E16" s="6" t="str">
        <f t="shared" si="2"/>
        <v>Aaa/AAA</v>
      </c>
      <c r="F16" s="48">
        <f t="shared" si="2"/>
        <v>5.0900000000000001E-2</v>
      </c>
      <c r="G16" s="48">
        <f t="shared" si="2"/>
        <v>0.25</v>
      </c>
      <c r="H16" s="48">
        <f t="shared" si="2"/>
        <v>3.8175000000000001E-2</v>
      </c>
    </row>
    <row r="17" spans="1:8">
      <c r="A17" s="32">
        <f t="shared" si="3"/>
        <v>0.2</v>
      </c>
      <c r="B17" s="34">
        <f>'Optimal CS Worksheet'!D49</f>
        <v>44484.995210966888</v>
      </c>
      <c r="C17" s="34">
        <f>'Optimal CS Worksheet'!D56</f>
        <v>1890.3081034489387</v>
      </c>
      <c r="D17" s="21">
        <f>'Optimal CS Worksheet'!D63</f>
        <v>5.3726881746828532</v>
      </c>
      <c r="E17" s="6" t="str">
        <f t="shared" si="2"/>
        <v>A2/A</v>
      </c>
      <c r="F17" s="48">
        <f t="shared" si="2"/>
        <v>5.57E-2</v>
      </c>
      <c r="G17" s="48">
        <f t="shared" si="2"/>
        <v>0.25</v>
      </c>
      <c r="H17" s="48">
        <f t="shared" si="2"/>
        <v>4.1775E-2</v>
      </c>
    </row>
    <row r="18" spans="1:8">
      <c r="A18" s="32">
        <f t="shared" si="3"/>
        <v>0.3</v>
      </c>
      <c r="B18" s="34">
        <f>'Optimal CS Worksheet'!E49</f>
        <v>66727.492816450322</v>
      </c>
      <c r="C18" s="34">
        <f ca="1">'Optimal CS Worksheet'!E56</f>
        <v>3131.929739819313</v>
      </c>
      <c r="D18" s="21">
        <f ca="1">'Optimal CS Worksheet'!E63</f>
        <v>3.2427406862879384</v>
      </c>
      <c r="E18" s="6" t="str">
        <f t="shared" ca="1" si="2"/>
        <v>A3/A-</v>
      </c>
      <c r="F18" s="48">
        <f t="shared" ca="1" si="2"/>
        <v>5.7099999999999998E-2</v>
      </c>
      <c r="G18" s="48">
        <f t="shared" ca="1" si="2"/>
        <v>0.25</v>
      </c>
      <c r="H18" s="48">
        <f t="shared" ca="1" si="2"/>
        <v>4.2825000000000002E-2</v>
      </c>
    </row>
    <row r="19" spans="1:8">
      <c r="A19" s="32">
        <f t="shared" si="3"/>
        <v>0.4</v>
      </c>
      <c r="B19" s="34">
        <f>'Optimal CS Worksheet'!F49</f>
        <v>88969.990421933777</v>
      </c>
      <c r="C19" s="34">
        <f ca="1">'Optimal CS Worksheet'!F56</f>
        <v>5222.9788682357403</v>
      </c>
      <c r="D19" s="21">
        <f ca="1">'Optimal CS Worksheet'!F63</f>
        <v>1.9444911132366638</v>
      </c>
      <c r="E19" s="6" t="str">
        <f t="shared" ca="1" si="2"/>
        <v>B1/B+</v>
      </c>
      <c r="F19" s="48">
        <f t="shared" ca="1" si="2"/>
        <v>7.6399999999999996E-2</v>
      </c>
      <c r="G19" s="48">
        <f t="shared" ca="1" si="2"/>
        <v>0.25</v>
      </c>
      <c r="H19" s="48">
        <f t="shared" ca="1" si="2"/>
        <v>5.7299999999999997E-2</v>
      </c>
    </row>
    <row r="20" spans="1:8">
      <c r="A20" s="32">
        <f t="shared" si="3"/>
        <v>0.5</v>
      </c>
      <c r="B20" s="34">
        <f>'Optimal CS Worksheet'!G49</f>
        <v>111212.48802741722</v>
      </c>
      <c r="C20" s="34">
        <f ca="1">'Optimal CS Worksheet'!G56</f>
        <v>15901.019925894703</v>
      </c>
      <c r="D20" s="21">
        <f ca="1">'Optimal CS Worksheet'!G63</f>
        <v>0.63870343168165267</v>
      </c>
      <c r="E20" s="6" t="str">
        <f t="shared" ca="1" si="2"/>
        <v>C2/C</v>
      </c>
      <c r="F20" s="48">
        <f t="shared" ca="1" si="2"/>
        <v>0.21500000000000002</v>
      </c>
      <c r="G20" s="48">
        <f t="shared" ca="1" si="2"/>
        <v>0.15967585792041314</v>
      </c>
      <c r="H20" s="48">
        <f t="shared" ca="1" si="2"/>
        <v>0.18066969054711118</v>
      </c>
    </row>
    <row r="21" spans="1:8">
      <c r="A21" s="32">
        <f t="shared" si="3"/>
        <v>0.6</v>
      </c>
      <c r="B21" s="34">
        <f>'Optimal CS Worksheet'!H49</f>
        <v>133454.98563290064</v>
      </c>
      <c r="C21" s="34">
        <f ca="1">'Optimal CS Worksheet'!H56</f>
        <v>20683.156911073642</v>
      </c>
      <c r="D21" s="21">
        <f ca="1">'Optimal CS Worksheet'!H63</f>
        <v>0.4910292968125094</v>
      </c>
      <c r="E21" s="6" t="str">
        <f t="shared" ca="1" si="2"/>
        <v>C2/C</v>
      </c>
      <c r="F21" s="48">
        <f t="shared" ca="1" si="2"/>
        <v>0.21500000000000002</v>
      </c>
      <c r="G21" s="48">
        <f t="shared" ca="1" si="2"/>
        <v>0.12275732420312735</v>
      </c>
      <c r="H21" s="48">
        <f t="shared" ca="1" si="2"/>
        <v>0.18860717529632764</v>
      </c>
    </row>
    <row r="22" spans="1:8">
      <c r="A22" s="32">
        <f t="shared" si="3"/>
        <v>0.7</v>
      </c>
      <c r="B22" s="34">
        <f>'Optimal CS Worksheet'!I49</f>
        <v>155697.4832383841</v>
      </c>
      <c r="C22" s="34">
        <f ca="1">'Optimal CS Worksheet'!I56</f>
        <v>25465.293896252584</v>
      </c>
      <c r="D22" s="21">
        <f ca="1">'Optimal CS Worksheet'!I63</f>
        <v>0.39881872305435373</v>
      </c>
      <c r="E22" s="6" t="str">
        <f t="shared" ca="1" si="2"/>
        <v>C2/C</v>
      </c>
      <c r="F22" s="48">
        <f t="shared" ca="1" si="2"/>
        <v>0.21500000000000002</v>
      </c>
      <c r="G22" s="48">
        <f t="shared" ca="1" si="2"/>
        <v>9.9704680763588432E-2</v>
      </c>
      <c r="H22" s="48">
        <f t="shared" ca="1" si="2"/>
        <v>0.1935634936358285</v>
      </c>
    </row>
    <row r="23" spans="1:8">
      <c r="A23" s="32">
        <f t="shared" si="3"/>
        <v>0.8</v>
      </c>
      <c r="B23" s="34">
        <f>'Optimal CS Worksheet'!J49</f>
        <v>177939.98084386755</v>
      </c>
      <c r="C23" s="34">
        <f ca="1">'Optimal CS Worksheet'!J56</f>
        <v>30247.430881431526</v>
      </c>
      <c r="D23" s="21">
        <f ca="1">'Optimal CS Worksheet'!J63</f>
        <v>0.33576524345880665</v>
      </c>
      <c r="E23" s="6" t="str">
        <f t="shared" ca="1" si="2"/>
        <v>C2/C</v>
      </c>
      <c r="F23" s="48">
        <f t="shared" ca="1" si="2"/>
        <v>0.21500000000000002</v>
      </c>
      <c r="G23" s="48">
        <f t="shared" ca="1" si="2"/>
        <v>8.3941310864701676E-2</v>
      </c>
      <c r="H23" s="48">
        <f t="shared" ca="1" si="2"/>
        <v>0.19695261816408915</v>
      </c>
    </row>
    <row r="24" spans="1:8">
      <c r="A24" s="32">
        <f t="shared" si="3"/>
        <v>0.9</v>
      </c>
      <c r="B24" s="34">
        <f>'Optimal CS Worksheet'!K49</f>
        <v>200182.47844935101</v>
      </c>
      <c r="C24" s="34">
        <f ca="1">'Optimal CS Worksheet'!K56</f>
        <v>35029.567866610472</v>
      </c>
      <c r="D24" s="21">
        <f ca="1">'Optimal CS Worksheet'!K63</f>
        <v>0.289927527298669</v>
      </c>
      <c r="E24" s="6" t="str">
        <f t="shared" ca="1" si="2"/>
        <v>C2/C</v>
      </c>
      <c r="F24" s="48">
        <f t="shared" ca="1" si="2"/>
        <v>0.21500000000000002</v>
      </c>
      <c r="G24" s="48">
        <f t="shared" ca="1" si="2"/>
        <v>7.2481881824667235E-2</v>
      </c>
      <c r="H24" s="48">
        <f t="shared" ca="1" si="2"/>
        <v>0.19941639540769657</v>
      </c>
    </row>
    <row r="28" spans="1:8">
      <c r="A28" s="4" t="str">
        <f>A1</f>
        <v>Debt Ratio</v>
      </c>
      <c r="B28" s="4" t="s">
        <v>83</v>
      </c>
      <c r="C28" s="4" t="s">
        <v>420</v>
      </c>
    </row>
    <row r="29" spans="1:8">
      <c r="A29" s="204">
        <f t="shared" ref="A29:A37" si="4">A2</f>
        <v>0</v>
      </c>
      <c r="B29" s="9">
        <f>H2</f>
        <v>9.0249289405764613E-2</v>
      </c>
      <c r="C29" s="217">
        <f>I2</f>
        <v>208150.58249757529</v>
      </c>
    </row>
    <row r="30" spans="1:8">
      <c r="A30" s="204">
        <f t="shared" si="4"/>
        <v>0.1</v>
      </c>
      <c r="B30" s="9">
        <f t="shared" ref="B30:C30" si="5">H3</f>
        <v>8.8435557170620502E-2</v>
      </c>
      <c r="C30" s="217">
        <f t="shared" si="5"/>
        <v>216842.29605743344</v>
      </c>
    </row>
    <row r="31" spans="1:8">
      <c r="A31" s="204">
        <f t="shared" si="4"/>
        <v>0.2</v>
      </c>
      <c r="B31" s="9">
        <f t="shared" ref="B31:C31" si="6">H4</f>
        <v>8.7341824935476375E-2</v>
      </c>
      <c r="C31" s="217">
        <f t="shared" si="6"/>
        <v>222443.55225038435</v>
      </c>
    </row>
    <row r="32" spans="1:8">
      <c r="A32" s="204">
        <f t="shared" si="4"/>
        <v>0.3</v>
      </c>
      <c r="B32" s="9">
        <f t="shared" ref="B32:C32" ca="1" si="7">H5</f>
        <v>8.6203092700332259E-2</v>
      </c>
      <c r="C32" s="217">
        <f t="shared" ca="1" si="7"/>
        <v>228591.23745668039</v>
      </c>
    </row>
    <row r="33" spans="1:7">
      <c r="A33" s="204">
        <f t="shared" si="4"/>
        <v>0.4</v>
      </c>
      <c r="B33" s="9">
        <f t="shared" ref="B33:C33" ca="1" si="8">H6</f>
        <v>9.0644360465188145E-2</v>
      </c>
      <c r="C33" s="217">
        <f t="shared" ca="1" si="8"/>
        <v>206348.95201554321</v>
      </c>
    </row>
    <row r="34" spans="1:7">
      <c r="A34" s="204">
        <f t="shared" si="4"/>
        <v>0.5</v>
      </c>
      <c r="B34" s="9">
        <f t="shared" ref="B34:C34" ca="1" si="9">H7</f>
        <v>0.15447152512624293</v>
      </c>
      <c r="C34" s="217">
        <f t="shared" ca="1" si="9"/>
        <v>86037.587733884488</v>
      </c>
    </row>
    <row r="35" spans="1:7">
      <c r="A35" s="204">
        <f t="shared" si="4"/>
        <v>0.6</v>
      </c>
      <c r="B35" s="9">
        <f t="shared" ref="B35:C35" ca="1" si="10">H8</f>
        <v>0.17308078556983444</v>
      </c>
      <c r="C35" s="217">
        <f t="shared" ca="1" si="10"/>
        <v>73536.915826268538</v>
      </c>
    </row>
    <row r="36" spans="1:7">
      <c r="A36" s="204">
        <f t="shared" si="4"/>
        <v>0.7</v>
      </c>
      <c r="B36" s="9">
        <f t="shared" ref="B36:C36" ca="1" si="11">H9</f>
        <v>0.19108563878235788</v>
      </c>
      <c r="C36" s="217">
        <f t="shared" ca="1" si="11"/>
        <v>64473.592516807439</v>
      </c>
      <c r="G36" s="117"/>
    </row>
    <row r="37" spans="1:7">
      <c r="A37" s="204">
        <f t="shared" si="4"/>
        <v>0.8</v>
      </c>
      <c r="B37" s="9">
        <f t="shared" ref="B37:C37" ca="1" si="12">H10</f>
        <v>0.20877275620230304</v>
      </c>
      <c r="C37" s="217">
        <f t="shared" ca="1" si="12"/>
        <v>57510.578473605841</v>
      </c>
    </row>
    <row r="38" spans="1:7">
      <c r="A38" s="204">
        <f>A11</f>
        <v>0.9</v>
      </c>
      <c r="B38" s="9">
        <f t="shared" ref="B38:C38" ca="1" si="13">H11</f>
        <v>0.22627226699006861</v>
      </c>
      <c r="C38" s="217">
        <f t="shared" ca="1" si="13"/>
        <v>51958.67025774705</v>
      </c>
    </row>
  </sheetData>
  <pageMargins left="0.75" right="0.75" top="1" bottom="1" header="0.5" footer="0.5"/>
  <pageSetup orientation="portrait" horizontalDpi="4294967292" verticalDpi="4294967292"/>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I34"/>
  <sheetViews>
    <sheetView workbookViewId="0">
      <selection activeCell="H5" sqref="H5"/>
    </sheetView>
  </sheetViews>
  <sheetFormatPr baseColWidth="10" defaultRowHeight="14"/>
  <cols>
    <col min="1" max="4" width="10.7109375" style="91"/>
  </cols>
  <sheetData>
    <row r="1" spans="1:9">
      <c r="A1" s="94" t="s">
        <v>61</v>
      </c>
      <c r="B1"/>
      <c r="C1"/>
      <c r="D1"/>
      <c r="F1" s="98" t="s">
        <v>385</v>
      </c>
      <c r="G1" s="98" t="s">
        <v>387</v>
      </c>
      <c r="H1" t="s">
        <v>388</v>
      </c>
      <c r="I1" s="37" t="s">
        <v>478</v>
      </c>
    </row>
    <row r="2" spans="1:9">
      <c r="A2" s="95" t="s">
        <v>246</v>
      </c>
      <c r="B2"/>
      <c r="C2"/>
      <c r="D2"/>
      <c r="F2" t="s">
        <v>41</v>
      </c>
      <c r="G2" t="s">
        <v>131</v>
      </c>
      <c r="H2">
        <v>1</v>
      </c>
      <c r="I2" s="37"/>
    </row>
    <row r="3" spans="1:9">
      <c r="A3" s="95" t="s">
        <v>247</v>
      </c>
      <c r="B3"/>
      <c r="C3"/>
      <c r="D3"/>
      <c r="F3" t="s">
        <v>232</v>
      </c>
      <c r="G3" t="s">
        <v>261</v>
      </c>
      <c r="H3">
        <v>2</v>
      </c>
      <c r="I3" s="37" t="s">
        <v>112</v>
      </c>
    </row>
    <row r="4" spans="1:9">
      <c r="A4" s="95" t="s">
        <v>405</v>
      </c>
      <c r="B4"/>
      <c r="C4"/>
      <c r="D4"/>
      <c r="G4" t="s">
        <v>130</v>
      </c>
      <c r="H4">
        <v>3</v>
      </c>
      <c r="I4" s="37" t="s">
        <v>114</v>
      </c>
    </row>
    <row r="5" spans="1:9">
      <c r="A5" s="95" t="s">
        <v>248</v>
      </c>
      <c r="B5"/>
      <c r="C5"/>
      <c r="D5"/>
    </row>
    <row r="6" spans="1:9">
      <c r="A6" s="95" t="s">
        <v>249</v>
      </c>
      <c r="B6"/>
      <c r="C6"/>
      <c r="D6"/>
    </row>
    <row r="7" spans="1:9">
      <c r="A7" s="95" t="s">
        <v>250</v>
      </c>
      <c r="B7"/>
      <c r="C7"/>
      <c r="D7"/>
    </row>
    <row r="8" spans="1:9">
      <c r="A8" s="95" t="s">
        <v>251</v>
      </c>
      <c r="B8"/>
      <c r="C8"/>
      <c r="D8"/>
    </row>
    <row r="9" spans="1:9">
      <c r="A9" s="95" t="s">
        <v>252</v>
      </c>
      <c r="B9"/>
      <c r="C9"/>
      <c r="D9"/>
    </row>
    <row r="10" spans="1:9">
      <c r="A10" s="95" t="s">
        <v>253</v>
      </c>
      <c r="B10"/>
      <c r="C10"/>
      <c r="D10"/>
    </row>
    <row r="11" spans="1:9">
      <c r="A11" s="95" t="s">
        <v>254</v>
      </c>
      <c r="B11"/>
      <c r="C11"/>
      <c r="D11"/>
    </row>
    <row r="12" spans="1:9">
      <c r="A12" s="95" t="s">
        <v>255</v>
      </c>
      <c r="B12"/>
      <c r="C12"/>
      <c r="D12"/>
    </row>
    <row r="13" spans="1:9">
      <c r="A13" s="95" t="s">
        <v>256</v>
      </c>
      <c r="B13"/>
      <c r="C13"/>
      <c r="D13"/>
    </row>
    <row r="14" spans="1:9">
      <c r="A14" s="95" t="s">
        <v>257</v>
      </c>
      <c r="B14"/>
      <c r="C14"/>
      <c r="D14"/>
    </row>
    <row r="15" spans="1:9">
      <c r="A15" s="95" t="s">
        <v>258</v>
      </c>
      <c r="B15"/>
      <c r="C15"/>
      <c r="D15"/>
    </row>
    <row r="16" spans="1:9">
      <c r="A16" s="95" t="s">
        <v>259</v>
      </c>
      <c r="B16"/>
      <c r="C16"/>
      <c r="D16"/>
    </row>
    <row r="17" spans="1:4">
      <c r="A17" s="93" t="s">
        <v>394</v>
      </c>
    </row>
    <row r="19" spans="1:4">
      <c r="A19" s="91" t="s">
        <v>61</v>
      </c>
      <c r="B19" s="95" t="s">
        <v>260</v>
      </c>
      <c r="C19" s="95" t="s">
        <v>261</v>
      </c>
      <c r="D19" s="95" t="s">
        <v>262</v>
      </c>
    </row>
    <row r="20" spans="1:4">
      <c r="A20" s="95" t="s">
        <v>259</v>
      </c>
      <c r="B20" s="97">
        <v>-0.3</v>
      </c>
      <c r="C20" s="96">
        <v>-0.5</v>
      </c>
      <c r="D20" s="97">
        <v>-1</v>
      </c>
    </row>
    <row r="21" spans="1:4">
      <c r="A21" s="95" t="s">
        <v>256</v>
      </c>
      <c r="B21" s="97">
        <v>-0.25</v>
      </c>
      <c r="C21" s="96">
        <v>-0.4</v>
      </c>
      <c r="D21" s="97">
        <v>-0.5</v>
      </c>
    </row>
    <row r="22" spans="1:4">
      <c r="A22" s="95" t="s">
        <v>257</v>
      </c>
      <c r="B22" s="97">
        <v>-0.25</v>
      </c>
      <c r="C22" s="96">
        <v>-0.4</v>
      </c>
      <c r="D22" s="97">
        <v>-0.5</v>
      </c>
    </row>
    <row r="23" spans="1:4">
      <c r="A23" s="95" t="s">
        <v>258</v>
      </c>
      <c r="B23" s="97">
        <v>-0.25</v>
      </c>
      <c r="C23" s="96">
        <v>-0.4</v>
      </c>
      <c r="D23" s="97">
        <v>-0.5</v>
      </c>
    </row>
    <row r="24" spans="1:4">
      <c r="A24" s="95" t="s">
        <v>255</v>
      </c>
      <c r="B24" s="97">
        <v>-0.15</v>
      </c>
      <c r="C24" s="96">
        <v>-0.25</v>
      </c>
      <c r="D24" s="97">
        <v>-0.3</v>
      </c>
    </row>
    <row r="25" spans="1:4">
      <c r="A25" s="95" t="s">
        <v>254</v>
      </c>
      <c r="B25" s="97">
        <v>-0.1</v>
      </c>
      <c r="C25" s="96">
        <v>-0.2</v>
      </c>
      <c r="D25" s="97">
        <v>-0.25</v>
      </c>
    </row>
    <row r="26" spans="1:4">
      <c r="A26" s="95" t="s">
        <v>253</v>
      </c>
      <c r="B26" s="97">
        <v>-0.1</v>
      </c>
      <c r="C26" s="96">
        <v>-0.2</v>
      </c>
      <c r="D26" s="97">
        <v>-0.25</v>
      </c>
    </row>
    <row r="27" spans="1:4">
      <c r="A27" s="95" t="s">
        <v>252</v>
      </c>
      <c r="B27" s="97">
        <v>-0.1</v>
      </c>
      <c r="C27" s="96">
        <v>-0.2</v>
      </c>
      <c r="D27" s="97">
        <v>-0.25</v>
      </c>
    </row>
    <row r="28" spans="1:4">
      <c r="A28" s="95" t="s">
        <v>251</v>
      </c>
      <c r="B28" s="97">
        <v>-0.1</v>
      </c>
      <c r="C28" s="96">
        <v>-0.2</v>
      </c>
      <c r="D28" s="97">
        <v>-0.25</v>
      </c>
    </row>
    <row r="29" spans="1:4">
      <c r="A29" s="95" t="s">
        <v>250</v>
      </c>
      <c r="B29" s="97">
        <v>-0.05</v>
      </c>
      <c r="C29" s="96">
        <v>-0.1</v>
      </c>
      <c r="D29" s="97">
        <v>-0.15</v>
      </c>
    </row>
    <row r="30" spans="1:4">
      <c r="A30" s="95" t="s">
        <v>249</v>
      </c>
      <c r="B30" s="96">
        <v>0</v>
      </c>
      <c r="C30" s="96">
        <v>-0.02</v>
      </c>
      <c r="D30" s="97">
        <v>-0.05</v>
      </c>
    </row>
    <row r="31" spans="1:4">
      <c r="A31" s="95" t="s">
        <v>248</v>
      </c>
      <c r="B31" s="96">
        <v>0</v>
      </c>
      <c r="C31" s="96">
        <v>0</v>
      </c>
      <c r="D31" s="97">
        <v>-0.02</v>
      </c>
    </row>
    <row r="32" spans="1:4">
      <c r="A32" s="95" t="s">
        <v>405</v>
      </c>
      <c r="B32" s="96">
        <v>0</v>
      </c>
      <c r="C32" s="96">
        <v>0</v>
      </c>
      <c r="D32" s="97">
        <v>0</v>
      </c>
    </row>
    <row r="33" spans="1:4">
      <c r="A33" s="95" t="s">
        <v>247</v>
      </c>
      <c r="B33" s="96">
        <v>0</v>
      </c>
      <c r="C33" s="96">
        <v>0</v>
      </c>
      <c r="D33" s="97">
        <v>0</v>
      </c>
    </row>
    <row r="34" spans="1:4">
      <c r="A34" s="95" t="s">
        <v>246</v>
      </c>
      <c r="B34" s="97">
        <v>0</v>
      </c>
      <c r="C34" s="96">
        <v>0</v>
      </c>
      <c r="D34" s="97">
        <v>0</v>
      </c>
    </row>
  </sheetData>
  <pageMargins left="0.75" right="0.75" top="1" bottom="1" header="0.5" footer="0.5"/>
  <pageSetup orientation="portrait" horizontalDpi="4294967292" verticalDpi="4294967292"/>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baseColWidth="10" defaultRowHeight="14"/>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13</vt:i4>
      </vt:variant>
      <vt:variant>
        <vt:lpstr>Charts</vt:lpstr>
      </vt:variant>
      <vt:variant>
        <vt:i4>1</vt:i4>
      </vt:variant>
    </vt:vector>
  </HeadingPairs>
  <TitlesOfParts>
    <vt:vector size="14" baseType="lpstr">
      <vt:lpstr>READ ME 1ST</vt:lpstr>
      <vt:lpstr>FAQs</vt:lpstr>
      <vt:lpstr>Inputs</vt:lpstr>
      <vt:lpstr>Optimal CS Worksheet</vt:lpstr>
      <vt:lpstr>Marginal tax rate by country</vt:lpstr>
      <vt:lpstr>Operating leases</vt:lpstr>
      <vt:lpstr>Default Spreads and Ratios</vt:lpstr>
      <vt:lpstr>ERP Calculator</vt:lpstr>
      <vt:lpstr>Country ERP </vt:lpstr>
      <vt:lpstr>Repurchase price Worksheet</vt:lpstr>
      <vt:lpstr>Summary Table</vt:lpstr>
      <vt:lpstr>Input choices page</vt:lpstr>
      <vt:lpstr>Sheet1</vt:lpstr>
      <vt:lpstr>Value&amp;WACC Chart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Capital Structure</dc:title>
  <dc:creator>Aswath Damodaran</dc:creator>
  <cp:lastModifiedBy>Microsoft Office User</cp:lastModifiedBy>
  <cp:lastPrinted>1999-02-15T16:52:54Z</cp:lastPrinted>
  <dcterms:created xsi:type="dcterms:W3CDTF">2000-03-20T17:31:39Z</dcterms:created>
  <dcterms:modified xsi:type="dcterms:W3CDTF">2025-01-25T03:48:09Z</dcterms:modified>
</cp:coreProperties>
</file>