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8_{2E8CE0D0-3BF3-5B40-8D75-4450DB0768FA}" xr6:coauthVersionLast="47" xr6:coauthVersionMax="47" xr10:uidLastSave="{00000000-0000-0000-0000-000000000000}"/>
  <bookViews>
    <workbookView xWindow="0" yWindow="500" windowWidth="38400" windowHeight="23500" activeTab="3" xr2:uid="{00000000-000D-0000-FFFF-FFFF00000000}"/>
  </bookViews>
  <sheets>
    <sheet name="Read me first" sheetId="3" r:id="rId1"/>
    <sheet name="Inputs" sheetId="2" r:id="rId2"/>
    <sheet name="Input summary" sheetId="13" r:id="rId3"/>
    <sheet name="FCFE Valuation" sheetId="1" r:id="rId4"/>
    <sheet name="Normalized Earnings" sheetId="4" r:id="rId5"/>
    <sheet name="Normalized Reinvestment" sheetId="6" r:id="rId6"/>
    <sheet name="R&amp;D converter" sheetId="8" r:id="rId7"/>
    <sheet name="Beta calculator" sheetId="9" r:id="rId8"/>
    <sheet name="ERP calculator" sheetId="10" r:id="rId9"/>
    <sheet name="Industry averages" sheetId="7" r:id="rId10"/>
    <sheet name="Country ERP" sheetId="11" r:id="rId11"/>
    <sheet name="Input Choices" sheetId="12" r:id="rId12"/>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 i="13" l="1"/>
  <c r="D6" i="13"/>
  <c r="D4" i="13"/>
  <c r="D2" i="13"/>
  <c r="D3" i="13"/>
  <c r="B6" i="13"/>
  <c r="B5" i="13"/>
  <c r="B4" i="13"/>
  <c r="B3" i="13"/>
  <c r="B2" i="13"/>
  <c r="Q13" i="1"/>
  <c r="P13" i="1"/>
  <c r="O13" i="1"/>
  <c r="N13" i="1"/>
  <c r="M13" i="1"/>
  <c r="L13" i="1"/>
  <c r="K13" i="1"/>
  <c r="J13" i="1"/>
  <c r="I13" i="1"/>
  <c r="H13" i="1"/>
  <c r="G13" i="1"/>
  <c r="F13" i="1"/>
  <c r="E13" i="1"/>
  <c r="D13" i="1"/>
  <c r="C13" i="1"/>
  <c r="D22" i="1"/>
  <c r="D7" i="1"/>
  <c r="B28" i="2"/>
  <c r="B16" i="2"/>
  <c r="B15" i="2"/>
  <c r="B14" i="2"/>
  <c r="C10" i="2"/>
  <c r="B7" i="2"/>
  <c r="C12" i="10"/>
  <c r="C11" i="10"/>
  <c r="C10" i="10"/>
  <c r="C9" i="10"/>
  <c r="C8" i="10"/>
  <c r="C7" i="10"/>
  <c r="E7" i="10" s="1"/>
  <c r="C6" i="10"/>
  <c r="C5" i="10"/>
  <c r="C4" i="10"/>
  <c r="E4" i="10" s="1"/>
  <c r="C3" i="10"/>
  <c r="E3" i="10" s="1"/>
  <c r="C26" i="10"/>
  <c r="C25" i="10"/>
  <c r="C18" i="10"/>
  <c r="A26" i="10"/>
  <c r="A25" i="10"/>
  <c r="A24" i="10"/>
  <c r="A23" i="10"/>
  <c r="A22" i="10"/>
  <c r="A21" i="10"/>
  <c r="A20" i="10"/>
  <c r="A19" i="10"/>
  <c r="A18" i="10"/>
  <c r="C4" i="9"/>
  <c r="D4" i="9" s="1"/>
  <c r="D195" i="11"/>
  <c r="D194" i="11"/>
  <c r="D193" i="11"/>
  <c r="D192" i="11"/>
  <c r="D191" i="11"/>
  <c r="D190" i="11"/>
  <c r="D189" i="11"/>
  <c r="D188" i="11"/>
  <c r="D187" i="11"/>
  <c r="D186" i="11"/>
  <c r="D185" i="11"/>
  <c r="D184" i="11"/>
  <c r="D183" i="11"/>
  <c r="D182" i="11"/>
  <c r="D181" i="11"/>
  <c r="D180" i="11"/>
  <c r="D179" i="11"/>
  <c r="D178" i="11"/>
  <c r="D177" i="11"/>
  <c r="D176" i="11"/>
  <c r="D175" i="11"/>
  <c r="D174" i="11"/>
  <c r="D173" i="11"/>
  <c r="D172" i="11"/>
  <c r="D171" i="11"/>
  <c r="D170" i="11"/>
  <c r="D169" i="11"/>
  <c r="D168" i="11"/>
  <c r="D167" i="11"/>
  <c r="D166" i="11"/>
  <c r="D165" i="11"/>
  <c r="D164" i="11"/>
  <c r="D163" i="11"/>
  <c r="D162" i="11"/>
  <c r="D161" i="11"/>
  <c r="D160" i="11"/>
  <c r="D159" i="11"/>
  <c r="D158" i="11"/>
  <c r="D157" i="11"/>
  <c r="D156" i="11"/>
  <c r="D155" i="11"/>
  <c r="D154" i="11"/>
  <c r="D153" i="11"/>
  <c r="D152" i="11"/>
  <c r="D151" i="11"/>
  <c r="D150" i="11"/>
  <c r="D149" i="11"/>
  <c r="D148" i="11"/>
  <c r="D147" i="11"/>
  <c r="D146" i="11"/>
  <c r="D145" i="11"/>
  <c r="D144" i="11"/>
  <c r="D143" i="11"/>
  <c r="D142" i="11"/>
  <c r="D141" i="11"/>
  <c r="D140" i="11"/>
  <c r="D139" i="11"/>
  <c r="D138" i="11"/>
  <c r="D137" i="11"/>
  <c r="D136" i="11"/>
  <c r="D135" i="11"/>
  <c r="D134" i="11"/>
  <c r="D133" i="11"/>
  <c r="D132" i="11"/>
  <c r="D131" i="11"/>
  <c r="D130" i="11"/>
  <c r="D129" i="11"/>
  <c r="D128" i="11"/>
  <c r="D127" i="11"/>
  <c r="D126" i="11"/>
  <c r="D125" i="11"/>
  <c r="D124" i="11"/>
  <c r="D123" i="11"/>
  <c r="D122" i="11"/>
  <c r="D121" i="11"/>
  <c r="D120" i="11"/>
  <c r="D119" i="11"/>
  <c r="D118" i="11"/>
  <c r="D117" i="11"/>
  <c r="D116" i="11"/>
  <c r="D115" i="11"/>
  <c r="D114" i="11"/>
  <c r="D113" i="11"/>
  <c r="D112" i="11"/>
  <c r="D111" i="11"/>
  <c r="D110" i="11"/>
  <c r="D109" i="11"/>
  <c r="D108" i="11"/>
  <c r="D107" i="11"/>
  <c r="D106" i="11"/>
  <c r="D105" i="11"/>
  <c r="D104" i="11"/>
  <c r="D103" i="11"/>
  <c r="D102" i="11"/>
  <c r="D101" i="11"/>
  <c r="D100" i="11"/>
  <c r="D99" i="11"/>
  <c r="D98" i="11"/>
  <c r="D97" i="11"/>
  <c r="D96" i="11"/>
  <c r="D95" i="11"/>
  <c r="D94" i="11"/>
  <c r="D93" i="11"/>
  <c r="D92" i="11"/>
  <c r="D91" i="11"/>
  <c r="D90" i="11"/>
  <c r="D89" i="11"/>
  <c r="D88" i="11"/>
  <c r="D87" i="11"/>
  <c r="D86" i="11"/>
  <c r="D85" i="11"/>
  <c r="D84" i="11"/>
  <c r="D83" i="11"/>
  <c r="D82" i="11"/>
  <c r="D81" i="11"/>
  <c r="D80" i="11"/>
  <c r="D79" i="11"/>
  <c r="D78" i="11"/>
  <c r="D77" i="11"/>
  <c r="D76" i="11"/>
  <c r="D75" i="11"/>
  <c r="D74" i="11"/>
  <c r="D73" i="11"/>
  <c r="D72" i="11"/>
  <c r="D71" i="11"/>
  <c r="D70" i="11"/>
  <c r="D69" i="11"/>
  <c r="D68" i="11"/>
  <c r="D67" i="11"/>
  <c r="D66" i="11"/>
  <c r="D65" i="11"/>
  <c r="D64" i="11"/>
  <c r="D63" i="11"/>
  <c r="D62" i="11"/>
  <c r="D61" i="11"/>
  <c r="D60" i="11"/>
  <c r="D59" i="11"/>
  <c r="D58" i="11"/>
  <c r="D57" i="11"/>
  <c r="D56" i="11"/>
  <c r="D55" i="11"/>
  <c r="D54" i="11"/>
  <c r="D53" i="11"/>
  <c r="D52" i="11"/>
  <c r="D51" i="11"/>
  <c r="D50" i="11"/>
  <c r="D49" i="11"/>
  <c r="D48" i="11"/>
  <c r="D47" i="11"/>
  <c r="D46" i="11"/>
  <c r="D45" i="11"/>
  <c r="D44" i="11"/>
  <c r="D43" i="11"/>
  <c r="D42" i="11"/>
  <c r="D41" i="11"/>
  <c r="D40" i="11"/>
  <c r="D39" i="11"/>
  <c r="D38" i="11"/>
  <c r="D37" i="11"/>
  <c r="D36" i="11"/>
  <c r="D35" i="11"/>
  <c r="D34" i="11"/>
  <c r="D33" i="11"/>
  <c r="D32" i="11"/>
  <c r="D31" i="11"/>
  <c r="D30" i="11"/>
  <c r="D29" i="11"/>
  <c r="D28" i="11"/>
  <c r="D27" i="11"/>
  <c r="D26" i="11"/>
  <c r="D25" i="11"/>
  <c r="D24" i="11"/>
  <c r="D23" i="11"/>
  <c r="D22" i="11"/>
  <c r="D21" i="11"/>
  <c r="D20" i="11"/>
  <c r="D19" i="11"/>
  <c r="D18" i="11"/>
  <c r="D17" i="11"/>
  <c r="D16" i="11"/>
  <c r="D15" i="11"/>
  <c r="D14" i="11"/>
  <c r="D13" i="11"/>
  <c r="D12" i="11"/>
  <c r="D11" i="11"/>
  <c r="D10" i="11"/>
  <c r="D9" i="11"/>
  <c r="D8" i="11"/>
  <c r="D7" i="11"/>
  <c r="D6" i="11"/>
  <c r="B210" i="11"/>
  <c r="B209" i="11"/>
  <c r="B208" i="11"/>
  <c r="B207" i="11"/>
  <c r="C24" i="10" s="1"/>
  <c r="B206" i="11"/>
  <c r="C23" i="10" s="1"/>
  <c r="B205" i="11"/>
  <c r="C22" i="10" s="1"/>
  <c r="B204" i="11"/>
  <c r="C21" i="10" s="1"/>
  <c r="E21" i="10" s="1"/>
  <c r="B203" i="11"/>
  <c r="C20" i="10" s="1"/>
  <c r="B202" i="11"/>
  <c r="C19" i="10" s="1"/>
  <c r="B201" i="11"/>
  <c r="F117" i="11"/>
  <c r="E117" i="11"/>
  <c r="C117" i="11"/>
  <c r="F72" i="11"/>
  <c r="E72" i="11"/>
  <c r="C72" i="11"/>
  <c r="D5" i="11"/>
  <c r="B34" i="8"/>
  <c r="B33" i="8"/>
  <c r="B32" i="8"/>
  <c r="B31" i="8"/>
  <c r="B30" i="8"/>
  <c r="B29" i="8"/>
  <c r="B28" i="8"/>
  <c r="B27" i="8"/>
  <c r="B26" i="8"/>
  <c r="B25" i="8"/>
  <c r="A25" i="8"/>
  <c r="E25" i="8"/>
  <c r="D24" i="8"/>
  <c r="C24" i="8"/>
  <c r="B24" i="8"/>
  <c r="A12" i="8"/>
  <c r="A26" i="8"/>
  <c r="E12" i="10"/>
  <c r="E11" i="10"/>
  <c r="E10" i="10"/>
  <c r="E9" i="10"/>
  <c r="E8" i="10"/>
  <c r="E6" i="10"/>
  <c r="E5" i="10"/>
  <c r="B29" i="10"/>
  <c r="D27" i="10" s="1"/>
  <c r="E27" i="10" s="1"/>
  <c r="B15" i="10"/>
  <c r="D4" i="10"/>
  <c r="D14" i="10"/>
  <c r="E14" i="10"/>
  <c r="D13" i="10"/>
  <c r="E13" i="10"/>
  <c r="D12" i="10"/>
  <c r="D11" i="10"/>
  <c r="D10" i="10"/>
  <c r="D9" i="10"/>
  <c r="D8" i="10"/>
  <c r="D7" i="10"/>
  <c r="D6" i="10"/>
  <c r="D15" i="10"/>
  <c r="D5" i="10"/>
  <c r="D3" i="10"/>
  <c r="D21" i="10"/>
  <c r="D19" i="10"/>
  <c r="D26" i="10"/>
  <c r="D24" i="10"/>
  <c r="D24" i="1"/>
  <c r="E14" i="9"/>
  <c r="E12" i="9"/>
  <c r="E11" i="9"/>
  <c r="E10" i="9"/>
  <c r="E9" i="9"/>
  <c r="E8" i="9"/>
  <c r="E7" i="9"/>
  <c r="E6" i="9"/>
  <c r="E5" i="9"/>
  <c r="E13" i="9"/>
  <c r="C14" i="9"/>
  <c r="D14" i="9" s="1"/>
  <c r="C13" i="9"/>
  <c r="D13" i="9"/>
  <c r="C12" i="9"/>
  <c r="D12" i="9" s="1"/>
  <c r="C11" i="9"/>
  <c r="D11" i="9" s="1"/>
  <c r="C10" i="9"/>
  <c r="D10" i="9"/>
  <c r="C9" i="9"/>
  <c r="D9" i="9" s="1"/>
  <c r="C8" i="9"/>
  <c r="D8" i="9" s="1"/>
  <c r="C7" i="9"/>
  <c r="D7" i="9"/>
  <c r="C6" i="9"/>
  <c r="D6" i="9"/>
  <c r="C5" i="9"/>
  <c r="D5" i="9" s="1"/>
  <c r="B15" i="9"/>
  <c r="B20" i="2"/>
  <c r="B36" i="2" s="1"/>
  <c r="B37" i="2" s="1"/>
  <c r="C5" i="6"/>
  <c r="D5" i="6"/>
  <c r="E5" i="6"/>
  <c r="F5" i="6"/>
  <c r="G5" i="6"/>
  <c r="G7" i="6"/>
  <c r="B21" i="2"/>
  <c r="G6" i="6"/>
  <c r="B14" i="6"/>
  <c r="B22" i="2"/>
  <c r="B24" i="6"/>
  <c r="G5" i="4"/>
  <c r="B52" i="2"/>
  <c r="D23" i="1" s="1"/>
  <c r="D3" i="1"/>
  <c r="I17" i="1" s="1"/>
  <c r="D4" i="1"/>
  <c r="D5" i="1" s="1"/>
  <c r="C11" i="1"/>
  <c r="D11" i="1"/>
  <c r="E11" i="1"/>
  <c r="F11" i="1"/>
  <c r="G11" i="1"/>
  <c r="H11" i="1"/>
  <c r="I11" i="1"/>
  <c r="J11" i="1"/>
  <c r="K11" i="1"/>
  <c r="L11" i="1"/>
  <c r="M11" i="1"/>
  <c r="N11" i="1"/>
  <c r="O11" i="1"/>
  <c r="P11" i="1"/>
  <c r="Q11" i="1"/>
  <c r="D21" i="1"/>
  <c r="E30" i="1"/>
  <c r="E26" i="8"/>
  <c r="C26" i="8"/>
  <c r="D26" i="8"/>
  <c r="C25" i="8"/>
  <c r="D25" i="8"/>
  <c r="A13" i="8"/>
  <c r="A14" i="8"/>
  <c r="A27" i="8"/>
  <c r="E27" i="8"/>
  <c r="C27" i="8"/>
  <c r="D27" i="8"/>
  <c r="A28" i="8"/>
  <c r="A15" i="8"/>
  <c r="A29" i="8"/>
  <c r="A16" i="8"/>
  <c r="E28" i="8"/>
  <c r="C28" i="8"/>
  <c r="D28" i="8"/>
  <c r="A30" i="8"/>
  <c r="A17" i="8"/>
  <c r="C29" i="8"/>
  <c r="D29" i="8"/>
  <c r="E29" i="8"/>
  <c r="A31" i="8"/>
  <c r="A18" i="8"/>
  <c r="E30" i="8"/>
  <c r="C30" i="8"/>
  <c r="D30" i="8"/>
  <c r="A32" i="8"/>
  <c r="A19" i="8"/>
  <c r="E31" i="8"/>
  <c r="C31" i="8"/>
  <c r="D31" i="8"/>
  <c r="A20" i="8"/>
  <c r="A34" i="8"/>
  <c r="A33" i="8"/>
  <c r="C32" i="8"/>
  <c r="D32" i="8"/>
  <c r="E32" i="8"/>
  <c r="E33" i="8"/>
  <c r="C33" i="8"/>
  <c r="D33" i="8"/>
  <c r="E34" i="8"/>
  <c r="E35" i="8"/>
  <c r="D37" i="8"/>
  <c r="D39" i="8"/>
  <c r="C34" i="8"/>
  <c r="D34" i="8"/>
  <c r="D35" i="8"/>
  <c r="B38" i="2" l="1"/>
  <c r="F17" i="1"/>
  <c r="Q17" i="1"/>
  <c r="E17" i="1"/>
  <c r="P17" i="1"/>
  <c r="E26" i="10"/>
  <c r="D23" i="10"/>
  <c r="E23" i="10" s="1"/>
  <c r="D22" i="10"/>
  <c r="E22" i="10" s="1"/>
  <c r="D18" i="10"/>
  <c r="E18" i="10" s="1"/>
  <c r="D25" i="10"/>
  <c r="E25" i="10" s="1"/>
  <c r="D29" i="10"/>
  <c r="E19" i="10"/>
  <c r="D28" i="10"/>
  <c r="E28" i="10" s="1"/>
  <c r="D20" i="10"/>
  <c r="E20" i="10" s="1"/>
  <c r="E29" i="10" s="1"/>
  <c r="E24" i="10"/>
  <c r="N17" i="1"/>
  <c r="J17" i="1"/>
  <c r="M17" i="1"/>
  <c r="B23" i="2"/>
  <c r="K17" i="1"/>
  <c r="H17" i="1"/>
  <c r="D17" i="1"/>
  <c r="G17" i="1"/>
  <c r="L17" i="1"/>
  <c r="C17" i="1"/>
  <c r="O17" i="1"/>
  <c r="E4" i="9"/>
  <c r="C3" i="9"/>
  <c r="D3" i="9" s="1"/>
  <c r="D15" i="9" s="1"/>
  <c r="E3" i="9"/>
  <c r="E15" i="10"/>
  <c r="E18" i="1" l="1"/>
  <c r="K18" i="1"/>
  <c r="I18" i="1"/>
  <c r="O18" i="1"/>
  <c r="F18" i="1"/>
  <c r="G18" i="1"/>
  <c r="H18" i="1"/>
  <c r="N18" i="1"/>
  <c r="J18" i="1"/>
  <c r="M18" i="1"/>
  <c r="P18" i="1"/>
  <c r="D8" i="1"/>
  <c r="B42" i="2"/>
  <c r="D6" i="1"/>
  <c r="D18" i="1"/>
  <c r="L18" i="1"/>
  <c r="C18" i="1"/>
  <c r="Q18" i="1"/>
  <c r="E15" i="9"/>
  <c r="G15" i="1" l="1"/>
  <c r="G12" i="1"/>
  <c r="F12" i="1"/>
  <c r="H12" i="1"/>
  <c r="J12" i="1"/>
  <c r="N12" i="1"/>
  <c r="P12" i="1"/>
  <c r="O12" i="1"/>
  <c r="Q12" i="1"/>
  <c r="D12" i="1"/>
  <c r="C14" i="1" s="1"/>
  <c r="M12" i="1"/>
  <c r="I12" i="1"/>
  <c r="K12" i="1"/>
  <c r="L12" i="1"/>
  <c r="C12" i="1"/>
  <c r="E12" i="1"/>
  <c r="Q15" i="1"/>
  <c r="H15" i="1"/>
  <c r="O15" i="1"/>
  <c r="P15" i="1"/>
  <c r="N15" i="1"/>
  <c r="F15" i="1"/>
  <c r="L15" i="1"/>
  <c r="I15" i="1"/>
  <c r="M15" i="1"/>
  <c r="E15" i="1"/>
  <c r="J15" i="1"/>
  <c r="C15" i="1"/>
  <c r="D15" i="1"/>
  <c r="K15" i="1"/>
  <c r="C16" i="1" l="1"/>
  <c r="C19" i="1" s="1"/>
  <c r="D14" i="1"/>
  <c r="D16" i="1" l="1"/>
  <c r="D19" i="1" s="1"/>
  <c r="E14" i="1"/>
  <c r="F14" i="1" l="1"/>
  <c r="E16" i="1"/>
  <c r="E19" i="1" s="1"/>
  <c r="G14" i="1" l="1"/>
  <c r="F16" i="1"/>
  <c r="F19" i="1" s="1"/>
  <c r="G16" i="1" l="1"/>
  <c r="G19" i="1" s="1"/>
  <c r="H14" i="1"/>
  <c r="H16" i="1" l="1"/>
  <c r="H19" i="1" s="1"/>
  <c r="I14" i="1"/>
  <c r="J14" i="1" l="1"/>
  <c r="I16" i="1"/>
  <c r="I19" i="1" s="1"/>
  <c r="J16" i="1" l="1"/>
  <c r="J19" i="1" s="1"/>
  <c r="K14" i="1"/>
  <c r="K16" i="1" l="1"/>
  <c r="K19" i="1" s="1"/>
  <c r="L14" i="1"/>
  <c r="L16" i="1" l="1"/>
  <c r="L19" i="1" s="1"/>
  <c r="M14" i="1"/>
  <c r="N14" i="1" l="1"/>
  <c r="M16" i="1"/>
  <c r="M19" i="1" s="1"/>
  <c r="N16" i="1" l="1"/>
  <c r="N19" i="1" s="1"/>
  <c r="O14" i="1"/>
  <c r="O16" i="1" l="1"/>
  <c r="O19" i="1" s="1"/>
  <c r="P14" i="1"/>
  <c r="P16" i="1" l="1"/>
  <c r="P19" i="1" s="1"/>
  <c r="Q14" i="1"/>
  <c r="Q16" i="1" l="1"/>
  <c r="Q19" i="1" s="1"/>
  <c r="E27" i="1" s="1"/>
  <c r="D25" i="1"/>
  <c r="E28" i="1" s="1"/>
  <c r="E29" i="1" l="1"/>
  <c r="E31" i="1" s="1"/>
  <c r="E3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6" authorId="0" shapeId="0" xr:uid="{00000000-0006-0000-01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net income of the firm should be entered here. If it is negative, you will have to normalize the earnings.</t>
        </r>
      </text>
    </comment>
    <comment ref="B7" authorId="0" shapeId="0" xr:uid="{00000000-0006-0000-0100-000002000000}">
      <text>
        <r>
          <rPr>
            <b/>
            <sz val="9"/>
            <color indexed="81"/>
            <rFont val="Geneva"/>
            <family val="2"/>
            <charset val="1"/>
          </rPr>
          <t>Aswath Damodaran:</t>
        </r>
        <r>
          <rPr>
            <sz val="9"/>
            <color indexed="81"/>
            <rFont val="Geneva"/>
            <family val="2"/>
            <charset val="1"/>
          </rPr>
          <t xml:space="preserve">
If you can find the interest income from cash, multiply it by (1- marginal tax rate). If not, estimate the interest income from cash by multiplying last year's cash balance by a short term riskfree or government bond rate. </t>
        </r>
      </text>
    </comment>
    <comment ref="B8" authorId="0" shapeId="0" xr:uid="{00000000-0006-0000-01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9" authorId="0" shapeId="0" xr:uid="{00000000-0006-0000-01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book value of common equity. If you have more than one class of shares, enter the book value of all classes of common stock.</t>
        </r>
      </text>
    </comment>
    <comment ref="C9" authorId="0" shapeId="0" xr:uid="{00000000-0006-0000-01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from the end of last year. If you do not have this number, enter this year's number here as well.</t>
        </r>
      </text>
    </comment>
    <comment ref="B17" authorId="0" shapeId="0" xr:uid="{00000000-0006-0000-01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18" authorId="0" shapeId="0" xr:uid="{17262574-2CAD-4E45-B83E-4D64AB2FE5C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26" authorId="0" shapeId="0" xr:uid="{00000000-0006-0000-01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beta for your stock. It can be a regression beta or a bottom-up beta. See the beta calculator, if you want to compute a bottom-up beta.</t>
        </r>
      </text>
    </comment>
    <comment ref="B27" authorId="0" shapeId="0" xr:uid="{00000000-0006-0000-01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long term government bond rate.</t>
        </r>
      </text>
    </comment>
    <comment ref="B28" authorId="0" shapeId="0" xr:uid="{00000000-0006-0000-01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risk premium to use to compute your cost of equity. See the ERP calculator worksheet to compute the ERP.</t>
        </r>
      </text>
    </comment>
    <comment ref="B31" authorId="0" shapeId="0" xr:uid="{00000000-0006-0000-01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Number of years of high growth. (Restricted to 15 years or less)</t>
        </r>
      </text>
    </comment>
    <comment ref="B33" authorId="0" shapeId="0" xr:uid="{21466477-A62C-7642-9C6C-DB33B7AAFCB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34" authorId="0" shapeId="0" xr:uid="{00000000-0006-0000-01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Input a growth rate to use for high growth period. This can be an analyst estimate of growth in EPS or historical growth in EPS.</t>
        </r>
      </text>
    </comment>
    <comment ref="B37" authorId="0" shapeId="0" xr:uid="{00000000-0006-0000-01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38" authorId="0" shapeId="0" xr:uid="{00000000-0006-0000-01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39" authorId="0" shapeId="0" xr:uid="{BFFCB517-0568-1841-B0F4-8F7445F6E94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41" authorId="0" shapeId="0" xr:uid="{00000000-0006-0000-01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high growth period. This can be an industry average or your firm's historical ROE.</t>
        </r>
      </text>
    </comment>
    <comment ref="B42" authorId="0" shapeId="0" xr:uid="{00000000-0006-0000-01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retention ratio to use for the high growth period. This can be an industry average or your firm's historical retention ratio.</t>
        </r>
      </text>
    </comment>
    <comment ref="B43" authorId="0" shapeId="0" xr:uid="{B003CBAF-9BFF-2F4A-889F-C68E176A287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45" authorId="0" shapeId="0" xr:uid="{00000000-0006-0000-01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stable growth period. Check industry averages.</t>
        </r>
      </text>
    </comment>
    <comment ref="B47" authorId="0" shapeId="0" xr:uid="{06CDC5BD-66C3-3F46-8AE2-F65E53C42B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0" authorId="0" shapeId="0" xr:uid="{00000000-0006-0000-01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a growth rate that can be sustained forever. It cannot be greater than the growth rate of the economy.</t>
        </r>
      </text>
    </comment>
    <comment ref="B52" authorId="0" shapeId="0" xr:uid="{00000000-0006-0000-01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computed based upon your stable growth rate and ROE.</t>
        </r>
      </text>
    </comment>
    <comment ref="B53" authorId="0" shapeId="0" xr:uid="{C900B7BE-9074-1F4C-B501-D6C2FE55DE8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4" authorId="0" shapeId="0" xr:uid="{00000000-0006-0000-0100-000019000000}">
      <text>
        <r>
          <rPr>
            <b/>
            <sz val="9"/>
            <color indexed="81"/>
            <rFont val="Geneva"/>
            <family val="2"/>
            <charset val="1"/>
          </rPr>
          <t>Aswath Damodaran:</t>
        </r>
        <r>
          <rPr>
            <sz val="9"/>
            <color indexed="81"/>
            <rFont val="Geneva"/>
            <family val="2"/>
            <charset val="1"/>
          </rPr>
          <t xml:space="preserve">
Enter the payout ratio in stable growth, if you want to override the fundamentals.</t>
        </r>
      </text>
    </comment>
    <comment ref="B56" authorId="0" shapeId="0" xr:uid="{5DE7EB48-E525-CA41-B1C9-9CB26AB573E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7" authorId="0" shapeId="0" xr:uid="{00000000-0006-0000-0100-00001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beta in stable growth should be between 0.8 and 1.2. If this is different from your high growth beta, I will adjust the cost of equity gradually over the last half of the high growth period.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 authorId="0" shapeId="0" xr:uid="{00000000-0006-0000-03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Average net income over last 5 years
</t>
        </r>
        <r>
          <rPr>
            <sz val="9"/>
            <color rgb="FF000000"/>
            <rFont val="Geneva"/>
            <family val="2"/>
            <charset val="1"/>
          </rPr>
          <t>2: Normalized ROE</t>
        </r>
      </text>
    </comment>
    <comment ref="B8" authorId="0" shapeId="0" xr:uid="{00000000-0006-0000-03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can either use an average return on equity for this firm from past years or an industry average.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 authorId="0" shapeId="0" xr:uid="{00000000-0006-0000-0400-000001000000}">
      <text>
        <r>
          <rPr>
            <b/>
            <sz val="9"/>
            <color indexed="81"/>
            <rFont val="Geneva"/>
            <family val="2"/>
            <charset val="1"/>
          </rPr>
          <t>Aswath Damodaran:</t>
        </r>
        <r>
          <rPr>
            <sz val="9"/>
            <color indexed="81"/>
            <rFont val="Geneva"/>
            <family val="2"/>
            <charset val="1"/>
          </rPr>
          <t xml:space="preserve">
0: Do not normalize
1: Company's average over last 5 years
2: Industry average</t>
        </r>
      </text>
    </comment>
    <comment ref="B9" authorId="0" shapeId="0" xr:uid="{00000000-0006-0000-0400-000002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 ref="B12" authorId="0" shapeId="0" xr:uid="{00000000-0006-0000-0400-000003000000}">
      <text>
        <r>
          <rPr>
            <b/>
            <sz val="9"/>
            <color indexed="81"/>
            <rFont val="Geneva"/>
            <family val="2"/>
            <charset val="1"/>
          </rPr>
          <t>Aswath Damodaran:</t>
        </r>
        <r>
          <rPr>
            <sz val="9"/>
            <color indexed="81"/>
            <rFont val="Geneva"/>
            <family val="2"/>
            <charset val="1"/>
          </rPr>
          <t xml:space="preserve">
0: Do not normalize
1: Use current non-cash working capital as percent of revenues.
2: Industry average</t>
        </r>
      </text>
    </comment>
    <comment ref="B14" authorId="0" shapeId="0" xr:uid="{00000000-0006-0000-0400-000004000000}">
      <text>
        <r>
          <rPr>
            <b/>
            <sz val="9"/>
            <color indexed="81"/>
            <rFont val="Geneva"/>
            <family val="2"/>
            <charset val="1"/>
          </rPr>
          <t>Aswath Damodaran:</t>
        </r>
        <r>
          <rPr>
            <sz val="9"/>
            <color indexed="81"/>
            <rFont val="Geneva"/>
            <family val="2"/>
            <charset val="1"/>
          </rPr>
          <t xml:space="preserve">
If non-cash WC jumps around from year to year, use an average over time. If this is negative, enter 0.</t>
        </r>
      </text>
    </comment>
    <comment ref="B19" authorId="0" shapeId="0" xr:uid="{00000000-0006-0000-0400-000005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 ref="B22" authorId="0" shapeId="0" xr:uid="{00000000-0006-0000-0400-000006000000}">
      <text>
        <r>
          <rPr>
            <b/>
            <sz val="9"/>
            <color indexed="81"/>
            <rFont val="Geneva"/>
            <family val="2"/>
            <charset val="1"/>
          </rPr>
          <t>Aswath Damodaran:</t>
        </r>
        <r>
          <rPr>
            <sz val="9"/>
            <color indexed="81"/>
            <rFont val="Geneva"/>
            <family val="2"/>
            <charset val="1"/>
          </rPr>
          <t xml:space="preserve">
0: Do not normalize
1: Use current book debt to capital ratio
2: Use current market debt to capital ratio
3: Use industry average book debt to capital ratio</t>
        </r>
      </text>
    </comment>
    <comment ref="B24" authorId="0" shapeId="0" xr:uid="{00000000-0006-0000-0400-000007000000}">
      <text>
        <r>
          <rPr>
            <b/>
            <sz val="9"/>
            <color indexed="81"/>
            <rFont val="Geneva"/>
            <family val="2"/>
            <charset val="1"/>
          </rPr>
          <t>Aswath Damodaran:</t>
        </r>
        <r>
          <rPr>
            <sz val="9"/>
            <color indexed="81"/>
            <rFont val="Geneva"/>
            <family val="2"/>
            <charset val="1"/>
          </rPr>
          <t xml:space="preserve">
If non-cash WC jumps around from year to year, use an average over time. If this is negative, enter 0.</t>
        </r>
      </text>
    </comment>
    <comment ref="B27" authorId="0" shapeId="0" xr:uid="{00000000-0006-0000-0400-000008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5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9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<sst xmlns="http://schemas.openxmlformats.org/spreadsheetml/2006/main" count="787" uniqueCount="537">
  <si>
    <t>Equity Reinvestment Rate</t>
  </si>
  <si>
    <t>The expected growth rate is estimated either using fundamentals:</t>
  </si>
  <si>
    <t>Industry Name</t>
  </si>
  <si>
    <t>EV/Sales</t>
  </si>
  <si>
    <t>Current Capital Expenditures =</t>
  </si>
  <si>
    <t>Current Depreciation =</t>
  </si>
  <si>
    <t>Change in non-cash Working capital in most recent year =</t>
  </si>
  <si>
    <t>Normalizing Net Cap Ex</t>
  </si>
  <si>
    <t>Normalizing Non-cash Working Capital</t>
  </si>
  <si>
    <t>Approach 1: Average Net Cap Ex over last 5 years</t>
  </si>
  <si>
    <t>Net Cap Ex</t>
  </si>
  <si>
    <t>EBIT</t>
  </si>
  <si>
    <t>Net Debt Issued (Paid) during the year =</t>
  </si>
  <si>
    <t>Approaches 1 or 2: Current Book or Market Debt Ratio</t>
  </si>
  <si>
    <t>Normalized Working Capital Change =</t>
  </si>
  <si>
    <t>Equity Reinvestment rate inn st</t>
  </si>
  <si>
    <t>Growth rate in Net Income =</t>
  </si>
  <si>
    <t>Present Value</t>
  </si>
  <si>
    <t>Cumulative Cost of Equity</t>
  </si>
  <si>
    <t>Assumptions</t>
  </si>
  <si>
    <t>1. The firm is expected to grow at a higher growth rate in the first period.</t>
  </si>
  <si>
    <t>2. The growth rate will drop at the end of the first period to the stable growth rate.</t>
  </si>
  <si>
    <t>3. Dividend payout ratio during the high growth period.</t>
  </si>
  <si>
    <t>growth, the cost of equity in the second half of the stable growth period will be</t>
  </si>
  <si>
    <t>Sales/Capital</t>
  </si>
  <si>
    <t>Value of equity in operating assets =</t>
  </si>
  <si>
    <t>Normalized Net Debt issued =</t>
  </si>
  <si>
    <t>Normalized Net Capital Expenditures =</t>
  </si>
  <si>
    <t>Industry average net cap ex/ EBIT</t>
  </si>
  <si>
    <t>Unlevered Beta</t>
  </si>
  <si>
    <t>3. The dividend payout ratio is consistent with the expected growth rate.</t>
  </si>
  <si>
    <t>1. Length of high growth period</t>
  </si>
  <si>
    <t>If yes, specify the values for these inputs (Please enter all variables)</t>
  </si>
  <si>
    <t>Do you want to change any of these inputs for the stable growth period?</t>
  </si>
  <si>
    <t>Will the beta to change in the stable period?</t>
  </si>
  <si>
    <t>If yes, enter the beta for stable period =</t>
  </si>
  <si>
    <t>The dividends for the high growth phase are shown below (upto 10 years)</t>
  </si>
  <si>
    <t>4. Expected growth rate in earnings during the stable growth period.</t>
  </si>
  <si>
    <t>Industry average debt to capital ratio =</t>
  </si>
  <si>
    <t>Do you want to change this equity reinvestment rate?</t>
  </si>
  <si>
    <t>If yes, enter the stable period equity reinvestment rate =</t>
  </si>
  <si>
    <t>6. Current Earnings per share</t>
  </si>
  <si>
    <t>7. Inputs for the Cost of Equity</t>
  </si>
  <si>
    <t>(in currency)</t>
  </si>
  <si>
    <t>No</t>
  </si>
  <si>
    <t>(Yes or No)</t>
  </si>
  <si>
    <t>(in percent)</t>
  </si>
  <si>
    <t>Beta of the stock =</t>
  </si>
  <si>
    <t>Riskfree rate=</t>
  </si>
  <si>
    <t>Yes</t>
  </si>
  <si>
    <t>Do you want to calculate the growth rate from fundamentals?</t>
  </si>
  <si>
    <t>Present Value of Terminal Equity Value =</t>
  </si>
  <si>
    <t>Number of shares outstanding =</t>
  </si>
  <si>
    <t>Value per share =</t>
  </si>
  <si>
    <t>FCFE</t>
  </si>
  <si>
    <t>Do you want to change any of these inputs for the high growth period?</t>
  </si>
  <si>
    <t>Present Value of FCFEs in high growth phase =</t>
  </si>
  <si>
    <t>If yes, the following will be the inputs to the fundamental growth formulation:</t>
  </si>
  <si>
    <t>Cost of Equity</t>
  </si>
  <si>
    <t>Alternatively, you can input the expected growth rate.</t>
  </si>
  <si>
    <t>At the end of the high growth phase, the expected terminal price is estimated using</t>
  </si>
  <si>
    <t>in stable growth, the payout ratio in stable growth and the cost of equity in stable</t>
  </si>
  <si>
    <t>Options Available</t>
  </si>
  <si>
    <t>You can make this model into a three stage model by answering yes to the question</t>
  </si>
  <si>
    <t>of whether you want me to adjust the inputs in the second half of the high growth</t>
  </si>
  <si>
    <t>You can also make this a stable growth model by setting the high</t>
  </si>
  <si>
    <t>growth period to zero.</t>
  </si>
  <si>
    <t>Do you want to normalize your reinvestment needs?</t>
  </si>
  <si>
    <t>Approach 2: Industry average</t>
  </si>
  <si>
    <t>dividends per share one year after the high growth period, using the growth rate</t>
  </si>
  <si>
    <t>Industry average non-cash WC/ Revenues</t>
  </si>
  <si>
    <t>Total non-cash working capital current year=</t>
  </si>
  <si>
    <t>If your cost of equity in stable growth is different from your cost of equity in high</t>
  </si>
  <si>
    <t>Revenues last year =</t>
  </si>
  <si>
    <t>Revenues in current year =</t>
  </si>
  <si>
    <t>Inputs from current financials</t>
  </si>
  <si>
    <t>Normalizing Net Debt Issued</t>
  </si>
  <si>
    <t>Book value of debt in current year =</t>
  </si>
  <si>
    <t>Length of high growth period</t>
  </si>
  <si>
    <t>Inputs needed</t>
  </si>
  <si>
    <t>Market Value of Equity =</t>
  </si>
  <si>
    <t>If yes, these will be your normalized values</t>
  </si>
  <si>
    <t>If no, enter the expected growth rate in earnings in high growth period=</t>
  </si>
  <si>
    <t>Inputs for Stable Growth Period</t>
  </si>
  <si>
    <t>Cash and Marketable Securities</t>
  </si>
  <si>
    <t>Equity Reinvestment Rate =</t>
  </si>
  <si>
    <t>Non-cash ROE =</t>
  </si>
  <si>
    <t>Net Income without interest income from cash=</t>
  </si>
  <si>
    <t>Value of Cash and Marketable Securities =</t>
  </si>
  <si>
    <t>Value of equity in firm =</t>
  </si>
  <si>
    <t>Equity Reinvestment Rate for high growth phase=</t>
  </si>
  <si>
    <t>Book Value of Equity =</t>
  </si>
  <si>
    <t>ROE =</t>
  </si>
  <si>
    <t xml:space="preserve">adjusted gradually from the high growth cost of equity to a stable growth cost of </t>
  </si>
  <si>
    <t>equity.</t>
  </si>
  <si>
    <t>Net Income  =</t>
  </si>
  <si>
    <t>ratio for the high growth period and the expected growth rate in earnings per share.</t>
  </si>
  <si>
    <t>Approach 1: Average Net Income over last 5 years</t>
  </si>
  <si>
    <t>Expected growth = Retention Ratio * Return on Equity</t>
  </si>
  <si>
    <t xml:space="preserve">period. If you do, I will adjust the growth rate, the payout ratio and the cost of </t>
  </si>
  <si>
    <t>equity from high-growth levels to stable growth levels gradually.</t>
  </si>
  <si>
    <t>2. Expected growth rate in earnings during the high growth period.</t>
  </si>
  <si>
    <t>Do you want to normalize the net income/earnings per share?</t>
  </si>
  <si>
    <t>Advertising</t>
  </si>
  <si>
    <t>Approach 2: Normalized return on equity</t>
  </si>
  <si>
    <t>Current</t>
  </si>
  <si>
    <t>Net Income</t>
  </si>
  <si>
    <t>Average</t>
  </si>
  <si>
    <t>Normalized ROE =</t>
  </si>
  <si>
    <t>Choose the approach to normalized earnings</t>
  </si>
  <si>
    <t>Normalized Earnings Calculation</t>
  </si>
  <si>
    <t>Net Income =</t>
  </si>
  <si>
    <t>Do you want me to gradually adjust your inputs during the second half?</t>
  </si>
  <si>
    <t xml:space="preserve">growth. </t>
  </si>
  <si>
    <t xml:space="preserve">If yes, specify the values for these inputs </t>
  </si>
  <si>
    <t>Enter growth rate in stable growth period?</t>
  </si>
  <si>
    <t>The dividends per share and the terminal price are discounted back to the present at</t>
  </si>
  <si>
    <t>the cost of equity changes.</t>
  </si>
  <si>
    <t>Output from the program</t>
  </si>
  <si>
    <t>Cost of Equity =</t>
  </si>
  <si>
    <t>Growth Rate in Stable Phase =</t>
  </si>
  <si>
    <t>Cost of Equity in Stable Phase =</t>
  </si>
  <si>
    <t>Price at the end of growth phase =</t>
  </si>
  <si>
    <t>The expected dividends are estimated for the high growth period, using the payout</t>
  </si>
  <si>
    <t>Inputs for Discount Rate</t>
  </si>
  <si>
    <t>Inputs for High Growth Period</t>
  </si>
  <si>
    <t>5. Expected payout ratio during the stable growth period.</t>
  </si>
  <si>
    <t>How the model works</t>
  </si>
  <si>
    <t>Expected Growth Rate</t>
  </si>
  <si>
    <t>Stable equity reinvestment ratio from fundamentals is =</t>
  </si>
  <si>
    <t>Number of firms</t>
  </si>
  <si>
    <t>Do you want to capitalize R&amp;D expenses?</t>
  </si>
  <si>
    <t>R &amp; D Converter</t>
  </si>
  <si>
    <t>This spreadsheet converts R&amp;D expenses from operating to capital expenses. It makes the appropriate adjustments to operating income, net</t>
  </si>
  <si>
    <t>income, the book value of assets and the book value of equity.</t>
  </si>
  <si>
    <t>Inputs</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</si>
  <si>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</si>
  <si>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</si>
  <si>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</si>
  <si>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</si>
  <si>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</si>
  <si>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</si>
  <si>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Year</t>
  </si>
  <si>
    <t>R&amp; D Expenses</t>
  </si>
  <si>
    <t>! Year -1 is the year prior to the current year</t>
  </si>
  <si>
    <t>! Year -2 is the two years prior to the current year</t>
  </si>
  <si>
    <t>Output</t>
  </si>
  <si>
    <t>R&amp;D Expense</t>
  </si>
  <si>
    <t>Unamortized portion</t>
  </si>
  <si>
    <t>Amortization this year</t>
  </si>
  <si>
    <t>Value of Research Asset =</t>
  </si>
  <si>
    <t>Amortization of asset for current year =</t>
  </si>
  <si>
    <t>Adjustment to Operating Income =</t>
  </si>
  <si>
    <t>! A positive number indicates an increase in operating income (add to reported EBIT)</t>
  </si>
  <si>
    <t>Tax Effect of R&amp;D Expensing</t>
  </si>
  <si>
    <t>Normalized Net Income =</t>
  </si>
  <si>
    <t>Adjusted Net Income =</t>
  </si>
  <si>
    <t>Interest income from cash and marketable securities (after-tax) =</t>
  </si>
  <si>
    <t>If you are a multi-business company, you can input the following</t>
  </si>
  <si>
    <t>Business</t>
  </si>
  <si>
    <t>Revenues</t>
  </si>
  <si>
    <t>Estimated Value</t>
  </si>
  <si>
    <t>Company</t>
  </si>
  <si>
    <t>EV/EBITDA</t>
  </si>
  <si>
    <t>EV/EBIT</t>
  </si>
  <si>
    <t>Price/Book</t>
  </si>
  <si>
    <t>Trailing PE</t>
  </si>
  <si>
    <t>Country</t>
  </si>
  <si>
    <t>Adj. Default Spread</t>
  </si>
  <si>
    <t>Country Risk Premium</t>
  </si>
  <si>
    <t>Region</t>
  </si>
  <si>
    <t>Albania</t>
  </si>
  <si>
    <t>Eastern Europe &amp; Russia</t>
  </si>
  <si>
    <t>Angola</t>
  </si>
  <si>
    <t>Africa</t>
  </si>
  <si>
    <t>Argentina</t>
  </si>
  <si>
    <t>Central and South America</t>
  </si>
  <si>
    <t>Armenia</t>
  </si>
  <si>
    <t>Australia</t>
  </si>
  <si>
    <t>Australia &amp; New Zealand</t>
  </si>
  <si>
    <t>Western Europe</t>
  </si>
  <si>
    <t>Azerbaijan</t>
  </si>
  <si>
    <t>Bahamas</t>
  </si>
  <si>
    <t>Caribbean</t>
  </si>
  <si>
    <t>Bahrain</t>
  </si>
  <si>
    <t>Middle East</t>
  </si>
  <si>
    <t>Bangladesh</t>
  </si>
  <si>
    <t>Barbados</t>
  </si>
  <si>
    <t>Belarus</t>
  </si>
  <si>
    <t>Belize</t>
  </si>
  <si>
    <t>Bermuda</t>
  </si>
  <si>
    <t>Bolivia</t>
  </si>
  <si>
    <t>Bosnia and Herzegovina</t>
  </si>
  <si>
    <t>Botswana</t>
  </si>
  <si>
    <t>Brazil</t>
  </si>
  <si>
    <t>Bulgaria</t>
  </si>
  <si>
    <t>Cambodia</t>
  </si>
  <si>
    <t>Canada</t>
  </si>
  <si>
    <t>North America</t>
  </si>
  <si>
    <t>Cayman Islands</t>
  </si>
  <si>
    <t>Chile</t>
  </si>
  <si>
    <t>China</t>
  </si>
  <si>
    <t>Colombia</t>
  </si>
  <si>
    <t>Costa Rica</t>
  </si>
  <si>
    <t>Croatia</t>
  </si>
  <si>
    <t>Cuba</t>
  </si>
  <si>
    <t>Czech Republic</t>
  </si>
  <si>
    <t>Denmark</t>
  </si>
  <si>
    <t>Dominican Republic</t>
  </si>
  <si>
    <t>Ecuador</t>
  </si>
  <si>
    <t>Egypt</t>
  </si>
  <si>
    <t>El Salvador</t>
  </si>
  <si>
    <t>Estonia</t>
  </si>
  <si>
    <t>Georgia</t>
  </si>
  <si>
    <t>Guatemala</t>
  </si>
  <si>
    <t>Honduras</t>
  </si>
  <si>
    <t>Hong Kong</t>
  </si>
  <si>
    <t>Hungary</t>
  </si>
  <si>
    <t>Iceland</t>
  </si>
  <si>
    <t>India</t>
  </si>
  <si>
    <t>Indonesia</t>
  </si>
  <si>
    <t>Isle of Man</t>
  </si>
  <si>
    <t>Israel</t>
  </si>
  <si>
    <t>Jamaica</t>
  </si>
  <si>
    <t>Japan</t>
  </si>
  <si>
    <t>Jordan</t>
  </si>
  <si>
    <t>Kazakhstan</t>
  </si>
  <si>
    <t>Kuwait</t>
  </si>
  <si>
    <t>Latvia</t>
  </si>
  <si>
    <t>Lebanon</t>
  </si>
  <si>
    <t>Lithuania</t>
  </si>
  <si>
    <t>Malaysia</t>
  </si>
  <si>
    <t>Mauritius</t>
  </si>
  <si>
    <t>Mexico</t>
  </si>
  <si>
    <t>Moldova</t>
  </si>
  <si>
    <t>Mongolia</t>
  </si>
  <si>
    <t>Montenegro</t>
  </si>
  <si>
    <t>Morocco</t>
  </si>
  <si>
    <t>Namibia</t>
  </si>
  <si>
    <t>New Zealand</t>
  </si>
  <si>
    <t>Nicaragua</t>
  </si>
  <si>
    <t>Norway</t>
  </si>
  <si>
    <t>Oman</t>
  </si>
  <si>
    <t>Pakistan</t>
  </si>
  <si>
    <t>Panama</t>
  </si>
  <si>
    <t>Papua New Guinea</t>
  </si>
  <si>
    <t>Paraguay</t>
  </si>
  <si>
    <t>Peru</t>
  </si>
  <si>
    <t>Philippines</t>
  </si>
  <si>
    <t>Poland</t>
  </si>
  <si>
    <t>Qatar</t>
  </si>
  <si>
    <t>Romania</t>
  </si>
  <si>
    <t>Russia</t>
  </si>
  <si>
    <t>Saudi Arabia</t>
  </si>
  <si>
    <t>Senegal</t>
  </si>
  <si>
    <t>Singapore</t>
  </si>
  <si>
    <t>Slovakia</t>
  </si>
  <si>
    <t>South Africa</t>
  </si>
  <si>
    <t>Spain</t>
  </si>
  <si>
    <t>Sri Lanka</t>
  </si>
  <si>
    <t>St. Vincent &amp; the Grenadines</t>
  </si>
  <si>
    <t>Suriname</t>
  </si>
  <si>
    <t>Sweden</t>
  </si>
  <si>
    <t>Switzerland</t>
  </si>
  <si>
    <t>Taiwan</t>
  </si>
  <si>
    <t>Thailand</t>
  </si>
  <si>
    <t>Tunisia</t>
  </si>
  <si>
    <t>Turkey</t>
  </si>
  <si>
    <t>Ukraine</t>
  </si>
  <si>
    <t>United Arab Emirates</t>
  </si>
  <si>
    <t>United Kingdom</t>
  </si>
  <si>
    <t>Uruguay</t>
  </si>
  <si>
    <t>Venezuela</t>
  </si>
  <si>
    <t>Vietnam</t>
  </si>
  <si>
    <t>If you are a multinational company and have a breakdown by country, you can use this table (for up to 10 countries)</t>
  </si>
  <si>
    <t>ERP</t>
  </si>
  <si>
    <t>Weight</t>
  </si>
  <si>
    <t>Weighted ERP</t>
  </si>
  <si>
    <t>Total</t>
  </si>
  <si>
    <t>If you are a multinational company and have a breakdown only by region, you can use this table instead</t>
  </si>
  <si>
    <t>Austria</t>
  </si>
  <si>
    <t>Asia</t>
  </si>
  <si>
    <t>Belgium</t>
  </si>
  <si>
    <t>Cyprus</t>
  </si>
  <si>
    <t>Finland</t>
  </si>
  <si>
    <t>France</t>
  </si>
  <si>
    <t>Germany</t>
  </si>
  <si>
    <t>Greece</t>
  </si>
  <si>
    <t>Ireland</t>
  </si>
  <si>
    <t>Italy</t>
  </si>
  <si>
    <t>Kenya</t>
  </si>
  <si>
    <t>Luxembourg</t>
  </si>
  <si>
    <t>Malta</t>
  </si>
  <si>
    <t>Netherlands</t>
  </si>
  <si>
    <t>Nigeria</t>
  </si>
  <si>
    <t>Portugal</t>
  </si>
  <si>
    <t>Slovenia</t>
  </si>
  <si>
    <t>St. Maarten</t>
  </si>
  <si>
    <t>Zambia</t>
  </si>
  <si>
    <t>Equity Risk Premium</t>
  </si>
  <si>
    <t>ROE</t>
  </si>
  <si>
    <t>Healthcare Products</t>
  </si>
  <si>
    <t>Abu Dhabi</t>
  </si>
  <si>
    <t>Aruba</t>
  </si>
  <si>
    <t>Burkina Faso</t>
  </si>
  <si>
    <t>Cameroon</t>
  </si>
  <si>
    <t>Cape Verde</t>
  </si>
  <si>
    <t>Cook Islands</t>
  </si>
  <si>
    <t>Fiji</t>
  </si>
  <si>
    <t>Gabon</t>
  </si>
  <si>
    <t>Ghana</t>
  </si>
  <si>
    <t>Liechtenstein</t>
  </si>
  <si>
    <t>Macedonia</t>
  </si>
  <si>
    <t>Montserrat</t>
  </si>
  <si>
    <t>Mozambique</t>
  </si>
  <si>
    <t>Rwanda</t>
  </si>
  <si>
    <t>Serbia</t>
  </si>
  <si>
    <t>Uganda</t>
  </si>
  <si>
    <t>Annual Average Revenue growth - Last 5 years</t>
  </si>
  <si>
    <t>After-tax ROC</t>
  </si>
  <si>
    <t>Average effective tax rate</t>
  </si>
  <si>
    <t>Equity (Levered) Beta</t>
  </si>
  <si>
    <t>Cost of equity</t>
  </si>
  <si>
    <t>Std deviation in stock prices</t>
  </si>
  <si>
    <t>Pre-tax cost of debt</t>
  </si>
  <si>
    <t>Market Debt/Capital</t>
  </si>
  <si>
    <t>Cost of capital</t>
  </si>
  <si>
    <t>Non-cash WC as % of Revenues</t>
  </si>
  <si>
    <t>Cap Ex as % of Revenues</t>
  </si>
  <si>
    <t>Net Cap Ex as % of Revenues</t>
  </si>
  <si>
    <t>Reinvestment Rate</t>
  </si>
  <si>
    <t>Dividend Payout Ratio</t>
  </si>
  <si>
    <t>Andorra (Principality of)</t>
  </si>
  <si>
    <t>Congo (Democratic Republic of)</t>
  </si>
  <si>
    <t>Congo (Republic of)</t>
  </si>
  <si>
    <t>Ethiopia</t>
  </si>
  <si>
    <t>Ras Al Khaimah (Emirate of)</t>
  </si>
  <si>
    <t>Sharjah</t>
  </si>
  <si>
    <t>Global</t>
  </si>
  <si>
    <t>Corporate Tax Rate</t>
  </si>
  <si>
    <t>Iraq</t>
  </si>
  <si>
    <t>Kyrgyzstan</t>
  </si>
  <si>
    <t>United States</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</si>
  <si>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</si>
  <si>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</si>
  <si>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</si>
  <si>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</si>
  <si>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</si>
  <si>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</si>
  <si>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</si>
  <si>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</si>
  <si>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</si>
  <si>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</si>
  <si>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</si>
  <si>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</si>
  <si>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</si>
  <si>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</si>
  <si>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</si>
  <si>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</si>
  <si>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</si>
  <si>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</si>
  <si>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</si>
  <si>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</si>
  <si>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</si>
  <si>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</si>
  <si>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</si>
  <si>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</si>
  <si>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</si>
  <si>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</si>
  <si>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</si>
  <si>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</si>
  <si>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</si>
  <si>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</si>
  <si>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</si>
  <si>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</si>
  <si>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</si>
  <si>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</si>
  <si>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</si>
  <si>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</si>
  <si>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</si>
  <si>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</si>
  <si>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</si>
  <si>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</si>
  <si>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</si>
  <si>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</si>
  <si>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</si>
  <si>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</si>
  <si>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</si>
  <si>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</si>
  <si>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</si>
  <si>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FCFE Discount Model</t>
  </si>
  <si>
    <t>Mature Market ERP +</t>
  </si>
  <si>
    <t>C</t>
  </si>
  <si>
    <t>Pre-tax Operating Margin (Unadjusted)</t>
  </si>
  <si>
    <t>Laos</t>
  </si>
  <si>
    <t>Pre-tax Operating Margin (Lease &amp; R&amp;D adjusted)</t>
  </si>
  <si>
    <t>Ca</t>
  </si>
  <si>
    <t>Caa3</t>
  </si>
  <si>
    <t>Yes or No</t>
  </si>
  <si>
    <t>Guernsey (States of)</t>
  </si>
  <si>
    <t>Jersey (States of)</t>
  </si>
  <si>
    <t>Maldives</t>
  </si>
  <si>
    <t>Uzbekistan</t>
  </si>
  <si>
    <t>Weighted Average: ERP</t>
  </si>
  <si>
    <t>Changing this number will update all your country equity risk premiums.</t>
  </si>
  <si>
    <t>NR</t>
  </si>
  <si>
    <t>Weighted Average: Default Spreads</t>
  </si>
  <si>
    <t>Tax Rate</t>
  </si>
  <si>
    <t>Weighted Average: CRP</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</si>
  <si>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</si>
  <si>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</si>
  <si>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</si>
  <si>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</si>
  <si>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</si>
  <si>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</si>
  <si>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</si>
  <si>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</si>
  <si>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</si>
  <si>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</si>
  <si>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</si>
  <si>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</si>
  <si>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</si>
  <si>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</si>
  <si>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</si>
  <si>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</si>
  <si>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</si>
  <si>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</si>
  <si>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</si>
  <si>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</si>
  <si>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</si>
  <si>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Electronics (General)</t>
  </si>
  <si>
    <t>Aerospace/Defense</t>
  </si>
  <si>
    <t>Air Transport</t>
  </si>
  <si>
    <t>Apparel</t>
  </si>
  <si>
    <t>Auto &amp; Truck</t>
  </si>
  <si>
    <t>Auto Parts</t>
  </si>
  <si>
    <t>Bank (Money Center)</t>
  </si>
  <si>
    <t>NA</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</si>
  <si>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</si>
  <si>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</si>
  <si>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</si>
  <si>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</si>
  <si>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</si>
  <si>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</si>
  <si>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</si>
  <si>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</si>
  <si>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</si>
  <si>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</si>
  <si>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</si>
  <si>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</si>
  <si>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</si>
  <si>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</si>
  <si>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</si>
  <si>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</si>
  <si>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</si>
  <si>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</si>
  <si>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</si>
  <si>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</si>
  <si>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</si>
  <si>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</si>
  <si>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</si>
  <si>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</si>
  <si>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</si>
  <si>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</si>
  <si>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</si>
  <si>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</si>
  <si>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</si>
  <si>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</si>
  <si>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</si>
  <si>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</si>
  <si>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</si>
  <si>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</si>
  <si>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</si>
  <si>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</si>
  <si>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</si>
  <si>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</si>
  <si>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</si>
  <si>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</si>
  <si>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</si>
  <si>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</si>
  <si>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</si>
  <si>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</si>
  <si>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</si>
  <si>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</si>
  <si>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</si>
  <si>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</si>
  <si>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</si>
  <si>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</si>
  <si>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</si>
  <si>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</si>
  <si>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</si>
  <si>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</si>
  <si>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</si>
  <si>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</si>
  <si>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</si>
  <si>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</si>
  <si>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</si>
  <si>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</si>
  <si>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</si>
  <si>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</si>
  <si>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</si>
  <si>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</si>
  <si>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</si>
  <si>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(REITs)</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</si>
  <si>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</si>
  <si>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</si>
  <si>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</si>
  <si>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</si>
  <si>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</si>
  <si>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</si>
  <si>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</si>
  <si>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</si>
  <si>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</si>
  <si>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</si>
  <si>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</si>
  <si>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</si>
  <si>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</si>
  <si>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</si>
  <si>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</si>
  <si>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</si>
  <si>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</si>
  <si>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</si>
  <si>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</si>
  <si>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Company name</t>
  </si>
  <si>
    <t>Date of valuation</t>
  </si>
  <si>
    <t>Levi Strauss</t>
  </si>
  <si>
    <t>Company details</t>
  </si>
  <si>
    <t>Updated May 1, 2024</t>
  </si>
  <si>
    <t>Non-cash ROE</t>
  </si>
  <si>
    <t>Non-cash Return on Equity</t>
  </si>
  <si>
    <t>No-cash Return on Equity in Stable Phase =</t>
  </si>
  <si>
    <t>High growth</t>
  </si>
  <si>
    <t>Transition period</t>
  </si>
  <si>
    <t>Stable growth</t>
  </si>
  <si>
    <t>Beta</t>
  </si>
  <si>
    <t>adjusts to</t>
  </si>
  <si>
    <t>Unchanged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</si>
</sst>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8" formatCode="&quot;$&quot;#,##0.00_);[Red]\(&quot;$&quot;#,##0.00\)"/>
    <numFmt numFmtId="164" formatCode="0.0000%"/>
    <numFmt numFmtId="165" formatCode="&quot;$&quot;#,##0.00"/>
    <numFmt numFmtId="166" formatCode="_([$$-409]* #,##0.00_);_([$$-409]* \(#,##0.00\);_([$$-409]* &quot;-&quot;??_);_(@_)"/>
    <numFmt numFmtId="167" formatCode="0.0000"/>
  </numFmts>
  <fonts count="46">
    <font>
      <sz val="10"/>
      <name val="Geneva"/>
      <charset val="1"/>
    </font>
    <font>
      <b/>
      <sz val="10"/>
      <name val="Geneva"/>
      <family val="2"/>
      <charset val="1"/>
    </font>
    <font>
      <i/>
      <sz val="10"/>
      <name val="Geneva"/>
      <family val="2"/>
      <charset val="1"/>
    </font>
    <font>
      <sz val="10"/>
      <name val="Geneva"/>
      <family val="2"/>
      <charset val="1"/>
    </font>
    <font>
      <sz val="14"/>
      <name val="Times"/>
      <family val="1"/>
    </font>
    <font>
      <b/>
      <sz val="12"/>
      <name val="Times"/>
      <family val="1"/>
    </font>
    <font>
      <sz val="12"/>
      <name val="Times"/>
      <family val="1"/>
    </font>
    <font>
      <b/>
      <sz val="14"/>
      <name val="Times"/>
      <family val="1"/>
    </font>
    <font>
      <sz val="14"/>
      <name val="Geneva"/>
      <family val="2"/>
      <charset val="1"/>
    </font>
    <font>
      <sz val="10"/>
      <name val="Times"/>
      <family val="1"/>
    </font>
    <font>
      <sz val="10"/>
      <name val="Geneva"/>
      <family val="2"/>
      <charset val="1"/>
    </font>
    <font>
      <i/>
      <sz val="10"/>
      <name val="Times"/>
      <family val="1"/>
    </font>
    <font>
      <b/>
      <sz val="10"/>
      <name val="Times"/>
      <family val="1"/>
    </font>
    <font>
      <b/>
      <i/>
      <sz val="10"/>
      <name val="Times"/>
      <family val="1"/>
    </font>
    <font>
      <sz val="9"/>
      <color indexed="81"/>
      <name val="Geneva"/>
      <family val="2"/>
      <charset val="1"/>
    </font>
    <font>
      <b/>
      <sz val="9"/>
      <color indexed="81"/>
      <name val="Geneva"/>
      <family val="2"/>
      <charset val="1"/>
    </font>
    <font>
      <sz val="10"/>
      <name val="Geneva"/>
      <family val="2"/>
      <charset val="1"/>
    </font>
    <font>
      <sz val="18"/>
      <color indexed="10"/>
      <name val="Times"/>
      <family val="1"/>
    </font>
    <font>
      <b/>
      <sz val="10"/>
      <color indexed="10"/>
      <name val="Times"/>
      <family val="1"/>
    </font>
    <font>
      <sz val="10"/>
      <color indexed="10"/>
      <name val="Geneva"/>
      <family val="2"/>
      <charset val="1"/>
    </font>
    <font>
      <sz val="10"/>
      <color indexed="10"/>
      <name val="Times"/>
      <family val="1"/>
    </font>
    <font>
      <sz val="8"/>
      <name val="Geneva"/>
      <family val="2"/>
      <charset val="1"/>
    </font>
    <font>
      <i/>
      <sz val="9"/>
      <name val="Geneva"/>
      <family val="2"/>
      <charset val="1"/>
    </font>
    <font>
      <sz val="8"/>
      <name val="Verdana"/>
      <family val="2"/>
    </font>
    <font>
      <sz val="9"/>
      <name val="Geneva"/>
      <family val="2"/>
      <charset val="1"/>
    </font>
    <font>
      <sz val="9"/>
      <name val="Times"/>
      <family val="1"/>
    </font>
    <font>
      <b/>
      <sz val="9"/>
      <name val="Times"/>
      <family val="1"/>
    </font>
    <font>
      <b/>
      <i/>
      <sz val="12"/>
      <name val="Times"/>
      <family val="1"/>
    </font>
    <font>
      <b/>
      <i/>
      <sz val="14"/>
      <name val="Times"/>
      <family val="1"/>
    </font>
    <font>
      <i/>
      <sz val="12"/>
      <name val="Times"/>
      <family val="1"/>
    </font>
    <font>
      <sz val="10"/>
      <name val="Arial"/>
      <family val="2"/>
    </font>
    <font>
      <sz val="8"/>
      <name val="Arial"/>
      <family val="2"/>
    </font>
    <font>
      <i/>
      <sz val="9"/>
      <name val="Geneva"/>
      <family val="2"/>
      <charset val="1"/>
    </font>
    <font>
      <sz val="12"/>
      <color theme="1"/>
      <name val="Calibri"/>
      <family val="2"/>
      <scheme val="minor"/>
    </font>
    <font>
      <sz val="12"/>
      <name val="Calibri"/>
      <family val="2"/>
      <scheme val="minor"/>
    </font>
    <font>
      <sz val="12"/>
      <color theme="1"/>
      <name val="Arial"/>
      <family val="2"/>
    </font>
    <font>
      <sz val="10"/>
      <color rgb="FF000000"/>
      <name val="Tahoma"/>
      <family val="2"/>
    </font>
    <font>
      <b/>
      <sz val="10"/>
      <color rgb="FF000000"/>
      <name val="Tahoma"/>
      <family val="2"/>
    </font>
    <font>
      <i/>
      <sz val="9"/>
      <name val="Geneva"/>
      <family val="2"/>
    </font>
    <font>
      <sz val="10"/>
      <name val="Geneva"/>
      <family val="2"/>
    </font>
    <font>
      <b/>
      <sz val="9"/>
      <color rgb="FF000000"/>
      <name val="Geneva"/>
      <family val="2"/>
      <charset val="1"/>
    </font>
    <font>
      <sz val="9"/>
      <color rgb="FF000000"/>
      <name val="Geneva"/>
      <family val="2"/>
      <charset val="1"/>
    </font>
    <font>
      <sz val="10"/>
      <name val="Times New Roman"/>
      <family val="1"/>
    </font>
    <font>
      <sz val="10"/>
      <color theme="1"/>
      <name val="Times"/>
      <family val="1"/>
    </font>
    <font>
      <sz val="12"/>
      <name val="Times New Roman"/>
      <family val="1"/>
    </font>
    <font>
      <i/>
      <sz val="12"/>
      <name val="Times New Roman"/>
      <family val="1"/>
    </font>
  </fonts>
  <fills count="9">
    <fill>
      <patternFill patternType="none"/>
    </fill>
    <fill>
      <patternFill patternType="gray125"/>
    </fill>
    <fill>
      <patternFill patternType="solid">
        <fgColor indexed="13"/>
        <bgColor indexed="64"/>
      </patternFill>
    </fill>
    <fill>
      <patternFill patternType="solid">
        <fgColor indexed="42"/>
        <bgColor indexed="64"/>
      </patternFill>
    </fill>
    <fill>
      <patternFill patternType="solid">
        <fgColor rgb="FFCCFFCC"/>
        <bgColor indexed="64"/>
      </patternFill>
    </fill>
    <fill>
      <patternFill patternType="solid">
        <fgColor rgb="FFFFFF00"/>
        <bgColor indexed="64"/>
      </patternFill>
    </fill>
    <fill>
      <patternFill patternType="solid">
        <fgColor theme="0" tint="-0.14999847407452621"/>
        <bgColor indexed="64"/>
      </patternFill>
    </fill>
    <fill>
      <patternFill patternType="solid">
        <fgColor theme="2"/>
        <bgColor indexed="64"/>
      </patternFill>
    </fill>
    <fill>
      <patternFill patternType="solid">
        <fgColor theme="2"/>
        <bgColor theme="0" tint="-0.14999847407452621"/>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theme="1"/>
      </left>
      <right style="thin">
        <color theme="1"/>
      </right>
      <top style="thin">
        <color theme="1"/>
      </top>
      <bottom style="thin">
        <color theme="1"/>
      </bottom>
      <diagonal/>
    </border>
  </borders>
  <cellStyleXfs count="3">
    <xf numFmtId="0" fontId="0" fillId="0" borderId="0"/>
    <xf numFmtId="8" fontId="3" fillId="0" borderId="0" applyFont="0" applyFill="0" applyBorder="0" applyAlignment="0" applyProtection="0"/>
    <xf numFmtId="9" fontId="3" fillId="0" borderId="0" applyFont="0" applyFill="0" applyBorder="0" applyAlignment="0" applyProtection="0"/>
  </cellStyleXfs>
  <cellXfs count="131">
    <xf numFmtId="0" fontId="0" fillId="0" borderId="0" xfId="0"/>
    <xf numFmtId="0" fontId="1" fillId="0" borderId="0" xfId="0" applyFont="1"/>
    <xf numFmtId="0" fontId="0" fillId="0" borderId="0" xfId="0" applyAlignment="1">
      <alignment horizontal="centerContinuous"/>
    </xf>
    <xf numFmtId="0" fontId="4" fillId="0" borderId="0" xfId="0" applyFont="1" applyAlignment="1">
      <alignment horizontal="centerContinuous"/>
    </xf>
    <xf numFmtId="0" fontId="5" fillId="0" borderId="0" xfId="0" applyFont="1"/>
    <xf numFmtId="0" fontId="6" fillId="0" borderId="0" xfId="0" applyFont="1"/>
    <xf numFmtId="0" fontId="6" fillId="0" borderId="0" xfId="0" applyFont="1" applyAlignment="1">
      <alignment horizontal="center"/>
    </xf>
    <xf numFmtId="0" fontId="2" fillId="0" borderId="0" xfId="0" applyFont="1"/>
    <xf numFmtId="0" fontId="7" fillId="0" borderId="0" xfId="0" applyFont="1" applyAlignment="1">
      <alignment horizontal="centerContinuous"/>
    </xf>
    <xf numFmtId="0" fontId="8" fillId="0" borderId="0" xfId="0" applyFont="1" applyAlignment="1">
      <alignment horizontal="centerContinuous"/>
    </xf>
    <xf numFmtId="0" fontId="9" fillId="0" borderId="0" xfId="0" applyFont="1"/>
    <xf numFmtId="0" fontId="10" fillId="0" borderId="0" xfId="0" applyFont="1"/>
    <xf numFmtId="0" fontId="9" fillId="0" borderId="0" xfId="0" applyFont="1" applyAlignment="1">
      <alignment horizontal="center"/>
    </xf>
    <xf numFmtId="8" fontId="9" fillId="2" borderId="1" xfId="1" applyFont="1" applyFill="1" applyBorder="1" applyAlignment="1">
      <alignment horizontal="center"/>
    </xf>
    <xf numFmtId="10" fontId="9" fillId="2" borderId="1" xfId="0" applyNumberFormat="1" applyFont="1" applyFill="1" applyBorder="1" applyAlignment="1">
      <alignment horizontal="center"/>
    </xf>
    <xf numFmtId="0" fontId="11" fillId="0" borderId="0" xfId="0" applyFont="1"/>
    <xf numFmtId="0" fontId="9" fillId="2" borderId="1" xfId="0" applyFont="1" applyFill="1" applyBorder="1" applyAlignment="1">
      <alignment horizontal="center"/>
    </xf>
    <xf numFmtId="8" fontId="9" fillId="2" borderId="1" xfId="0" applyNumberFormat="1" applyFont="1" applyFill="1" applyBorder="1" applyAlignment="1">
      <alignment horizontal="center"/>
    </xf>
    <xf numFmtId="0" fontId="12" fillId="0" borderId="0" xfId="0" applyFont="1"/>
    <xf numFmtId="0" fontId="13" fillId="0" borderId="0" xfId="0" applyFont="1"/>
    <xf numFmtId="10" fontId="9" fillId="3" borderId="1" xfId="2" applyNumberFormat="1" applyFont="1" applyFill="1" applyBorder="1" applyAlignment="1">
      <alignment horizontal="center"/>
    </xf>
    <xf numFmtId="10" fontId="9" fillId="3" borderId="1" xfId="0" applyNumberFormat="1" applyFont="1" applyFill="1" applyBorder="1" applyAlignment="1">
      <alignment horizontal="center"/>
    </xf>
    <xf numFmtId="0" fontId="11" fillId="0" borderId="0" xfId="0" applyFont="1" applyAlignment="1">
      <alignment horizontal="center"/>
    </xf>
    <xf numFmtId="10" fontId="9" fillId="0" borderId="0" xfId="0" applyNumberFormat="1" applyFont="1" applyAlignment="1">
      <alignment horizontal="center"/>
    </xf>
    <xf numFmtId="0" fontId="12" fillId="0" borderId="0" xfId="0" applyFont="1" applyAlignment="1">
      <alignment horizontal="center"/>
    </xf>
    <xf numFmtId="0" fontId="9" fillId="0" borderId="1" xfId="0" applyFont="1" applyBorder="1" applyAlignment="1">
      <alignment horizontal="center"/>
    </xf>
    <xf numFmtId="8" fontId="12" fillId="3" borderId="1" xfId="1" applyFont="1" applyFill="1" applyBorder="1" applyAlignment="1">
      <alignment horizontal="center"/>
    </xf>
    <xf numFmtId="8" fontId="9" fillId="3" borderId="1" xfId="1" applyFont="1" applyFill="1" applyBorder="1" applyAlignment="1">
      <alignment horizontal="center"/>
    </xf>
    <xf numFmtId="0" fontId="9" fillId="0" borderId="1" xfId="0" applyFont="1" applyBorder="1" applyAlignment="1">
      <alignment horizontal="left"/>
    </xf>
    <xf numFmtId="10" fontId="11" fillId="3" borderId="1" xfId="0" applyNumberFormat="1" applyFont="1" applyFill="1" applyBorder="1" applyAlignment="1">
      <alignment horizontal="center"/>
    </xf>
    <xf numFmtId="0" fontId="16" fillId="0" borderId="0" xfId="0" applyFont="1"/>
    <xf numFmtId="9" fontId="9" fillId="2" borderId="1" xfId="0" applyNumberFormat="1" applyFont="1" applyFill="1" applyBorder="1"/>
    <xf numFmtId="6" fontId="9" fillId="3" borderId="1" xfId="1" applyNumberFormat="1" applyFont="1" applyFill="1" applyBorder="1" applyAlignment="1">
      <alignment horizontal="center"/>
    </xf>
    <xf numFmtId="10" fontId="9" fillId="0" borderId="1" xfId="2" applyNumberFormat="1" applyFont="1" applyBorder="1" applyAlignment="1">
      <alignment horizontal="center"/>
    </xf>
    <xf numFmtId="0" fontId="17" fillId="0" borderId="0" xfId="0" applyFont="1" applyAlignment="1">
      <alignment horizontal="centerContinuous"/>
    </xf>
    <xf numFmtId="0" fontId="18" fillId="0" borderId="0" xfId="0" applyFont="1"/>
    <xf numFmtId="0" fontId="19" fillId="0" borderId="0" xfId="0" applyFont="1"/>
    <xf numFmtId="0" fontId="20" fillId="0" borderId="0" xfId="0" applyFont="1"/>
    <xf numFmtId="2" fontId="9" fillId="2" borderId="1" xfId="0" applyNumberFormat="1" applyFont="1" applyFill="1" applyBorder="1" applyAlignment="1">
      <alignment horizontal="center"/>
    </xf>
    <xf numFmtId="8" fontId="20" fillId="3" borderId="1" xfId="1" applyFont="1" applyFill="1" applyBorder="1" applyAlignment="1">
      <alignment horizontal="center"/>
    </xf>
    <xf numFmtId="8" fontId="9" fillId="0" borderId="0" xfId="0" applyNumberFormat="1" applyFont="1"/>
    <xf numFmtId="0" fontId="9" fillId="2" borderId="1" xfId="0" applyFont="1" applyFill="1" applyBorder="1"/>
    <xf numFmtId="8" fontId="9" fillId="0" borderId="0" xfId="1" applyFont="1" applyFill="1" applyBorder="1"/>
    <xf numFmtId="8" fontId="9" fillId="0" borderId="0" xfId="1" applyFont="1" applyFill="1" applyBorder="1" applyAlignment="1">
      <alignment horizontal="center"/>
    </xf>
    <xf numFmtId="8" fontId="20" fillId="0" borderId="1" xfId="0" applyNumberFormat="1" applyFont="1" applyBorder="1" applyAlignment="1">
      <alignment horizontal="center"/>
    </xf>
    <xf numFmtId="0" fontId="20" fillId="0" borderId="0" xfId="0" applyFont="1" applyAlignment="1">
      <alignment horizontal="center"/>
    </xf>
    <xf numFmtId="10" fontId="10" fillId="0" borderId="0" xfId="0" applyNumberFormat="1" applyFont="1"/>
    <xf numFmtId="8" fontId="0" fillId="0" borderId="0" xfId="0" applyNumberFormat="1"/>
    <xf numFmtId="8" fontId="9" fillId="2" borderId="2" xfId="0" applyNumberFormat="1" applyFont="1" applyFill="1" applyBorder="1" applyAlignment="1">
      <alignment horizontal="center"/>
    </xf>
    <xf numFmtId="8" fontId="9" fillId="2" borderId="1" xfId="1" applyFont="1" applyFill="1" applyBorder="1"/>
    <xf numFmtId="2" fontId="25" fillId="0" borderId="1" xfId="0" applyNumberFormat="1" applyFont="1" applyBorder="1" applyAlignment="1">
      <alignment horizontal="center"/>
    </xf>
    <xf numFmtId="2" fontId="25" fillId="0" borderId="0" xfId="0" applyNumberFormat="1" applyFont="1"/>
    <xf numFmtId="2" fontId="9" fillId="0" borderId="0" xfId="0" applyNumberFormat="1" applyFont="1"/>
    <xf numFmtId="2" fontId="26" fillId="0" borderId="0" xfId="0" applyNumberFormat="1" applyFont="1"/>
    <xf numFmtId="2" fontId="25" fillId="0" borderId="3" xfId="0" applyNumberFormat="1" applyFont="1" applyBorder="1" applyAlignment="1">
      <alignment horizontal="centerContinuous"/>
    </xf>
    <xf numFmtId="8" fontId="9" fillId="4" borderId="1" xfId="1" applyFont="1" applyFill="1" applyBorder="1" applyAlignment="1">
      <alignment horizontal="center"/>
    </xf>
    <xf numFmtId="165" fontId="9" fillId="4" borderId="1" xfId="0" applyNumberFormat="1" applyFont="1" applyFill="1" applyBorder="1" applyAlignment="1">
      <alignment horizontal="center"/>
    </xf>
    <xf numFmtId="0" fontId="9" fillId="0" borderId="1" xfId="0" applyFont="1" applyBorder="1"/>
    <xf numFmtId="0" fontId="9" fillId="5" borderId="1" xfId="0" applyFont="1" applyFill="1" applyBorder="1"/>
    <xf numFmtId="166" fontId="9" fillId="5" borderId="1" xfId="1" applyNumberFormat="1" applyFont="1" applyFill="1" applyBorder="1"/>
    <xf numFmtId="167" fontId="9" fillId="4" borderId="1" xfId="0" applyNumberFormat="1" applyFont="1" applyFill="1" applyBorder="1"/>
    <xf numFmtId="166" fontId="9" fillId="4" borderId="1" xfId="0" applyNumberFormat="1" applyFont="1" applyFill="1" applyBorder="1"/>
    <xf numFmtId="0" fontId="0" fillId="4" borderId="1" xfId="0" applyFill="1" applyBorder="1"/>
    <xf numFmtId="166" fontId="24" fillId="4" borderId="1" xfId="1" applyNumberFormat="1" applyFont="1" applyFill="1" applyBorder="1"/>
    <xf numFmtId="167" fontId="0" fillId="4" borderId="1" xfId="0" applyNumberFormat="1" applyFill="1" applyBorder="1"/>
    <xf numFmtId="0" fontId="27" fillId="0" borderId="0" xfId="0" applyFont="1"/>
    <xf numFmtId="0" fontId="28" fillId="0" borderId="0" xfId="0" applyFont="1"/>
    <xf numFmtId="0" fontId="13" fillId="0" borderId="1" xfId="0" applyFont="1" applyBorder="1"/>
    <xf numFmtId="10" fontId="9" fillId="4" borderId="1" xfId="2" applyNumberFormat="1" applyFont="1" applyFill="1" applyBorder="1"/>
    <xf numFmtId="0" fontId="9" fillId="4" borderId="1" xfId="0" applyFont="1" applyFill="1" applyBorder="1"/>
    <xf numFmtId="164" fontId="9" fillId="4" borderId="1" xfId="2" applyNumberFormat="1" applyFont="1" applyFill="1" applyBorder="1"/>
    <xf numFmtId="10" fontId="9" fillId="4" borderId="1" xfId="0" applyNumberFormat="1" applyFont="1" applyFill="1" applyBorder="1"/>
    <xf numFmtId="164" fontId="9" fillId="4" borderId="1" xfId="0" applyNumberFormat="1" applyFont="1" applyFill="1" applyBorder="1"/>
    <xf numFmtId="0" fontId="0" fillId="5" borderId="1" xfId="0" applyFill="1" applyBorder="1"/>
    <xf numFmtId="10" fontId="9" fillId="5" borderId="1" xfId="0" applyNumberFormat="1" applyFont="1" applyFill="1" applyBorder="1"/>
    <xf numFmtId="0" fontId="0" fillId="0" borderId="0" xfId="0" applyAlignment="1">
      <alignment vertical="center" wrapText="1"/>
    </xf>
    <xf numFmtId="10" fontId="0" fillId="5" borderId="1" xfId="0" applyNumberFormat="1" applyFill="1" applyBorder="1"/>
    <xf numFmtId="0" fontId="30" fillId="0" borderId="0" xfId="0" applyFont="1" applyAlignment="1">
      <alignment horizontal="left"/>
    </xf>
    <xf numFmtId="0" fontId="30" fillId="0" borderId="0" xfId="0" applyFont="1"/>
    <xf numFmtId="10" fontId="30" fillId="0" borderId="0" xfId="0" applyNumberFormat="1" applyFont="1"/>
    <xf numFmtId="2" fontId="30" fillId="0" borderId="0" xfId="0" applyNumberFormat="1" applyFont="1"/>
    <xf numFmtId="10" fontId="31" fillId="0" borderId="0" xfId="0" applyNumberFormat="1" applyFont="1"/>
    <xf numFmtId="0" fontId="3" fillId="0" borderId="0" xfId="0" applyFont="1"/>
    <xf numFmtId="0" fontId="7" fillId="0" borderId="0" xfId="0" applyFont="1"/>
    <xf numFmtId="1" fontId="25" fillId="0" borderId="1" xfId="0" applyNumberFormat="1" applyFont="1" applyBorder="1" applyAlignment="1">
      <alignment horizontal="center"/>
    </xf>
    <xf numFmtId="2" fontId="25" fillId="0" borderId="4" xfId="0" applyNumberFormat="1" applyFont="1" applyBorder="1" applyAlignment="1">
      <alignment horizontal="centerContinuous"/>
    </xf>
    <xf numFmtId="8" fontId="25" fillId="0" borderId="1" xfId="1" applyFont="1" applyBorder="1"/>
    <xf numFmtId="8" fontId="25" fillId="0" borderId="5" xfId="1" applyFont="1" applyBorder="1"/>
    <xf numFmtId="166" fontId="9" fillId="2" borderId="1" xfId="1" applyNumberFormat="1" applyFont="1" applyFill="1" applyBorder="1"/>
    <xf numFmtId="8" fontId="25" fillId="2" borderId="1" xfId="1" applyFont="1" applyFill="1" applyBorder="1" applyAlignment="1">
      <alignment horizontal="center"/>
    </xf>
    <xf numFmtId="8" fontId="25" fillId="0" borderId="1" xfId="1" applyFont="1" applyBorder="1" applyAlignment="1">
      <alignment horizontal="center"/>
    </xf>
    <xf numFmtId="8" fontId="25" fillId="0" borderId="0" xfId="1" applyFont="1"/>
    <xf numFmtId="8" fontId="25" fillId="0" borderId="5" xfId="1" applyFont="1" applyBorder="1" applyAlignment="1">
      <alignment horizontal="center"/>
    </xf>
    <xf numFmtId="8" fontId="9" fillId="0" borderId="6" xfId="1" applyFont="1" applyBorder="1"/>
    <xf numFmtId="8" fontId="0" fillId="0" borderId="0" xfId="1" applyFont="1"/>
    <xf numFmtId="8" fontId="9" fillId="0" borderId="0" xfId="1" applyFont="1"/>
    <xf numFmtId="8" fontId="9" fillId="0" borderId="7" xfId="1" applyFont="1" applyBorder="1"/>
    <xf numFmtId="8" fontId="9" fillId="0" borderId="1" xfId="1" applyFont="1" applyBorder="1"/>
    <xf numFmtId="0" fontId="32" fillId="0" borderId="0" xfId="0" applyFont="1" applyAlignment="1">
      <alignment wrapText="1"/>
    </xf>
    <xf numFmtId="0" fontId="29" fillId="7" borderId="8" xfId="0" applyFont="1" applyFill="1" applyBorder="1"/>
    <xf numFmtId="0" fontId="6" fillId="7" borderId="8" xfId="0" applyFont="1" applyFill="1" applyBorder="1" applyAlignment="1">
      <alignment horizontal="center"/>
    </xf>
    <xf numFmtId="0" fontId="29" fillId="7" borderId="8" xfId="0" applyFont="1" applyFill="1" applyBorder="1" applyAlignment="1">
      <alignment horizontal="center"/>
    </xf>
    <xf numFmtId="0" fontId="6" fillId="7" borderId="8" xfId="0" applyFont="1" applyFill="1" applyBorder="1"/>
    <xf numFmtId="0" fontId="34" fillId="0" borderId="8" xfId="0" applyFont="1" applyBorder="1" applyAlignment="1">
      <alignment horizontal="center"/>
    </xf>
    <xf numFmtId="10" fontId="34" fillId="0" borderId="8" xfId="0" applyNumberFormat="1" applyFont="1" applyBorder="1" applyAlignment="1">
      <alignment horizontal="center"/>
    </xf>
    <xf numFmtId="0" fontId="33" fillId="8" borderId="8" xfId="0" applyFont="1" applyFill="1" applyBorder="1"/>
    <xf numFmtId="0" fontId="0" fillId="0" borderId="8" xfId="0" applyBorder="1" applyAlignment="1">
      <alignment horizontal="center"/>
    </xf>
    <xf numFmtId="10" fontId="0" fillId="0" borderId="8" xfId="0" applyNumberFormat="1" applyBorder="1" applyAlignment="1">
      <alignment horizontal="center"/>
    </xf>
    <xf numFmtId="0" fontId="33" fillId="7" borderId="8" xfId="0" applyFont="1" applyFill="1" applyBorder="1"/>
    <xf numFmtId="0" fontId="35" fillId="7" borderId="8" xfId="0" applyFont="1" applyFill="1" applyBorder="1" applyAlignment="1">
      <alignment horizontal="left"/>
    </xf>
    <xf numFmtId="0" fontId="35" fillId="0" borderId="8" xfId="0" applyFont="1" applyBorder="1" applyAlignment="1">
      <alignment horizontal="left"/>
    </xf>
    <xf numFmtId="0" fontId="22" fillId="0" borderId="8" xfId="0" applyFont="1" applyBorder="1"/>
    <xf numFmtId="0" fontId="22" fillId="0" borderId="8" xfId="0" applyFont="1" applyBorder="1" applyAlignment="1">
      <alignment horizontal="center"/>
    </xf>
    <xf numFmtId="0" fontId="0" fillId="0" borderId="8" xfId="0" applyBorder="1"/>
    <xf numFmtId="0" fontId="38" fillId="0" borderId="1" xfId="0" applyFont="1" applyBorder="1" applyAlignment="1">
      <alignment wrapText="1"/>
    </xf>
    <xf numFmtId="0" fontId="38" fillId="0" borderId="1" xfId="0" applyFont="1" applyBorder="1" applyAlignment="1">
      <alignment horizontal="center" wrapText="1"/>
    </xf>
    <xf numFmtId="10" fontId="38" fillId="0" borderId="1" xfId="0" applyNumberFormat="1" applyFont="1" applyBorder="1" applyAlignment="1">
      <alignment horizontal="center" wrapText="1"/>
    </xf>
    <xf numFmtId="2" fontId="38" fillId="0" borderId="1" xfId="0" applyNumberFormat="1" applyFont="1" applyBorder="1" applyAlignment="1">
      <alignment horizontal="center" wrapText="1"/>
    </xf>
    <xf numFmtId="0" fontId="39" fillId="0" borderId="0" xfId="0" applyFont="1"/>
    <xf numFmtId="0" fontId="42" fillId="0" borderId="0" xfId="0" applyFont="1"/>
    <xf numFmtId="14" fontId="42" fillId="5" borderId="8" xfId="0" applyNumberFormat="1" applyFont="1" applyFill="1" applyBorder="1" applyAlignment="1">
      <alignment horizontal="center"/>
    </xf>
    <xf numFmtId="0" fontId="42" fillId="5" borderId="8" xfId="0" applyFont="1" applyFill="1" applyBorder="1" applyAlignment="1">
      <alignment horizontal="center"/>
    </xf>
    <xf numFmtId="0" fontId="43" fillId="0" borderId="0" xfId="0" applyFont="1"/>
    <xf numFmtId="0" fontId="44" fillId="0" borderId="0" xfId="0" applyFont="1"/>
    <xf numFmtId="0" fontId="45" fillId="0" borderId="8" xfId="0" applyFont="1" applyBorder="1"/>
    <xf numFmtId="0" fontId="44" fillId="0" borderId="8" xfId="0" applyFont="1" applyBorder="1"/>
    <xf numFmtId="10" fontId="44" fillId="0" borderId="8" xfId="0" applyNumberFormat="1" applyFont="1" applyBorder="1"/>
    <xf numFmtId="10" fontId="44" fillId="0" borderId="8" xfId="0" applyNumberFormat="1" applyFont="1" applyBorder="1" applyAlignment="1">
      <alignment horizontal="center"/>
    </xf>
    <xf numFmtId="0" fontId="44" fillId="0" borderId="8" xfId="0" applyFont="1" applyBorder="1" applyAlignment="1">
      <alignment horizontal="center"/>
    </xf>
    <xf numFmtId="0" fontId="5" fillId="0" borderId="0" xfId="0" applyFont="1" applyAlignment="1">
      <alignment horizontal="center"/>
    </xf>
    <xf numFmtId="0" fontId="0" fillId="6" borderId="0" xfId="0" applyFill="1" applyAlignment="1">
      <alignment horizontal="center" vertical="center" wrapText="1"/>
    </xf>
  </cellXfs>
  <cellStyles count="3">
    <cellStyle name="Currency" xfId="1" builtinId="4"/>
    <cellStyle name="Normal" xfId="0" builtinId="0"/>
    <cellStyle name="Percent" xfId="2"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
  <sheetViews>
    <sheetView workbookViewId="0">
      <selection activeCell="A2" sqref="A2"/>
    </sheetView>
  </sheetViews>
  <sheetFormatPr baseColWidth="10" defaultRowHeight="14"/>
  <cols>
    <col min="1" max="1" width="16.28515625" style="36" bestFit="1" customWidth="1"/>
    <col min="2" max="2" width="48" bestFit="1" customWidth="1"/>
  </cols>
  <sheetData>
    <row r="1" spans="1:8" ht="20" customHeight="1">
      <c r="A1" s="34" t="s">
        <v>390</v>
      </c>
      <c r="B1" s="2"/>
      <c r="C1" s="2"/>
      <c r="D1" s="2"/>
      <c r="E1" s="2"/>
      <c r="F1" s="2"/>
      <c r="G1" s="2"/>
      <c r="H1" s="2"/>
    </row>
    <row r="2" spans="1:8" s="30" customFormat="1" ht="14" customHeight="1">
      <c r="A2" s="35" t="s">
        <v>19</v>
      </c>
      <c r="B2" s="10" t="s">
        <v>20</v>
      </c>
    </row>
    <row r="3" spans="1:8" s="11" customFormat="1" ht="14" customHeight="1">
      <c r="A3" s="36"/>
      <c r="B3" s="10" t="s">
        <v>21</v>
      </c>
    </row>
    <row r="4" spans="1:8" s="11" customFormat="1" ht="14" customHeight="1">
      <c r="A4" s="36"/>
      <c r="B4" s="10" t="s">
        <v>30</v>
      </c>
    </row>
    <row r="5" spans="1:8" s="11" customFormat="1" ht="14" customHeight="1">
      <c r="A5" s="35" t="s">
        <v>79</v>
      </c>
      <c r="B5" s="10" t="s">
        <v>31</v>
      </c>
    </row>
    <row r="6" spans="1:8" s="11" customFormat="1" ht="14" customHeight="1">
      <c r="A6" s="36"/>
      <c r="B6" s="10" t="s">
        <v>101</v>
      </c>
    </row>
    <row r="7" spans="1:8" s="30" customFormat="1" ht="14" customHeight="1">
      <c r="A7" s="35"/>
      <c r="B7" s="10" t="s">
        <v>22</v>
      </c>
    </row>
    <row r="8" spans="1:8" s="11" customFormat="1" ht="14" customHeight="1">
      <c r="A8" s="36"/>
      <c r="B8" s="10" t="s">
        <v>37</v>
      </c>
    </row>
    <row r="9" spans="1:8" s="11" customFormat="1" ht="14" customHeight="1">
      <c r="A9" s="36"/>
      <c r="B9" s="10" t="s">
        <v>126</v>
      </c>
    </row>
    <row r="10" spans="1:8" s="11" customFormat="1" ht="14" customHeight="1">
      <c r="A10" s="36"/>
      <c r="B10" s="10" t="s">
        <v>41</v>
      </c>
    </row>
    <row r="11" spans="1:8" s="11" customFormat="1" ht="14" customHeight="1">
      <c r="A11" s="36"/>
      <c r="B11" s="10" t="s">
        <v>42</v>
      </c>
    </row>
    <row r="12" spans="1:8" s="10" customFormat="1" ht="14" customHeight="1">
      <c r="A12" s="35" t="s">
        <v>127</v>
      </c>
      <c r="B12" s="10" t="s">
        <v>123</v>
      </c>
    </row>
    <row r="13" spans="1:8" s="10" customFormat="1" ht="14" customHeight="1">
      <c r="A13" s="37"/>
      <c r="B13" s="10" t="s">
        <v>96</v>
      </c>
    </row>
    <row r="14" spans="1:8" s="10" customFormat="1" ht="14" customHeight="1">
      <c r="A14" s="37"/>
      <c r="B14" s="10" t="s">
        <v>1</v>
      </c>
    </row>
    <row r="15" spans="1:8" s="10" customFormat="1" ht="14" customHeight="1">
      <c r="A15" s="37"/>
      <c r="B15" s="10" t="s">
        <v>98</v>
      </c>
    </row>
    <row r="16" spans="1:8" s="10" customFormat="1" ht="14" customHeight="1">
      <c r="A16" s="37"/>
      <c r="B16" s="10" t="s">
        <v>59</v>
      </c>
    </row>
    <row r="17" spans="1:2" s="10" customFormat="1" ht="13">
      <c r="A17" s="37"/>
      <c r="B17" s="10" t="s">
        <v>60</v>
      </c>
    </row>
    <row r="18" spans="1:2" s="10" customFormat="1" ht="14" customHeight="1">
      <c r="A18" s="37"/>
      <c r="B18" s="10" t="s">
        <v>69</v>
      </c>
    </row>
    <row r="19" spans="1:2" s="10" customFormat="1" ht="14" customHeight="1">
      <c r="A19" s="37"/>
      <c r="B19" s="10" t="s">
        <v>61</v>
      </c>
    </row>
    <row r="20" spans="1:2" s="10" customFormat="1" ht="14" customHeight="1">
      <c r="A20" s="37"/>
      <c r="B20" s="10" t="s">
        <v>113</v>
      </c>
    </row>
    <row r="21" spans="1:2" s="10" customFormat="1" ht="14" customHeight="1">
      <c r="A21" s="37"/>
      <c r="B21" s="10" t="s">
        <v>116</v>
      </c>
    </row>
    <row r="22" spans="1:2" s="10" customFormat="1" ht="14" customHeight="1">
      <c r="A22" s="37"/>
      <c r="B22" s="10" t="s">
        <v>117</v>
      </c>
    </row>
    <row r="23" spans="1:2" s="10" customFormat="1" ht="14" customHeight="1">
      <c r="A23" s="37"/>
      <c r="B23" s="10" t="s">
        <v>72</v>
      </c>
    </row>
    <row r="24" spans="1:2" s="10" customFormat="1" ht="14" customHeight="1">
      <c r="A24" s="37"/>
      <c r="B24" s="10" t="s">
        <v>23</v>
      </c>
    </row>
    <row r="25" spans="1:2" s="10" customFormat="1" ht="14" customHeight="1">
      <c r="A25" s="37"/>
      <c r="B25" s="10" t="s">
        <v>93</v>
      </c>
    </row>
    <row r="26" spans="1:2" s="10" customFormat="1" ht="14" customHeight="1">
      <c r="A26" s="37"/>
      <c r="B26" s="10" t="s">
        <v>94</v>
      </c>
    </row>
    <row r="27" spans="1:2" s="10" customFormat="1" ht="14" customHeight="1">
      <c r="A27" s="35" t="s">
        <v>62</v>
      </c>
      <c r="B27" s="10" t="s">
        <v>63</v>
      </c>
    </row>
    <row r="28" spans="1:2" s="10" customFormat="1" ht="14" customHeight="1">
      <c r="A28" s="37"/>
      <c r="B28" s="10" t="s">
        <v>64</v>
      </c>
    </row>
    <row r="29" spans="1:2" s="10" customFormat="1" ht="14" customHeight="1">
      <c r="A29" s="37"/>
      <c r="B29" s="10" t="s">
        <v>99</v>
      </c>
    </row>
    <row r="30" spans="1:2">
      <c r="A30" s="37"/>
      <c r="B30" s="10" t="s">
        <v>100</v>
      </c>
    </row>
    <row r="31" spans="1:2">
      <c r="A31" s="37"/>
      <c r="B31" s="10" t="s">
        <v>65</v>
      </c>
    </row>
    <row r="32" spans="1:2">
      <c r="A32" s="37"/>
      <c r="B32" s="10" t="s">
        <v>66</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7"/>
  <sheetViews>
    <sheetView topLeftCell="A10" zoomScale="143" zoomScaleNormal="143" workbookViewId="0">
      <selection activeCell="J12" sqref="J12:J13"/>
    </sheetView>
  </sheetViews>
  <sheetFormatPr baseColWidth="10" defaultRowHeight="14"/>
  <cols>
    <col min="1" max="1" width="43.85546875" bestFit="1" customWidth="1"/>
    <col min="2" max="2" width="16.140625" customWidth="1"/>
  </cols>
  <sheetData>
    <row r="1" spans="1:6" ht="16">
      <c r="A1" s="4" t="s">
        <v>526</v>
      </c>
    </row>
    <row r="2" spans="1:6" s="119" customFormat="1" ht="13">
      <c r="A2" s="119" t="s">
        <v>523</v>
      </c>
      <c r="B2" s="121" t="s">
        <v>525</v>
      </c>
    </row>
    <row r="3" spans="1:6" s="119" customFormat="1" ht="13">
      <c r="A3" s="119" t="s">
        <v>524</v>
      </c>
      <c r="B3" s="120">
        <v>43973</v>
      </c>
    </row>
    <row r="5" spans="1:6" s="4" customFormat="1" ht="16">
      <c r="A5" s="4" t="s">
        <v>75</v>
      </c>
    </row>
    <row r="6" spans="1:6">
      <c r="A6" s="10" t="s">
        <v>95</v>
      </c>
      <c r="B6" s="17">
        <v>249.6</v>
      </c>
      <c r="C6" s="10"/>
      <c r="D6" s="12" t="s">
        <v>43</v>
      </c>
      <c r="E6" s="10"/>
    </row>
    <row r="7" spans="1:6">
      <c r="A7" s="10" t="s">
        <v>157</v>
      </c>
      <c r="B7" s="17">
        <f>(429.6+70.6)*0.04</f>
        <v>20.008000000000003</v>
      </c>
      <c r="C7" s="24"/>
      <c r="D7" s="12"/>
      <c r="E7" s="10"/>
      <c r="F7" s="47"/>
    </row>
    <row r="8" spans="1:6">
      <c r="A8" s="10" t="s">
        <v>131</v>
      </c>
      <c r="B8" s="17" t="s">
        <v>44</v>
      </c>
      <c r="C8" s="24"/>
      <c r="D8" s="12"/>
      <c r="E8" s="10"/>
      <c r="F8" s="47"/>
    </row>
    <row r="9" spans="1:6">
      <c r="A9" s="10" t="s">
        <v>91</v>
      </c>
      <c r="B9" s="17">
        <v>2046.4</v>
      </c>
      <c r="C9" s="49">
        <v>1903.7</v>
      </c>
      <c r="D9" s="12" t="s">
        <v>43</v>
      </c>
      <c r="E9" s="10"/>
    </row>
    <row r="10" spans="1:6">
      <c r="A10" s="10" t="s">
        <v>84</v>
      </c>
      <c r="B10" s="17">
        <v>398.8</v>
      </c>
      <c r="C10" s="49">
        <f>429.6+70.6</f>
        <v>500.20000000000005</v>
      </c>
      <c r="D10" s="12"/>
      <c r="E10" s="10"/>
    </row>
    <row r="11" spans="1:6">
      <c r="A11" s="10" t="s">
        <v>80</v>
      </c>
      <c r="B11" s="48">
        <v>8670</v>
      </c>
      <c r="C11" s="42"/>
      <c r="D11" s="12"/>
      <c r="E11" s="10"/>
    </row>
    <row r="12" spans="1:6">
      <c r="A12" s="10" t="s">
        <v>52</v>
      </c>
      <c r="B12" s="38">
        <v>398.03</v>
      </c>
      <c r="C12" s="42"/>
      <c r="D12" s="12"/>
      <c r="E12" s="10"/>
    </row>
    <row r="13" spans="1:6" s="10" customFormat="1" ht="14" customHeight="1">
      <c r="A13" s="10" t="s">
        <v>4</v>
      </c>
      <c r="B13" s="13">
        <v>315.5</v>
      </c>
      <c r="C13" s="12"/>
    </row>
    <row r="14" spans="1:6" s="10" customFormat="1" ht="14" customHeight="1">
      <c r="A14" s="10" t="s">
        <v>5</v>
      </c>
      <c r="B14" s="13">
        <f>165.3+90.2</f>
        <v>255.5</v>
      </c>
      <c r="C14" s="12"/>
    </row>
    <row r="15" spans="1:6" s="10" customFormat="1" ht="14" customHeight="1">
      <c r="A15" s="10" t="s">
        <v>6</v>
      </c>
      <c r="B15" s="13">
        <f>((2673.6-398.8)-(1787.5-245.5))-((2872.9-70.6-429.6)-(1981.6-235.7))</f>
        <v>105.99999999999932</v>
      </c>
      <c r="C15" s="12"/>
    </row>
    <row r="16" spans="1:6" s="10" customFormat="1" ht="14" customHeight="1">
      <c r="A16" s="10" t="s">
        <v>12</v>
      </c>
      <c r="B16" s="13">
        <f>(1009.4+245.5)-(984.5+235.7)</f>
        <v>34.700000000000045</v>
      </c>
      <c r="C16" s="12"/>
      <c r="E16" s="40"/>
    </row>
    <row r="17" spans="1:6" s="10" customFormat="1" ht="14" customHeight="1">
      <c r="A17" s="10" t="s">
        <v>102</v>
      </c>
      <c r="B17" s="17" t="s">
        <v>49</v>
      </c>
      <c r="C17" s="12"/>
      <c r="E17" s="40"/>
    </row>
    <row r="18" spans="1:6" s="10" customFormat="1" ht="14" customHeight="1">
      <c r="A18" s="10" t="s">
        <v>67</v>
      </c>
      <c r="B18" s="17" t="s">
        <v>44</v>
      </c>
      <c r="C18" s="12"/>
    </row>
    <row r="19" spans="1:6" s="10" customFormat="1" ht="14" customHeight="1">
      <c r="A19" s="10" t="s">
        <v>81</v>
      </c>
      <c r="B19" s="43"/>
      <c r="C19" s="12"/>
      <c r="D19" s="5"/>
    </row>
    <row r="20" spans="1:6" s="10" customFormat="1" ht="14" customHeight="1">
      <c r="A20" s="10" t="s">
        <v>155</v>
      </c>
      <c r="B20" s="55">
        <f>IF('Normalized Earnings'!B2=1,'Normalized Earnings'!G5,'Normalized Earnings'!B8*Inputs!B9)</f>
        <v>457.41333333333324</v>
      </c>
      <c r="C20" s="12"/>
      <c r="D20" s="5"/>
    </row>
    <row r="21" spans="1:6" s="10" customFormat="1" ht="14" customHeight="1">
      <c r="A21" s="10" t="s">
        <v>27</v>
      </c>
      <c r="B21" s="27">
        <f>IF('Normalized Reinvestment'!B2=0,Inputs!B13-Inputs!B14,IF('Normalized Reinvestment'!B2=1,'Normalized Reinvestment'!G7*'Normalized Reinvestment'!F6,'Normalized Reinvestment'!B9*'Normalized Reinvestment'!F6))</f>
        <v>4242.6098079237972</v>
      </c>
      <c r="C21" s="12"/>
    </row>
    <row r="22" spans="1:6" s="10" customFormat="1" ht="14" customHeight="1">
      <c r="A22" s="10" t="s">
        <v>14</v>
      </c>
      <c r="B22" s="27">
        <f>IF('Normalized Reinvestment'!B12=0,Inputs!B15,IF('Normalized Reinvestment'!B12=1,('Normalized Reinvestment'!B14/'Normalized Reinvestment'!B15)*('Normalized Reinvestment'!B15-'Normalized Reinvestment'!B16),'Normalized Reinvestment'!B19*('Normalized Reinvestment'!B15-'Normalized Reinvestment'!B16)))</f>
        <v>336.30537636037866</v>
      </c>
      <c r="C22" s="12"/>
    </row>
    <row r="23" spans="1:6" s="10" customFormat="1" ht="14" customHeight="1">
      <c r="A23" s="10" t="s">
        <v>26</v>
      </c>
      <c r="B23" s="27">
        <f>IF('Normalized Reinvestment'!B22=0,Inputs!B16,IF('Normalized Reinvestment'!B22=1,('Normalized Reinvestment'!B24/('Normalized Reinvestment'!B24+Inputs!B9))*(Inputs!B21+Inputs!B22),(IF('Normalized Reinvestment'!B22=2,('Normalized Reinvestment'!B24/('Normalized Reinvestment'!B24+Inputs!B11))*(Inputs!B21+Inputs!B22),'Normalized Reinvestment'!B27*(Inputs!B21+Inputs!B22)))))</f>
        <v>3672.6447978865963</v>
      </c>
      <c r="C23" s="12"/>
    </row>
    <row r="24" spans="1:6">
      <c r="A24" s="10"/>
      <c r="B24" s="10"/>
      <c r="C24" s="12"/>
      <c r="D24" s="10"/>
      <c r="E24" s="10"/>
    </row>
    <row r="25" spans="1:6">
      <c r="A25" s="15" t="s">
        <v>124</v>
      </c>
      <c r="B25" s="10"/>
      <c r="C25" s="10"/>
      <c r="D25" s="12"/>
      <c r="E25" s="10"/>
    </row>
    <row r="26" spans="1:6">
      <c r="A26" s="10" t="s">
        <v>47</v>
      </c>
      <c r="B26" s="16">
        <v>1.03</v>
      </c>
      <c r="C26" s="10"/>
      <c r="D26" s="12"/>
      <c r="E26" s="10"/>
    </row>
    <row r="27" spans="1:6">
      <c r="A27" s="10" t="s">
        <v>48</v>
      </c>
      <c r="B27" s="14">
        <v>4.4999999999999998E-2</v>
      </c>
      <c r="C27" s="12" t="s">
        <v>46</v>
      </c>
      <c r="D27" s="12"/>
      <c r="E27" s="10"/>
    </row>
    <row r="28" spans="1:6">
      <c r="A28" s="10" t="s">
        <v>299</v>
      </c>
      <c r="B28" s="14">
        <f>'ERP calculator'!E29</f>
        <v>4.9661579754330332E-2</v>
      </c>
      <c r="C28" s="12" t="s">
        <v>46</v>
      </c>
      <c r="D28" s="12"/>
      <c r="E28" s="10"/>
    </row>
    <row r="29" spans="1:6">
      <c r="A29" s="10"/>
      <c r="B29" s="10"/>
      <c r="C29" s="10"/>
      <c r="D29" s="12"/>
      <c r="E29" s="10"/>
    </row>
    <row r="30" spans="1:6" ht="16">
      <c r="A30" s="19" t="s">
        <v>125</v>
      </c>
      <c r="B30" s="10"/>
      <c r="C30" s="10"/>
      <c r="D30" s="12"/>
      <c r="E30" s="5"/>
    </row>
    <row r="31" spans="1:6">
      <c r="A31" s="10" t="s">
        <v>78</v>
      </c>
      <c r="B31" s="16">
        <v>10</v>
      </c>
      <c r="C31" s="10"/>
      <c r="D31" s="12"/>
      <c r="E31" s="10"/>
    </row>
    <row r="32" spans="1:6">
      <c r="A32" s="10"/>
      <c r="B32" s="10"/>
      <c r="C32" s="10"/>
      <c r="D32" s="10"/>
      <c r="E32" s="12"/>
      <c r="F32" s="10"/>
    </row>
    <row r="33" spans="1:6">
      <c r="A33" s="10" t="s">
        <v>50</v>
      </c>
      <c r="B33" s="17" t="s">
        <v>49</v>
      </c>
      <c r="C33" s="12" t="s">
        <v>45</v>
      </c>
    </row>
    <row r="34" spans="1:6">
      <c r="A34" s="10" t="s">
        <v>82</v>
      </c>
      <c r="B34" s="16"/>
      <c r="C34" s="12"/>
    </row>
    <row r="35" spans="1:6">
      <c r="A35" s="15" t="s">
        <v>57</v>
      </c>
      <c r="B35" s="10"/>
      <c r="C35" s="10"/>
      <c r="D35" s="10"/>
      <c r="E35" s="12"/>
      <c r="F35" s="10"/>
    </row>
    <row r="36" spans="1:6">
      <c r="A36" s="10" t="s">
        <v>156</v>
      </c>
      <c r="B36" s="56">
        <f>IF(B17="Yes",IF(B8="Yes",B20+'R&amp;D converter'!D39,Inputs!B20),IF(Inputs!B8="Yes",(Inputs!B6-Inputs!B7+'R&amp;D converter'!D39),Inputs!B6-Inputs!B7))</f>
        <v>457.41333333333324</v>
      </c>
      <c r="C36" s="10"/>
      <c r="D36" s="10"/>
      <c r="E36" s="12"/>
      <c r="F36" s="10"/>
    </row>
    <row r="37" spans="1:6">
      <c r="A37" s="10" t="s">
        <v>86</v>
      </c>
      <c r="B37" s="21">
        <f>B36/(C9-C10)</f>
        <v>0.32590903693148077</v>
      </c>
      <c r="C37" s="12" t="s">
        <v>46</v>
      </c>
      <c r="D37" s="11"/>
      <c r="E37" s="11"/>
      <c r="F37" s="10"/>
    </row>
    <row r="38" spans="1:6">
      <c r="A38" s="10" t="s">
        <v>85</v>
      </c>
      <c r="B38" s="21">
        <f>IF(B18="Yes",(B21+B22-B23)/(B6-B7),(Inputs!B13-Inputs!B14+Inputs!B15-B16)/(B36-B7))</f>
        <v>0.30017923878385716</v>
      </c>
      <c r="C38" s="12" t="s">
        <v>46</v>
      </c>
      <c r="D38" s="46"/>
      <c r="E38" s="11"/>
      <c r="F38" s="10"/>
    </row>
    <row r="39" spans="1:6">
      <c r="A39" s="10" t="s">
        <v>55</v>
      </c>
      <c r="B39" s="17" t="s">
        <v>44</v>
      </c>
    </row>
    <row r="40" spans="1:6">
      <c r="A40" s="15" t="s">
        <v>32</v>
      </c>
      <c r="B40" s="10"/>
      <c r="C40" s="10"/>
      <c r="D40" s="10"/>
      <c r="E40" s="12"/>
      <c r="F40" s="10"/>
    </row>
    <row r="41" spans="1:6">
      <c r="A41" s="10" t="s">
        <v>86</v>
      </c>
      <c r="B41" s="14">
        <v>0.15</v>
      </c>
      <c r="C41" s="12" t="s">
        <v>46</v>
      </c>
      <c r="D41" s="10"/>
      <c r="E41" s="11"/>
      <c r="F41" s="11"/>
    </row>
    <row r="42" spans="1:6">
      <c r="A42" s="10" t="s">
        <v>85</v>
      </c>
      <c r="B42" s="14">
        <f>B38</f>
        <v>0.30017923878385716</v>
      </c>
      <c r="C42" s="12" t="s">
        <v>46</v>
      </c>
      <c r="D42" s="10"/>
      <c r="E42" s="11"/>
      <c r="F42" s="11"/>
    </row>
    <row r="43" spans="1:6">
      <c r="A43" s="10" t="s">
        <v>33</v>
      </c>
      <c r="B43" s="17" t="s">
        <v>49</v>
      </c>
    </row>
    <row r="44" spans="1:6" ht="16">
      <c r="A44" s="15" t="s">
        <v>114</v>
      </c>
      <c r="B44" s="12"/>
      <c r="C44" s="10"/>
      <c r="D44" s="12"/>
      <c r="E44" s="5"/>
      <c r="F44" s="10"/>
    </row>
    <row r="45" spans="1:6">
      <c r="A45" s="10" t="s">
        <v>92</v>
      </c>
      <c r="B45" s="14">
        <v>0.1</v>
      </c>
      <c r="C45" s="12" t="s">
        <v>46</v>
      </c>
      <c r="D45" s="10"/>
      <c r="E45" s="46"/>
      <c r="F45" s="11"/>
    </row>
    <row r="46" spans="1:6">
      <c r="A46" s="10"/>
      <c r="B46" s="23"/>
      <c r="C46" s="12"/>
      <c r="D46" s="10"/>
      <c r="E46" s="11"/>
      <c r="F46" s="11"/>
    </row>
    <row r="47" spans="1:6">
      <c r="A47" s="10" t="s">
        <v>112</v>
      </c>
      <c r="B47" s="17" t="s">
        <v>49</v>
      </c>
      <c r="C47" s="12"/>
      <c r="D47" s="10"/>
      <c r="E47" s="11"/>
      <c r="F47" s="11"/>
    </row>
    <row r="48" spans="1:6">
      <c r="A48" s="10"/>
      <c r="B48" s="23"/>
      <c r="C48" s="12"/>
      <c r="D48" s="10"/>
      <c r="E48" s="11"/>
      <c r="F48" s="11"/>
    </row>
    <row r="49" spans="1:5">
      <c r="A49" s="19" t="s">
        <v>83</v>
      </c>
      <c r="B49" s="10"/>
      <c r="C49" s="10"/>
      <c r="D49" s="12"/>
      <c r="E49" s="10"/>
    </row>
    <row r="50" spans="1:5">
      <c r="A50" s="10" t="s">
        <v>115</v>
      </c>
      <c r="B50" s="14">
        <v>0.04</v>
      </c>
      <c r="C50" s="12" t="s">
        <v>46</v>
      </c>
      <c r="D50" s="10"/>
    </row>
    <row r="51" spans="1:5">
      <c r="A51" s="10"/>
      <c r="B51" s="12"/>
      <c r="C51" s="12"/>
      <c r="D51" s="10"/>
    </row>
    <row r="52" spans="1:5">
      <c r="A52" s="10" t="s">
        <v>129</v>
      </c>
      <c r="B52" s="20">
        <f>B50/B45</f>
        <v>0.39999999999999997</v>
      </c>
      <c r="C52" s="12" t="s">
        <v>46</v>
      </c>
      <c r="D52" s="10"/>
    </row>
    <row r="53" spans="1:5">
      <c r="A53" s="10" t="s">
        <v>39</v>
      </c>
      <c r="B53" s="17" t="s">
        <v>44</v>
      </c>
      <c r="C53" s="12" t="s">
        <v>45</v>
      </c>
      <c r="D53" s="10"/>
    </row>
    <row r="54" spans="1:5">
      <c r="A54" s="10" t="s">
        <v>40</v>
      </c>
      <c r="B54" s="14"/>
      <c r="C54" s="12" t="s">
        <v>46</v>
      </c>
      <c r="D54" s="10"/>
    </row>
    <row r="55" spans="1:5">
      <c r="A55" s="10"/>
      <c r="B55" s="12"/>
      <c r="C55" s="12"/>
      <c r="D55" s="10"/>
    </row>
    <row r="56" spans="1:5">
      <c r="A56" s="10" t="s">
        <v>34</v>
      </c>
      <c r="B56" s="17" t="s">
        <v>44</v>
      </c>
      <c r="C56" s="12" t="s">
        <v>45</v>
      </c>
      <c r="D56" s="10"/>
    </row>
    <row r="57" spans="1:5">
      <c r="A57" s="10" t="s">
        <v>35</v>
      </c>
      <c r="B57" s="38">
        <v>0.8</v>
      </c>
      <c r="C57" s="12"/>
      <c r="D57" s="10"/>
    </row>
  </sheetData>
  <phoneticPr fontId="23" type="noConversion"/>
  <pageMargins left="0.75" right="0.75" top="1" bottom="1" header="0.5" footer="0.5"/>
  <pageSetup paperSize="0" orientation="landscape"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8683F9EE-155F-F24C-B4E1-EC57A03EF72B}">
          <x14:formula1>
            <xm:f>'Input Choices'!$A$2:$A$3</xm:f>
          </x14:formula1>
          <xm:sqref>B8 B17:B18 B33 B47 B53 B56 B43 B39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D5EE5-636B-034B-846F-295E71F0CC12}">
  <dimension ref="A1:D6"/>
  <sheetViews>
    <sheetView workbookViewId="0">
      <selection sqref="A1:D6"/>
    </sheetView>
  </sheetViews>
  <sheetFormatPr baseColWidth="10" defaultRowHeight="14"/>
  <cols>
    <col min="1" max="1" width="20.85546875" customWidth="1"/>
  </cols>
  <sheetData>
    <row r="1" spans="1:4" ht="16">
      <c r="A1" s="123"/>
      <c r="B1" s="124" t="s">
        <v>531</v>
      </c>
      <c r="C1" s="124" t="s">
        <v>532</v>
      </c>
      <c r="D1" s="124" t="s">
        <v>533</v>
      </c>
    </row>
    <row r="2" spans="1:4" ht="16">
      <c r="A2" s="125" t="s">
        <v>528</v>
      </c>
      <c r="B2" s="127">
        <f>'FCFE Valuation'!D7</f>
        <v>0.32590903693148077</v>
      </c>
      <c r="C2" s="125" t="s">
        <v>535</v>
      </c>
      <c r="D2" s="126">
        <f>'FCFE Valuation'!D22</f>
        <v>0.1</v>
      </c>
    </row>
    <row r="3" spans="1:4" ht="16">
      <c r="A3" s="125" t="s">
        <v>0</v>
      </c>
      <c r="B3" s="127">
        <f>'FCFE Valuation'!D8</f>
        <v>0.30017923878385716</v>
      </c>
      <c r="C3" s="125" t="s">
        <v>535</v>
      </c>
      <c r="D3" s="126">
        <f>'FCFE Valuation'!D23</f>
        <v>0.39999999999999997</v>
      </c>
    </row>
    <row r="4" spans="1:4" ht="16">
      <c r="A4" s="125" t="s">
        <v>128</v>
      </c>
      <c r="B4" s="127">
        <f>'FCFE Valuation'!D6</f>
        <v>9.7831126618871889E-2</v>
      </c>
      <c r="C4" s="125" t="s">
        <v>535</v>
      </c>
      <c r="D4" s="126">
        <f>'FCFE Valuation'!D21</f>
        <v>0.04</v>
      </c>
    </row>
    <row r="5" spans="1:4" ht="16">
      <c r="A5" s="125" t="s">
        <v>534</v>
      </c>
      <c r="B5" s="128">
        <f>Inputs!B26</f>
        <v>1.03</v>
      </c>
      <c r="C5" s="125" t="s">
        <v>536</v>
      </c>
      <c r="D5" s="125">
        <f>IF(Inputs!B56="No",Inputs!B26,Inputs!B57)</f>
        <v>1.03</v>
      </c>
    </row>
    <row r="6" spans="1:4" ht="16">
      <c r="A6" s="125" t="s">
        <v>58</v>
      </c>
      <c r="B6" s="127">
        <f>'FCFE Valuation'!D3</f>
        <v>9.6151427146960233E-2</v>
      </c>
      <c r="C6" s="125" t="s">
        <v>536</v>
      </c>
      <c r="D6" s="126">
        <f>'FCFE Valuation'!D24</f>
        <v>9.6151427146960233E-2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3"/>
  <sheetViews>
    <sheetView showGridLines="0" tabSelected="1" workbookViewId="0">
      <selection activeCell="D42" sqref="D42"/>
    </sheetView>
  </sheetViews>
  <sheetFormatPr baseColWidth="10" defaultColWidth="12.42578125" defaultRowHeight="14"/>
  <cols>
    <col min="1" max="1" width="2.7109375" customWidth="1"/>
    <col min="2" max="2" width="16.5703125" customWidth="1"/>
  </cols>
  <sheetData>
    <row r="1" spans="1:17" ht="20" customHeight="1"/>
    <row r="2" spans="1:17" ht="20" customHeight="1">
      <c r="A2" s="9"/>
      <c r="B2" s="8" t="s">
        <v>118</v>
      </c>
      <c r="C2" s="3"/>
      <c r="D2" s="3"/>
      <c r="E2" s="3"/>
      <c r="F2" s="3"/>
      <c r="G2" s="3"/>
      <c r="H2" s="9"/>
      <c r="I2" s="9"/>
    </row>
    <row r="3" spans="1:17" ht="20" customHeight="1">
      <c r="B3" s="10" t="s">
        <v>119</v>
      </c>
      <c r="C3" s="10"/>
      <c r="D3" s="21">
        <f>Inputs!B27+Inputs!B26*Inputs!B28</f>
        <v>9.6151427146960233E-2</v>
      </c>
      <c r="E3" s="12"/>
      <c r="F3" s="12"/>
      <c r="G3" s="10"/>
    </row>
    <row r="4" spans="1:17" ht="20" customHeight="1">
      <c r="B4" s="10" t="s">
        <v>111</v>
      </c>
      <c r="C4" s="10"/>
      <c r="D4" s="32">
        <f>IF(Inputs!B17="No",Inputs!B6,IF('Normalized Earnings'!B2=1,'Normalized Earnings'!G5,'Normalized Earnings'!B8*Inputs!C9))</f>
        <v>457.41333333333324</v>
      </c>
      <c r="E4" s="12"/>
      <c r="F4" s="12"/>
      <c r="G4" s="10"/>
    </row>
    <row r="5" spans="1:17" ht="20" customHeight="1">
      <c r="B5" s="10" t="s">
        <v>87</v>
      </c>
      <c r="C5" s="10"/>
      <c r="D5" s="32">
        <f>D4-Inputs!B7</f>
        <v>437.40533333333326</v>
      </c>
      <c r="E5" s="12"/>
      <c r="F5" s="12"/>
      <c r="G5" s="10"/>
    </row>
    <row r="6" spans="1:17" s="7" customFormat="1" ht="20" customHeight="1">
      <c r="B6" s="10" t="s">
        <v>16</v>
      </c>
      <c r="C6" s="15"/>
      <c r="D6" s="29">
        <f>IF(Inputs!B33="Yes",IF(Inputs!B39="Yes",Inputs!B41*Inputs!B42,Inputs!B37*Inputs!B38),Inputs!B34)</f>
        <v>9.7831126618871889E-2</v>
      </c>
      <c r="E6" s="22"/>
      <c r="F6" s="22"/>
      <c r="G6" s="15"/>
    </row>
    <row r="7" spans="1:17" s="7" customFormat="1" ht="20" customHeight="1">
      <c r="B7" s="10" t="s">
        <v>529</v>
      </c>
      <c r="C7" s="15"/>
      <c r="D7" s="29">
        <f>IF(Inputs!B39="No",Inputs!B37,Inputs!B41)</f>
        <v>0.32590903693148077</v>
      </c>
      <c r="E7" s="22"/>
      <c r="F7" s="22"/>
      <c r="G7" s="15"/>
    </row>
    <row r="8" spans="1:17" ht="20" customHeight="1">
      <c r="B8" s="10" t="s">
        <v>90</v>
      </c>
      <c r="C8" s="10"/>
      <c r="D8" s="21">
        <f>IF(Inputs!B39="Yes",Inputs!B42,Inputs!B38)</f>
        <v>0.30017923878385716</v>
      </c>
      <c r="E8" s="12"/>
      <c r="F8" s="10"/>
    </row>
    <row r="9" spans="1:17" ht="20" customHeight="1">
      <c r="B9" s="10"/>
      <c r="C9" s="10"/>
      <c r="D9" s="10"/>
      <c r="E9" s="23"/>
      <c r="F9" s="12"/>
      <c r="G9" s="10"/>
    </row>
    <row r="10" spans="1:17" ht="20" customHeight="1">
      <c r="B10" s="15" t="s">
        <v>36</v>
      </c>
      <c r="C10" s="10"/>
      <c r="D10" s="10"/>
      <c r="E10" s="23"/>
      <c r="F10" s="12"/>
      <c r="G10" s="10"/>
    </row>
    <row r="11" spans="1:17" s="10" customFormat="1" ht="20" customHeight="1">
      <c r="B11" s="25"/>
      <c r="C11" s="25">
        <f>IF(Inputs!B31=0," ",1)</f>
        <v>1</v>
      </c>
      <c r="D11" s="25">
        <f>IF(Inputs!B31&lt;2," ",2)</f>
        <v>2</v>
      </c>
      <c r="E11" s="25">
        <f>IF(Inputs!B31&lt;3," ",3)</f>
        <v>3</v>
      </c>
      <c r="F11" s="25">
        <f>IF(Inputs!B31&lt;4," ",4)</f>
        <v>4</v>
      </c>
      <c r="G11" s="25">
        <f>IF(Inputs!B31&lt;5," ",5)</f>
        <v>5</v>
      </c>
      <c r="H11" s="25">
        <f>IF(Inputs!B31&lt;6," ",6)</f>
        <v>6</v>
      </c>
      <c r="I11" s="25">
        <f>IF(Inputs!B31&lt;7," ",7)</f>
        <v>7</v>
      </c>
      <c r="J11" s="25">
        <f>IF(Inputs!B31&lt;8," ",8)</f>
        <v>8</v>
      </c>
      <c r="K11" s="25">
        <f>IF(Inputs!B31&lt;9," ",9)</f>
        <v>9</v>
      </c>
      <c r="L11" s="25">
        <f>IF(Inputs!B31&lt;10," ",10)</f>
        <v>10</v>
      </c>
      <c r="M11" s="25" t="str">
        <f>IF(Inputs!B31&lt;11," ",11)</f>
        <v xml:space="preserve"> </v>
      </c>
      <c r="N11" s="25" t="str">
        <f>IF(Inputs!B31&lt;12," ",12)</f>
        <v xml:space="preserve"> </v>
      </c>
      <c r="O11" s="25" t="str">
        <f>IF(Inputs!B31&lt;13," ",13)</f>
        <v xml:space="preserve"> </v>
      </c>
      <c r="P11" s="25" t="str">
        <f>IF(Inputs!B31&lt;14," ",14)</f>
        <v xml:space="preserve"> </v>
      </c>
      <c r="Q11" s="25" t="str">
        <f>IF(Inputs!B31&lt;15," ",15)</f>
        <v xml:space="preserve"> </v>
      </c>
    </row>
    <row r="12" spans="1:17" s="10" customFormat="1" ht="20" customHeight="1">
      <c r="B12" s="28" t="s">
        <v>128</v>
      </c>
      <c r="C12" s="33">
        <f>IF(Inputs!$B$31&lt;C11," ",IF(Inputs!$B$47="Yes",IF(C11&lt;(Inputs!$B$31/2),$D$6,$D$21+(($D$6-$D$21)/(Inputs!$B$31/2))*(Inputs!$B$31-C11)),$D$6))</f>
        <v>9.7831126618871889E-2</v>
      </c>
      <c r="D12" s="33">
        <f>IF(Inputs!$B$31&lt;D11," ",IF(Inputs!$B$47="Yes",IF(D11&lt;(Inputs!$B$31/2),$D$6,$D$21+(($D$6-$D$21)/(Inputs!$B$31/2))*(Inputs!$B$31-D11)),$D$6))</f>
        <v>9.7831126618871889E-2</v>
      </c>
      <c r="E12" s="33">
        <f>IF(Inputs!$B$31&lt;E11," ",IF(Inputs!$B$47="Yes",IF(E11&lt;(Inputs!$B$31/2),$D$6,$D$21+(($D$6-$D$21)/(Inputs!$B$31/2))*(Inputs!$B$31-E11)),$D$6))</f>
        <v>9.7831126618871889E-2</v>
      </c>
      <c r="F12" s="33">
        <f>IF(Inputs!$B$31&lt;F11," ",IF(Inputs!$B$47="Yes",IF(F11&lt;(Inputs!$B$31/2),$D$6,$D$21+(($D$6-$D$21)/(Inputs!$B$31/2))*(Inputs!$B$31-F11)),$D$6))</f>
        <v>9.7831126618871889E-2</v>
      </c>
      <c r="G12" s="33">
        <f>IF(Inputs!$B$31&lt;G11," ",IF(Inputs!$B$47="Yes",IF(G11&lt;(Inputs!$B$31/2),$D$6,$D$21+(($D$6-$D$21)/(Inputs!$B$31/2))*(Inputs!$B$31-G11)),$D$6))</f>
        <v>9.7831126618871889E-2</v>
      </c>
      <c r="H12" s="33">
        <f>IF(Inputs!$B$31&lt;H11," ",IF(Inputs!$B$47="Yes",IF(H11&lt;(Inputs!$B$31/2),$D$6,$D$21+(($D$6-$D$21)/(Inputs!$B$31/2))*(Inputs!$B$31-H11)),$D$6))</f>
        <v>8.6264901295097507E-2</v>
      </c>
      <c r="I12" s="33">
        <f>IF(Inputs!$B$31&lt;I11," ",IF(Inputs!$B$47="Yes",IF(I11&lt;(Inputs!$B$31/2),$D$6,$D$21+(($D$6-$D$21)/(Inputs!$B$31/2))*(Inputs!$B$31-I11)),$D$6))</f>
        <v>7.4698675971323125E-2</v>
      </c>
      <c r="J12" s="33">
        <f>IF(Inputs!$B$31&lt;J11," ",IF(Inputs!$B$47="Yes",IF(J11&lt;(Inputs!$B$31/2),$D$6,$D$21+(($D$6-$D$21)/(Inputs!$B$31/2))*(Inputs!$B$31-J11)),$D$6))</f>
        <v>6.3132450647548757E-2</v>
      </c>
      <c r="K12" s="33">
        <f>IF(Inputs!$B$31&lt;K11," ",IF(Inputs!$B$47="Yes",IF(K11&lt;(Inputs!$B$31/2),$D$6,$D$21+(($D$6-$D$21)/(Inputs!$B$31/2))*(Inputs!$B$31-K11)),$D$6))</f>
        <v>5.1566225323774376E-2</v>
      </c>
      <c r="L12" s="33">
        <f>IF(Inputs!$B$31&lt;L11," ",IF(Inputs!$B$47="Yes",IF(L11&lt;(Inputs!$B$31/2),$D$6,$D$21+(($D$6-$D$21)/(Inputs!$B$31/2))*(Inputs!$B$31-L11)),$D$6))</f>
        <v>0.04</v>
      </c>
      <c r="M12" s="33" t="str">
        <f>IF(Inputs!$B$31&lt;M11," ",IF(Inputs!$B$47="Yes",IF(M11&lt;(Inputs!$B$31/2),$D$6,$D$21+(($D$6-$D$21)/(Inputs!$B$31/2))*(Inputs!$B$31-M11)),$D$6))</f>
        <v xml:space="preserve"> </v>
      </c>
      <c r="N12" s="33" t="str">
        <f>IF(Inputs!$B$31&lt;N11," ",IF(Inputs!$B$47="Yes",IF(N11&lt;(Inputs!$B$31/2),$D$6,$D$21+(($D$6-$D$21)/(Inputs!$B$31/2))*(Inputs!$B$31-N11)),$D$6))</f>
        <v xml:space="preserve"> </v>
      </c>
      <c r="O12" s="33" t="str">
        <f>IF(Inputs!$B$31&lt;O11," ",IF(Inputs!$B$47="Yes",IF(O11&lt;(Inputs!$B$31/2),$D$6,$D$21+(($D$6-$D$21)/(Inputs!$B$31/2))*(Inputs!$B$31-O11)),$D$6))</f>
        <v xml:space="preserve"> </v>
      </c>
      <c r="P12" s="33" t="str">
        <f>IF(Inputs!$B$31&lt;P11," ",IF(Inputs!$B$47="Yes",IF(P11&lt;(Inputs!$B$31/2),$D$6,$D$21+(($D$6-$D$21)/(Inputs!$B$31/2))*(Inputs!$B$31-P11)),$D$6))</f>
        <v xml:space="preserve"> </v>
      </c>
      <c r="Q12" s="33" t="str">
        <f>IF(Inputs!$B$31&lt;Q11," ",IF(Inputs!$B$47="Yes",IF(Q11&lt;(Inputs!$B$31/2),$D$6,$D$21+(($D$6-$D$21)/(Inputs!$B$31/2))*(Inputs!$B$31-Q11)),$D$6))</f>
        <v xml:space="preserve"> </v>
      </c>
    </row>
    <row r="13" spans="1:17" s="10" customFormat="1" ht="20" customHeight="1">
      <c r="B13" s="28" t="s">
        <v>528</v>
      </c>
      <c r="C13" s="33">
        <f>IF(Inputs!$B$31&lt;C11," ",IF(Inputs!$B$47="Yes",IF(C11&lt;(Inputs!$B$31/2),$D$7,$D$22+(($D$7-$D$22)/(Inputs!$B$31/2))*(Inputs!$B$31-C11)),$D$8))</f>
        <v>0.32590903693148077</v>
      </c>
      <c r="D13" s="33">
        <f>IF(Inputs!$B$31&lt;D11," ",IF(Inputs!$B$47="Yes",IF(D11&lt;(Inputs!$B$31/2),$D$7,$D$22+(($D$7-$D$22)/(Inputs!$B$31/2))*(Inputs!$B$31-D11)),$D$8))</f>
        <v>0.32590903693148077</v>
      </c>
      <c r="E13" s="33">
        <f>IF(Inputs!$B$31&lt;E11," ",IF(Inputs!$B$47="Yes",IF(E11&lt;(Inputs!$B$31/2),$D$7,$D$22+(($D$7-$D$22)/(Inputs!$B$31/2))*(Inputs!$B$31-E11)),$D$8))</f>
        <v>0.32590903693148077</v>
      </c>
      <c r="F13" s="33">
        <f>IF(Inputs!$B$31&lt;F11," ",IF(Inputs!$B$47="Yes",IF(F11&lt;(Inputs!$B$31/2),$D$7,$D$22+(($D$7-$D$22)/(Inputs!$B$31/2))*(Inputs!$B$31-F11)),$D$8))</f>
        <v>0.32590903693148077</v>
      </c>
      <c r="G13" s="33">
        <f>IF(Inputs!$B$31&lt;G11," ",IF(Inputs!$B$47="Yes",IF(G11&lt;(Inputs!$B$31/2),$D$7,$D$22+(($D$7-$D$22)/(Inputs!$B$31/2))*(Inputs!$B$31-G11)),$D$8))</f>
        <v>0.32590903693148077</v>
      </c>
      <c r="H13" s="33">
        <f>IF(Inputs!$B$31&lt;H11," ",IF(Inputs!$B$47="Yes",IF(H11&lt;(Inputs!$B$31/2),$D$7,$D$22+(($D$7-$D$22)/(Inputs!$B$31/2))*(Inputs!$B$31-H11)),$D$8))</f>
        <v>0.28072722954518459</v>
      </c>
      <c r="I13" s="33">
        <f>IF(Inputs!$B$31&lt;I11," ",IF(Inputs!$B$47="Yes",IF(I11&lt;(Inputs!$B$31/2),$D$7,$D$22+(($D$7-$D$22)/(Inputs!$B$31/2))*(Inputs!$B$31-I11)),$D$8))</f>
        <v>0.23554542215888846</v>
      </c>
      <c r="J13" s="33">
        <f>IF(Inputs!$B$31&lt;J11," ",IF(Inputs!$B$47="Yes",IF(J11&lt;(Inputs!$B$31/2),$D$7,$D$22+(($D$7-$D$22)/(Inputs!$B$31/2))*(Inputs!$B$31-J11)),$D$8))</f>
        <v>0.19036361477259231</v>
      </c>
      <c r="K13" s="33">
        <f>IF(Inputs!$B$31&lt;K11," ",IF(Inputs!$B$47="Yes",IF(K11&lt;(Inputs!$B$31/2),$D$7,$D$22+(($D$7-$D$22)/(Inputs!$B$31/2))*(Inputs!$B$31-K11)),$D$8))</f>
        <v>0.14518180738629616</v>
      </c>
      <c r="L13" s="33">
        <f>IF(Inputs!$B$31&lt;L11," ",IF(Inputs!$B$47="Yes",IF(L11&lt;(Inputs!$B$31/2),$D$7,$D$22+(($D$7-$D$22)/(Inputs!$B$31/2))*(Inputs!$B$31-L11)),$D$8))</f>
        <v>0.1</v>
      </c>
      <c r="M13" s="33" t="str">
        <f>IF(Inputs!$B$31&lt;M11," ",IF(Inputs!$B$47="Yes",IF(M11&lt;(Inputs!$B$31/2),$D$7,$D$22+(($D$7-$D$22)/(Inputs!$B$31/2))*(Inputs!$B$31-M11)),$D$8))</f>
        <v xml:space="preserve"> </v>
      </c>
      <c r="N13" s="33" t="str">
        <f>IF(Inputs!$B$31&lt;N11," ",IF(Inputs!$B$47="Yes",IF(N11&lt;(Inputs!$B$31/2),$D$7,$D$22+(($D$7-$D$22)/(Inputs!$B$31/2))*(Inputs!$B$31-N11)),$D$8))</f>
        <v xml:space="preserve"> </v>
      </c>
      <c r="O13" s="33" t="str">
        <f>IF(Inputs!$B$31&lt;O11," ",IF(Inputs!$B$47="Yes",IF(O11&lt;(Inputs!$B$31/2),$D$7,$D$22+(($D$7-$D$22)/(Inputs!$B$31/2))*(Inputs!$B$31-O11)),$D$8))</f>
        <v xml:space="preserve"> </v>
      </c>
      <c r="P13" s="33" t="str">
        <f>IF(Inputs!$B$31&lt;P11," ",IF(Inputs!$B$47="Yes",IF(P11&lt;(Inputs!$B$31/2),$D$7,$D$22+(($D$7-$D$22)/(Inputs!$B$31/2))*(Inputs!$B$31-P11)),$D$8))</f>
        <v xml:space="preserve"> </v>
      </c>
      <c r="Q13" s="33" t="str">
        <f>IF(Inputs!$B$31&lt;Q11," ",IF(Inputs!$B$47="Yes",IF(Q11&lt;(Inputs!$B$31/2),$D$7,$D$22+(($D$7-$D$22)/(Inputs!$B$31/2))*(Inputs!$B$31-Q11)),$D$8))</f>
        <v xml:space="preserve"> </v>
      </c>
    </row>
    <row r="14" spans="1:17" s="10" customFormat="1" ht="20" customHeight="1">
      <c r="B14" s="28" t="s">
        <v>106</v>
      </c>
      <c r="C14" s="27">
        <f>IF(Inputs!$B$31&lt;C11," ",D5*(1+D12))</f>
        <v>480.19718988243642</v>
      </c>
      <c r="D14" s="27">
        <f>IF(Inputs!$B$31&lt;D11," ",C14*(1+D12))</f>
        <v>527.17542196785155</v>
      </c>
      <c r="E14" s="27">
        <f>IF(Inputs!$B$31&lt;E11," ",D14*(1+E12))</f>
        <v>578.74958742474564</v>
      </c>
      <c r="F14" s="27">
        <f>IF(Inputs!$B$31&lt;F11," ",E14*(1+F12))</f>
        <v>635.3693115927158</v>
      </c>
      <c r="G14" s="27">
        <f>IF(Inputs!$B$31&lt;G11," ",F14*(1+G12))</f>
        <v>697.52820716488816</v>
      </c>
      <c r="H14" s="27">
        <f>IF(Inputs!$B$31&lt;H11," ",G14*(1+H12))</f>
        <v>757.70040910651358</v>
      </c>
      <c r="I14" s="27">
        <f>IF(Inputs!$B$31&lt;I11," ",H14*(1+I12))</f>
        <v>814.29962644969999</v>
      </c>
      <c r="J14" s="27">
        <f>IF(Inputs!$B$31&lt;J11," ",I14*(1+J12))</f>
        <v>865.70835742885311</v>
      </c>
      <c r="K14" s="27">
        <f>IF(Inputs!$B$31&lt;K11," ",J14*(1+K12))</f>
        <v>910.34966965270394</v>
      </c>
      <c r="L14" s="27">
        <f>IF(Inputs!$B$31&lt;L11," ",K14*(1+L12))</f>
        <v>946.76365643881218</v>
      </c>
      <c r="M14" s="27" t="str">
        <f>IF(Inputs!$B$31&lt;M11," ",L14*(1+M12))</f>
        <v xml:space="preserve"> </v>
      </c>
      <c r="N14" s="27" t="str">
        <f>IF(Inputs!$B$31&lt;N11," ",M14*(1+N12))</f>
        <v xml:space="preserve"> </v>
      </c>
      <c r="O14" s="27" t="str">
        <f>IF(Inputs!$B$31&lt;O11," ",N14*(1+O12))</f>
        <v xml:space="preserve"> </v>
      </c>
      <c r="P14" s="27" t="str">
        <f>IF(Inputs!$B$31&lt;P11," ",O14*(1+P12))</f>
        <v xml:space="preserve"> </v>
      </c>
      <c r="Q14" s="27" t="str">
        <f>IF(Inputs!$B$31&lt;Q11," ",P14*(1+Q12))</f>
        <v xml:space="preserve"> </v>
      </c>
    </row>
    <row r="15" spans="1:17" s="10" customFormat="1" ht="20" customHeight="1">
      <c r="B15" s="28" t="s">
        <v>0</v>
      </c>
      <c r="C15" s="20">
        <f>IF(Inputs!$B$31&lt;C11," ",IF(Inputs!$B$47="Yes",IF(C11&lt;(Inputs!$B$31/2),$D$8,$D$23+(($D$8-$D$23)/(Inputs!$B$31/2))*(Inputs!$B$31-C11)),$D$8))</f>
        <v>0.30017923878385716</v>
      </c>
      <c r="D15" s="20">
        <f>IF(Inputs!$B$31&lt;D11," ",IF(Inputs!$B$47="Yes",IF(D11&lt;(Inputs!$B$31/2),$D$8,$D$23+(($D$8-$D$23)/(Inputs!$B$31/2))*(Inputs!$B$31-D11)),$D$8))</f>
        <v>0.30017923878385716</v>
      </c>
      <c r="E15" s="20">
        <f>IF(Inputs!$B$31&lt;E11," ",IF(Inputs!$B$47="Yes",IF(E11&lt;(Inputs!$B$31/2),$D$8,$D$23+(($D$8-$D$23)/(Inputs!$B$31/2))*(Inputs!$B$31-E11)),$D$8))</f>
        <v>0.30017923878385716</v>
      </c>
      <c r="F15" s="20">
        <f>IF(Inputs!$B$31&lt;F11," ",IF(Inputs!$B$47="Yes",IF(F11&lt;(Inputs!$B$31/2),$D$8,$D$23+(($D$8-$D$23)/(Inputs!$B$31/2))*(Inputs!$B$31-F11)),$D$8))</f>
        <v>0.30017923878385716</v>
      </c>
      <c r="G15" s="20">
        <f>IF(Inputs!$B$31&lt;G11," ",IF(Inputs!$B$47="Yes",IF(G11&lt;(Inputs!$B$31/2),$D$8,$D$23+(($D$8-$D$23)/(Inputs!$B$31/2))*(Inputs!$B$31-G11)),$D$8))</f>
        <v>0.30017923878385716</v>
      </c>
      <c r="H15" s="20">
        <f>IF(Inputs!$B$31&lt;H11," ",IF(Inputs!$B$47="Yes",IF(H11&lt;(Inputs!$B$31/2),$D$8,$D$23+(($D$8-$D$23)/(Inputs!$B$31/2))*(Inputs!$B$31-H11)),$D$8))</f>
        <v>0.32014339102708572</v>
      </c>
      <c r="I15" s="20">
        <f>IF(Inputs!$B$31&lt;I11," ",IF(Inputs!$B$47="Yes",IF(I11&lt;(Inputs!$B$31/2),$D$8,$D$23+(($D$8-$D$23)/(Inputs!$B$31/2))*(Inputs!$B$31-I11)),$D$8))</f>
        <v>0.34010754327031428</v>
      </c>
      <c r="J15" s="20">
        <f>IF(Inputs!$B$31&lt;J11," ",IF(Inputs!$B$47="Yes",IF(J11&lt;(Inputs!$B$31/2),$D$8,$D$23+(($D$8-$D$23)/(Inputs!$B$31/2))*(Inputs!$B$31-J11)),$D$8))</f>
        <v>0.36007169551354284</v>
      </c>
      <c r="K15" s="20">
        <f>IF(Inputs!$B$31&lt;K11," ",IF(Inputs!$B$47="Yes",IF(K11&lt;(Inputs!$B$31/2),$D$8,$D$23+(($D$8-$D$23)/(Inputs!$B$31/2))*(Inputs!$B$31-K11)),$D$8))</f>
        <v>0.38003584775677141</v>
      </c>
      <c r="L15" s="20">
        <f>IF(Inputs!$B$31&lt;L11," ",IF(Inputs!$B$47="Yes",IF(L11&lt;(Inputs!$B$31/2),$D$8,$D$23+(($D$8-$D$23)/(Inputs!$B$31/2))*(Inputs!$B$31-L11)),$D$8))</f>
        <v>0.39999999999999997</v>
      </c>
      <c r="M15" s="20" t="str">
        <f>IF(Inputs!$B$31&lt;M11," ",IF(Inputs!$B$47="Yes",IF(M11&lt;(Inputs!$B$31/2),$D$8,$D$23+(($D$8-$D$23)/(Inputs!$B$31/2))*(Inputs!$B$31-M11)),$D$8))</f>
        <v xml:space="preserve"> </v>
      </c>
      <c r="N15" s="20" t="str">
        <f>IF(Inputs!$B$31&lt;N11," ",IF(Inputs!$B$47="Yes",IF(N11&lt;(Inputs!$B$31/2),$D$8,$D$23+(($D$8-$D$23)/(Inputs!$B$31/2))*(Inputs!$B$31-N11)),$D$8))</f>
        <v xml:space="preserve"> </v>
      </c>
      <c r="O15" s="20" t="str">
        <f>IF(Inputs!$B$31&lt;O11," ",IF(Inputs!$B$47="Yes",IF(O11&lt;(Inputs!$B$31/2),$D$8,$D$23+(($D$8-$D$23)/(Inputs!$B$31/2))*(Inputs!$B$31-O11)),$D$8))</f>
        <v xml:space="preserve"> </v>
      </c>
      <c r="P15" s="20" t="str">
        <f>IF(Inputs!$B$31&lt;P11," ",IF(Inputs!$B$47="Yes",IF(P11&lt;(Inputs!$B$31/2),$D$8,$D$23+(($D$8-$D$23)/(Inputs!$B$31/2))*(Inputs!$B$31-P11)),$D$8))</f>
        <v xml:space="preserve"> </v>
      </c>
      <c r="Q15" s="20" t="str">
        <f>IF(Inputs!$B$31&lt;Q11," ",IF(Inputs!$B$47="Yes",IF(Q11&lt;(Inputs!$B$31/2),$D$8,$D$23+(($D$8-$D$23)/(Inputs!$B$31/2))*(Inputs!$B$31-Q11)),$D$8))</f>
        <v xml:space="preserve"> </v>
      </c>
    </row>
    <row r="16" spans="1:17" s="10" customFormat="1" ht="20" customHeight="1">
      <c r="B16" s="28" t="s">
        <v>54</v>
      </c>
      <c r="C16" s="27">
        <f>IF(Inputs!$B$31&lt;C11," ",C14*(1-C15))</f>
        <v>336.05196295737937</v>
      </c>
      <c r="D16" s="27">
        <f>IF(Inputs!$B$31&lt;D11," ",D14*(1-D15))</f>
        <v>368.92830509598321</v>
      </c>
      <c r="E16" s="27">
        <f>IF(Inputs!$B$31&lt;E11," ",E14*(1-E15))</f>
        <v>405.02097682511413</v>
      </c>
      <c r="F16" s="27">
        <f>IF(Inputs!$B$31&lt;F11," ",F14*(1-F15))</f>
        <v>444.64463529219108</v>
      </c>
      <c r="G16" s="27">
        <f>IF(Inputs!$B$31&lt;G11," ",G14*(1-G15))</f>
        <v>488.14472090786347</v>
      </c>
      <c r="H16" s="27">
        <f>IF(Inputs!$B$31&lt;H11," ",H14*(1-H15))</f>
        <v>515.12763075254418</v>
      </c>
      <c r="I16" s="27">
        <f>IF(Inputs!$B$31&lt;I11," ",I14*(1-I15))</f>
        <v>537.35018101195794</v>
      </c>
      <c r="J16" s="27">
        <f>IF(Inputs!$B$31&lt;J11," ",J14*(1-J15))</f>
        <v>553.99128134920181</v>
      </c>
      <c r="K16" s="27">
        <f>IF(Inputs!$B$31&lt;K11," ",K14*(1-K15))</f>
        <v>564.38416119114186</v>
      </c>
      <c r="L16" s="27">
        <f>IF(Inputs!$B$31&lt;L11," ",L14*(1-L15))</f>
        <v>568.05819386328744</v>
      </c>
      <c r="M16" s="27" t="str">
        <f>IF(Inputs!$B$31&lt;M11," ",M14*M15)</f>
        <v xml:space="preserve"> </v>
      </c>
      <c r="N16" s="27" t="str">
        <f>IF(Inputs!$B$31&lt;N11," ",N14*N15)</f>
        <v xml:space="preserve"> </v>
      </c>
      <c r="O16" s="27" t="str">
        <f>IF(Inputs!$B$31&lt;O11," ",O14*O15)</f>
        <v xml:space="preserve"> </v>
      </c>
      <c r="P16" s="27" t="str">
        <f>IF(Inputs!$B$31&lt;P11," ",P14*P15)</f>
        <v xml:space="preserve"> </v>
      </c>
      <c r="Q16" s="27" t="str">
        <f>IF(Inputs!$B$31&lt;Q11," ",Q14*Q15)</f>
        <v xml:space="preserve"> </v>
      </c>
    </row>
    <row r="17" spans="2:17" s="10" customFormat="1" ht="20" customHeight="1">
      <c r="B17" s="28" t="s">
        <v>58</v>
      </c>
      <c r="C17" s="20">
        <f>IF(Inputs!$B$31&lt;C11," ",IF(Inputs!$B$47="Yes",IF(C11&lt;(Inputs!$B$31/2),$D$3,$D$24+(($D$3-$D$24)/(Inputs!$B$31/2))*(Inputs!$B$31-C11)),$D$3))</f>
        <v>9.6151427146960233E-2</v>
      </c>
      <c r="D17" s="20">
        <f>IF(Inputs!$B$31&lt;D11," ",IF(Inputs!$B$47="Yes",IF(D11&lt;(Inputs!$B$31/2),$D$3,$D$24+(($D$3-$D$24)/(Inputs!$B$31/2))*(Inputs!$B$31-D11)),$D$3))</f>
        <v>9.6151427146960233E-2</v>
      </c>
      <c r="E17" s="20">
        <f>IF(Inputs!$B$31&lt;E11," ",IF(Inputs!$B$47="Yes",IF(E11&lt;(Inputs!$B$31/2),$D$3,$D$24+(($D$3-$D$24)/(Inputs!$B$31/2))*(Inputs!$B$31-E11)),$D$3))</f>
        <v>9.6151427146960233E-2</v>
      </c>
      <c r="F17" s="20">
        <f>IF(Inputs!$B$31&lt;F11," ",IF(Inputs!$B$47="Yes",IF(F11&lt;(Inputs!$B$31/2),$D$3,$D$24+(($D$3-$D$24)/(Inputs!$B$31/2))*(Inputs!$B$31-F11)),$D$3))</f>
        <v>9.6151427146960233E-2</v>
      </c>
      <c r="G17" s="20">
        <f>IF(Inputs!$B$31&lt;G11," ",IF(Inputs!$B$47="Yes",IF(G11&lt;(Inputs!$B$31/2),$D$3,$D$24+(($D$3-$D$24)/(Inputs!$B$31/2))*(Inputs!$B$31-G11)),$D$3))</f>
        <v>9.6151427146960233E-2</v>
      </c>
      <c r="H17" s="20">
        <f>IF(Inputs!$B$31&lt;H11," ",IF(Inputs!$B$47="Yes",IF(H11&lt;(Inputs!$B$31/2),$D$3,$D$24+(($D$3-$D$24)/(Inputs!$B$31/2))*(Inputs!$B$31-H11)),$D$3))</f>
        <v>9.6151427146960233E-2</v>
      </c>
      <c r="I17" s="20">
        <f>IF(Inputs!$B$31&lt;I11," ",IF(Inputs!$B$47="Yes",IF(I11&lt;(Inputs!$B$31/2),$D$3,$D$24+(($D$3-$D$24)/(Inputs!$B$31/2))*(Inputs!$B$31-I11)),$D$3))</f>
        <v>9.6151427146960233E-2</v>
      </c>
      <c r="J17" s="20">
        <f>IF(Inputs!$B$31&lt;J11," ",IF(Inputs!$B$47="Yes",IF(J11&lt;(Inputs!$B$31/2),$D$3,$D$24+(($D$3-$D$24)/(Inputs!$B$31/2))*(Inputs!$B$31-J11)),$D$3))</f>
        <v>9.6151427146960233E-2</v>
      </c>
      <c r="K17" s="20">
        <f>IF(Inputs!$B$31&lt;K11," ",IF(Inputs!$B$47="Yes",IF(K11&lt;(Inputs!$B$31/2),$D$3,$D$24+(($D$3-$D$24)/(Inputs!$B$31/2))*(Inputs!$B$31-K11)),$D$3))</f>
        <v>9.6151427146960233E-2</v>
      </c>
      <c r="L17" s="20">
        <f>IF(Inputs!$B$31&lt;L11," ",IF(Inputs!$B$47="Yes",IF(L11&lt;(Inputs!$B$31/2),$D$3,$D$24+(($D$3-$D$24)/(Inputs!$B$31/2))*(Inputs!$B$31-L11)),$D$3))</f>
        <v>9.6151427146960233E-2</v>
      </c>
      <c r="M17" s="20" t="str">
        <f>IF(Inputs!$B$31&lt;M11," ",IF(Inputs!$B$47="Yes",IF(M11&lt;(Inputs!$B$31/2),$D$3,$D$24+(($D$3-$D$24)/(Inputs!$B$31/2))*(Inputs!$B$31-M11)),$D$3))</f>
        <v xml:space="preserve"> </v>
      </c>
      <c r="N17" s="20" t="str">
        <f>IF(Inputs!$B$31&lt;N11," ",IF(Inputs!$B$47="Yes",IF(N11&lt;(Inputs!$B$31/2),$D$3,$D$24+(($D$3-$D$24)/(Inputs!$B$31/2))*(Inputs!$B$31-N11)),$D$3))</f>
        <v xml:space="preserve"> </v>
      </c>
      <c r="O17" s="20" t="str">
        <f>IF(Inputs!$B$31&lt;O11," ",IF(Inputs!$B$47="Yes",IF(O11&lt;(Inputs!$B$31/2),$D$3,$D$24+(($D$3-$D$24)/(Inputs!$B$31/2))*(Inputs!$B$31-O11)),$D$3))</f>
        <v xml:space="preserve"> </v>
      </c>
      <c r="P17" s="20" t="str">
        <f>IF(Inputs!$B$31&lt;P11," ",IF(Inputs!$B$47="Yes",IF(P11&lt;(Inputs!$B$31/2),$D$3,$D$24+(($D$3-$D$24)/(Inputs!$B$31/2))*(Inputs!$B$31-P11)),$D$3))</f>
        <v xml:space="preserve"> </v>
      </c>
      <c r="Q17" s="20" t="str">
        <f>IF(Inputs!$B$31&lt;Q11," ",IF(Inputs!$B$47="Yes",IF(Q11&lt;(Inputs!$B$31/2),$D$3,$D$24+(($D$3-$D$24)/(Inputs!$B$31/2))*(Inputs!$B$31-Q11)),$D$3))</f>
        <v xml:space="preserve"> </v>
      </c>
    </row>
    <row r="18" spans="2:17" s="10" customFormat="1" ht="20" customHeight="1">
      <c r="B18" s="28" t="s">
        <v>18</v>
      </c>
      <c r="C18" s="20">
        <f>IF(Inputs!$B$31&lt;C11," ",(1+C17))</f>
        <v>1.0961514271469603</v>
      </c>
      <c r="D18" s="20">
        <f>IF(Inputs!$B$31&lt;D11," ",(1+C17)*(1+D17))</f>
        <v>1.2015479512363179</v>
      </c>
      <c r="E18" s="20">
        <f>IF(Inputs!$B$31&lt;E11," ",(1+C17)*(1+D17)*(1+E17))</f>
        <v>1.3170785015331961</v>
      </c>
      <c r="F18" s="20">
        <f>IF(Inputs!$B$31&lt;F11," ",(1+C17)*(1+D17)*(1+E17)*(1+F17))</f>
        <v>1.4437174791201928</v>
      </c>
      <c r="G18" s="20">
        <f>IF(Inputs!$B$31&lt;G11," ",(1+C17)*(1+D17)*(1+E17)*(1+F17)*(1+G17))</f>
        <v>1.5825329751346113</v>
      </c>
      <c r="H18" s="20">
        <f>IF(Inputs!$B$31&lt;H11," ",(1+C17)*(1+D17)*(1+E17)*(1+F17)*(1+G17)*(1+H17))</f>
        <v>1.7346957792009292</v>
      </c>
      <c r="I18" s="20">
        <f>IF(Inputs!$B$31&lt;I11," ",(1+C17)*(1+D17)*(1+E17)*(1+F17)*(1+G17)*(1+H17)*(1+I17))</f>
        <v>1.9014892540369071</v>
      </c>
      <c r="J18" s="20">
        <f>IF(Inputs!$B$31&lt;J11," ",(1+C17)*(1+D17)*(1+E17)*(1+F17)*(1+G17)*(1+H17)*(1+I17)*(1+J17))</f>
        <v>2.0843201595171648</v>
      </c>
      <c r="K18" s="20">
        <f>IF(Inputs!$B$31&lt;K11," ",(1+C17)*(1+D17)*(1+E17)*(1+F17)*(1+G17)*(1+H17)*(1+I17)*(1+J17)*(1+K17))</f>
        <v>2.28473051748592</v>
      </c>
      <c r="L18" s="20">
        <f>IF(Inputs!$B$31&lt;L11," ",(1+C17)*(1+D17)*(1+E17)*(1+F17)*(1+G17)*(1+H17)*(1+I17)*(1+J17)*(1+K17)*(1+L17))</f>
        <v>2.5044106173884044</v>
      </c>
      <c r="M18" s="20" t="str">
        <f>IF(Inputs!$B$31&lt;M11," ",(1+C17)*(1+D17)*(1+E17)*(1+F17)*(1+G17)*(1+H17)*(1+I17)*(1+J17)*(1+K17)*(1+L17)*(1+M17))</f>
        <v xml:space="preserve"> </v>
      </c>
      <c r="N18" s="20" t="str">
        <f>IF(Inputs!$B$31&lt;N11," ",(1+C17)*(1+D17)*(1+E17)*(1+F17)*(1+G17)*(1+H17)*(1+I17)*(1+J17)*(1+K17)*(1+L17)*(1+M17)*(1+N17))</f>
        <v xml:space="preserve"> </v>
      </c>
      <c r="O18" s="20" t="str">
        <f>IF(Inputs!$B$31&lt;O11," ",(1+C17)*(1+D17)*(1+E17)*(1+F17)*(1+G17)*(1+H17)*(1+I17)*(1+J17)*(1+K17)*(1+L17)*(1+M17)*(1+N17)*(1+O17))</f>
        <v xml:space="preserve"> </v>
      </c>
      <c r="P18" s="20" t="str">
        <f>IF(Inputs!$B$31&lt;P11," ",(1+C17)*(1+D17)*(1+E17)*(1+F17)*(1+G17)*(1+H17)*(1+I17)*(1+J17)*(1+K17)*(1+L17)*(1+M17)*(1+N17)*(1+O17)*(1+P17))</f>
        <v xml:space="preserve"> </v>
      </c>
      <c r="Q18" s="20" t="str">
        <f>IF(Inputs!$B$31&lt;Q11," ",(1+C17)*(1+D17)*(1+E17)*(1+F17)*(1+G17)*(1+H17)*(1+I17)*(1+J17)*(1+K17)*(1+L17)*(1+M17)*(1+N17)*(1+O17)*(1+P17)*(1+Q17))</f>
        <v xml:space="preserve"> </v>
      </c>
    </row>
    <row r="19" spans="2:17" s="10" customFormat="1" ht="20" customHeight="1">
      <c r="B19" s="28" t="s">
        <v>17</v>
      </c>
      <c r="C19" s="27">
        <f>IF(Inputs!$B$31&lt;C11," ",C16/C18)</f>
        <v>306.57439714515385</v>
      </c>
      <c r="D19" s="27">
        <f>IF(Inputs!$B$31&lt;D11," ",D16/D18)</f>
        <v>307.04417973196911</v>
      </c>
      <c r="E19" s="27">
        <f>IF(Inputs!$B$31&lt;E11," ",E16/E18)</f>
        <v>307.51468219520234</v>
      </c>
      <c r="F19" s="27">
        <f>IF(Inputs!$B$31&lt;F11," ",F16/F18)</f>
        <v>307.98590563796409</v>
      </c>
      <c r="G19" s="27">
        <f>IF(Inputs!$B$31&lt;G11," ",G16/G18)</f>
        <v>308.45785116505488</v>
      </c>
      <c r="H19" s="27">
        <f>IF(Inputs!$B$31&lt;H11," ",H16/H18)</f>
        <v>296.95560278000602</v>
      </c>
      <c r="I19" s="27">
        <f>IF(Inputs!$B$31&lt;I11," ",I16/I18)</f>
        <v>282.59438220392292</v>
      </c>
      <c r="J19" s="27">
        <f>IF(Inputs!$B$31&lt;J11," ",J16/J18)</f>
        <v>265.78991659205298</v>
      </c>
      <c r="K19" s="27">
        <f>IF(Inputs!$B$31&lt;K11," ",K16/K18)</f>
        <v>247.02438947249715</v>
      </c>
      <c r="L19" s="27">
        <f>IF(Inputs!$B$31&lt;L11," ",L16/L18)</f>
        <v>226.82310557190405</v>
      </c>
      <c r="M19" s="27" t="str">
        <f>IF(Inputs!$B$31&lt;M11," ",M16/M18)</f>
        <v xml:space="preserve"> </v>
      </c>
      <c r="N19" s="27" t="str">
        <f>IF(Inputs!$B$31&lt;N11," ",N16/N18)</f>
        <v xml:space="preserve"> </v>
      </c>
      <c r="O19" s="27" t="str">
        <f>IF(Inputs!$B$31&lt;O11," ",O16/O18)</f>
        <v xml:space="preserve"> </v>
      </c>
      <c r="P19" s="27" t="str">
        <f>IF(Inputs!$B$31&lt;P11," ",P16/P18)</f>
        <v xml:space="preserve"> </v>
      </c>
      <c r="Q19" s="27" t="str">
        <f>IF(Inputs!$B$31&lt;Q11," ",Q16/Q18)</f>
        <v xml:space="preserve"> </v>
      </c>
    </row>
    <row r="20" spans="2:17" ht="20" customHeight="1">
      <c r="B20" s="10"/>
      <c r="C20" s="10"/>
      <c r="D20" s="10"/>
      <c r="E20" s="12"/>
      <c r="F20" s="12"/>
      <c r="G20" s="10"/>
    </row>
    <row r="21" spans="2:17" ht="20" customHeight="1">
      <c r="B21" s="10" t="s">
        <v>120</v>
      </c>
      <c r="C21" s="10"/>
      <c r="D21" s="21">
        <f>Inputs!B50</f>
        <v>0.04</v>
      </c>
      <c r="E21" s="12"/>
      <c r="F21" s="10"/>
    </row>
    <row r="22" spans="2:17" ht="20" customHeight="1">
      <c r="B22" s="10" t="s">
        <v>530</v>
      </c>
      <c r="C22" s="10"/>
      <c r="D22" s="21">
        <f>IF(Inputs!B43="Yes",Inputs!B45,'FCFE Valuation'!D7)</f>
        <v>0.1</v>
      </c>
      <c r="E22" s="12"/>
      <c r="F22" s="10"/>
    </row>
    <row r="23" spans="2:17" ht="20" customHeight="1">
      <c r="B23" s="10" t="s">
        <v>15</v>
      </c>
      <c r="C23" s="10"/>
      <c r="D23" s="21">
        <f>IF(Inputs!B53="No",Inputs!B52,Inputs!B54)</f>
        <v>0.39999999999999997</v>
      </c>
      <c r="E23" s="12"/>
      <c r="F23" s="10"/>
    </row>
    <row r="24" spans="2:17" ht="20" customHeight="1">
      <c r="B24" s="10" t="s">
        <v>121</v>
      </c>
      <c r="C24" s="10"/>
      <c r="D24" s="21">
        <f>IF(Inputs!B56="No",Inputs!B27+Inputs!B26*Inputs!B28,Inputs!B27+Inputs!B57*Inputs!B28)</f>
        <v>9.6151427146960233E-2</v>
      </c>
      <c r="E24" s="12"/>
      <c r="F24" s="40"/>
    </row>
    <row r="25" spans="2:17" s="1" customFormat="1" ht="20" customHeight="1">
      <c r="B25" s="18" t="s">
        <v>122</v>
      </c>
      <c r="C25" s="18"/>
      <c r="D25" s="26">
        <f>IF(Inputs!B31=0,D5*(1-D23)*(1+D21)/(D24-D21),MAX(C14:Q14)*(1+D21)*(1-D23)/(D24-D21))</f>
        <v>10521.202249617281</v>
      </c>
      <c r="E25" s="24"/>
      <c r="F25" s="18"/>
    </row>
    <row r="26" spans="2:17" ht="20" customHeight="1">
      <c r="B26" s="5"/>
      <c r="C26" s="5"/>
      <c r="D26" s="5"/>
      <c r="E26" s="6"/>
      <c r="F26" s="6"/>
      <c r="G26" s="5"/>
    </row>
    <row r="27" spans="2:17" s="37" customFormat="1" ht="20" customHeight="1">
      <c r="B27" s="122" t="s">
        <v>56</v>
      </c>
      <c r="C27" s="122"/>
      <c r="E27" s="39">
        <f>SUM(C19:Q19)</f>
        <v>2856.7644124957274</v>
      </c>
    </row>
    <row r="28" spans="2:17" s="37" customFormat="1" ht="20" customHeight="1">
      <c r="B28" s="122" t="s">
        <v>51</v>
      </c>
      <c r="C28" s="122"/>
      <c r="E28" s="39">
        <f>IF(Inputs!B31=0,'FCFE Valuation'!D25,D25/MAX(C18:Q18))</f>
        <v>4201.0691763432851</v>
      </c>
      <c r="G28" s="5"/>
    </row>
    <row r="29" spans="2:17" s="37" customFormat="1" ht="20" customHeight="1">
      <c r="B29" s="122" t="s">
        <v>25</v>
      </c>
      <c r="C29" s="122"/>
      <c r="E29" s="39">
        <f>E27+E28</f>
        <v>7057.833588839012</v>
      </c>
      <c r="G29" s="5"/>
    </row>
    <row r="30" spans="2:17" s="37" customFormat="1" ht="20" customHeight="1">
      <c r="B30" s="122" t="s">
        <v>88</v>
      </c>
      <c r="C30" s="122"/>
      <c r="E30" s="39">
        <f>Inputs!B10</f>
        <v>398.8</v>
      </c>
    </row>
    <row r="31" spans="2:17" s="37" customFormat="1" ht="20" customHeight="1">
      <c r="B31" s="122" t="s">
        <v>89</v>
      </c>
      <c r="C31" s="122"/>
      <c r="E31" s="39">
        <f>E29+E30</f>
        <v>7456.6335888390122</v>
      </c>
    </row>
    <row r="32" spans="2:17" s="37" customFormat="1" ht="20" customHeight="1">
      <c r="B32" s="122" t="s">
        <v>53</v>
      </c>
      <c r="C32" s="122"/>
      <c r="E32" s="44">
        <f>E31/Inputs!B12</f>
        <v>18.733848174356236</v>
      </c>
      <c r="F32" s="45"/>
    </row>
    <row r="33" spans="2:7" ht="20" customHeight="1">
      <c r="B33" s="5"/>
      <c r="C33" s="5"/>
      <c r="D33" s="5"/>
      <c r="E33" s="6"/>
      <c r="F33" s="6"/>
      <c r="G33" s="5"/>
    </row>
  </sheetData>
  <printOptions gridLinesSet="0"/>
  <pageMargins left="0.75" right="0.75" top="1" bottom="1" header="0.5" footer="0.5"/>
  <pageSetup orientation="portrait" horizontalDpi="0" verticalDpi="0" copies="0"/>
  <headerFooter alignWithMargins="0">
    <oddHeader>&amp;C Two-Stage Dividend Discount Model</oddHeader>
    <oddFooter>Page &amp;p</oddFooter>
  </headerFooter>
  <rowBreaks count="4" manualBreakCount="4">
    <brk id="19" max="65535" man="1"/>
    <brk id="72" max="65535" man="1"/>
    <brk id="80" max="65535" man="1"/>
    <brk id="107" max="65535"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9"/>
  <sheetViews>
    <sheetView workbookViewId="0">
      <selection activeCell="B3" sqref="B3"/>
    </sheetView>
  </sheetViews>
  <sheetFormatPr baseColWidth="10" defaultRowHeight="14"/>
  <cols>
    <col min="1" max="1" width="35.42578125" bestFit="1" customWidth="1"/>
  </cols>
  <sheetData>
    <row r="1" spans="1:10" s="5" customFormat="1" ht="16">
      <c r="A1" s="129" t="s">
        <v>110</v>
      </c>
      <c r="B1" s="129"/>
      <c r="C1" s="129"/>
      <c r="D1" s="129"/>
      <c r="E1" s="129"/>
      <c r="F1" s="129"/>
      <c r="G1" s="129"/>
      <c r="H1" s="129"/>
      <c r="I1" s="129"/>
      <c r="J1" s="129"/>
    </row>
    <row r="2" spans="1:10" s="10" customFormat="1" ht="13">
      <c r="A2" s="10" t="s">
        <v>109</v>
      </c>
      <c r="B2" s="16">
        <v>1</v>
      </c>
    </row>
    <row r="3" spans="1:10" s="10" customFormat="1" ht="13">
      <c r="A3" s="10" t="s">
        <v>97</v>
      </c>
    </row>
    <row r="4" spans="1:10" s="10" customFormat="1" ht="13">
      <c r="B4" s="25">
        <v>-5</v>
      </c>
      <c r="C4" s="25">
        <v>-4</v>
      </c>
      <c r="D4" s="25">
        <v>-3</v>
      </c>
      <c r="E4" s="25">
        <v>-2</v>
      </c>
      <c r="F4" s="25" t="s">
        <v>105</v>
      </c>
      <c r="G4" s="25" t="s">
        <v>107</v>
      </c>
    </row>
    <row r="5" spans="1:10" s="10" customFormat="1" ht="13">
      <c r="A5" s="10" t="s">
        <v>106</v>
      </c>
      <c r="B5" s="13"/>
      <c r="C5" s="13"/>
      <c r="D5" s="13">
        <v>553.54</v>
      </c>
      <c r="E5" s="13">
        <v>569.1</v>
      </c>
      <c r="F5" s="13">
        <v>249.6</v>
      </c>
      <c r="G5" s="27">
        <f>AVERAGE(B5:F5)</f>
        <v>457.41333333333324</v>
      </c>
    </row>
    <row r="6" spans="1:10" s="10" customFormat="1" ht="13"/>
    <row r="7" spans="1:10" s="10" customFormat="1" ht="13">
      <c r="A7" s="10" t="s">
        <v>104</v>
      </c>
    </row>
    <row r="8" spans="1:10" s="10" customFormat="1" ht="13">
      <c r="A8" s="10" t="s">
        <v>108</v>
      </c>
      <c r="B8" s="31">
        <v>0.22</v>
      </c>
    </row>
    <row r="9" spans="1:10" s="10" customFormat="1" ht="13"/>
  </sheetData>
  <mergeCells count="1">
    <mergeCell ref="A1:J1"/>
  </mergeCells>
  <pageMargins left="0.75" right="0.75" top="1" bottom="1" header="0.5" footer="0.5"/>
  <headerFooter alignWithMargins="0"/>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B25" sqref="B25"/>
    </sheetView>
  </sheetViews>
  <sheetFormatPr baseColWidth="10" defaultRowHeight="14"/>
  <cols>
    <col min="1" max="1" width="26.140625" bestFit="1" customWidth="1"/>
  </cols>
  <sheetData>
    <row r="1" spans="1:7">
      <c r="A1" t="s">
        <v>7</v>
      </c>
    </row>
    <row r="2" spans="1:7" s="10" customFormat="1" ht="13">
      <c r="A2" s="10" t="s">
        <v>109</v>
      </c>
      <c r="B2" s="16">
        <v>1</v>
      </c>
    </row>
    <row r="3" spans="1:7" s="10" customFormat="1" ht="13">
      <c r="A3" s="10" t="s">
        <v>9</v>
      </c>
    </row>
    <row r="4" spans="1:7" s="10" customFormat="1" ht="13">
      <c r="B4" s="25">
        <v>-5</v>
      </c>
      <c r="C4" s="25">
        <v>-4</v>
      </c>
      <c r="D4" s="25">
        <v>-3</v>
      </c>
      <c r="E4" s="25">
        <v>-2</v>
      </c>
      <c r="F4" s="25" t="s">
        <v>105</v>
      </c>
      <c r="G4" s="25" t="s">
        <v>107</v>
      </c>
    </row>
    <row r="5" spans="1:7" s="10" customFormat="1" ht="13">
      <c r="A5" s="10" t="s">
        <v>10</v>
      </c>
      <c r="B5" s="13"/>
      <c r="C5" s="13">
        <f>9989-7848</f>
        <v>2141</v>
      </c>
      <c r="D5" s="13">
        <f>11437-8310</f>
        <v>3127</v>
      </c>
      <c r="E5" s="13">
        <f>12859-9047</f>
        <v>3812</v>
      </c>
      <c r="F5" s="13">
        <f>11986-9767</f>
        <v>2219</v>
      </c>
      <c r="G5" s="27">
        <f>AVERAGE(B5:F5)</f>
        <v>2824.75</v>
      </c>
    </row>
    <row r="6" spans="1:7" s="10" customFormat="1" ht="13">
      <c r="A6" s="10" t="s">
        <v>11</v>
      </c>
      <c r="B6" s="13"/>
      <c r="C6" s="13">
        <v>21510</v>
      </c>
      <c r="D6" s="13">
        <v>14970</v>
      </c>
      <c r="E6" s="13">
        <v>23183</v>
      </c>
      <c r="F6" s="13">
        <v>35872</v>
      </c>
      <c r="G6" s="27">
        <f>AVERAGE(B6:F6)</f>
        <v>23883.75</v>
      </c>
    </row>
    <row r="7" spans="1:7" s="10" customFormat="1" ht="13">
      <c r="G7" s="21">
        <f>G5/G6</f>
        <v>0.11827079080965092</v>
      </c>
    </row>
    <row r="8" spans="1:7" s="15" customFormat="1" ht="13">
      <c r="A8" s="15" t="s">
        <v>68</v>
      </c>
    </row>
    <row r="9" spans="1:7" s="10" customFormat="1" ht="13">
      <c r="A9" s="10" t="s">
        <v>28</v>
      </c>
      <c r="B9" s="31">
        <v>0.22</v>
      </c>
    </row>
    <row r="11" spans="1:7">
      <c r="A11" t="s">
        <v>8</v>
      </c>
    </row>
    <row r="12" spans="1:7" s="10" customFormat="1" ht="13">
      <c r="A12" s="10" t="s">
        <v>109</v>
      </c>
      <c r="B12" s="16">
        <v>1</v>
      </c>
    </row>
    <row r="13" spans="1:7" s="15" customFormat="1" ht="13">
      <c r="A13" s="15" t="s">
        <v>97</v>
      </c>
    </row>
    <row r="14" spans="1:7" s="10" customFormat="1" ht="13">
      <c r="A14" s="10" t="s">
        <v>71</v>
      </c>
      <c r="B14" s="41">
        <f>(24309+8968+2068-15334-18263)</f>
        <v>1748</v>
      </c>
    </row>
    <row r="15" spans="1:7" s="10" customFormat="1" ht="13">
      <c r="A15" s="10" t="s">
        <v>74</v>
      </c>
      <c r="B15" s="41">
        <v>263989</v>
      </c>
    </row>
    <row r="16" spans="1:7" s="10" customFormat="1" ht="13">
      <c r="A16" s="10" t="s">
        <v>73</v>
      </c>
      <c r="B16" s="41">
        <v>213199</v>
      </c>
    </row>
    <row r="17" spans="1:4" s="10" customFormat="1" ht="13"/>
    <row r="18" spans="1:4" s="15" customFormat="1" ht="13">
      <c r="A18" s="15" t="s">
        <v>68</v>
      </c>
    </row>
    <row r="19" spans="1:4" s="10" customFormat="1" ht="13">
      <c r="A19" s="10" t="s">
        <v>70</v>
      </c>
      <c r="B19" s="31">
        <v>0.22</v>
      </c>
    </row>
    <row r="21" spans="1:4">
      <c r="A21" t="s">
        <v>76</v>
      </c>
    </row>
    <row r="22" spans="1:4" s="10" customFormat="1" ht="13">
      <c r="A22" s="10" t="s">
        <v>109</v>
      </c>
      <c r="B22" s="16">
        <v>1</v>
      </c>
    </row>
    <row r="23" spans="1:4" s="15" customFormat="1" ht="13">
      <c r="A23" s="15" t="s">
        <v>13</v>
      </c>
    </row>
    <row r="24" spans="1:4" s="10" customFormat="1" ht="16">
      <c r="A24" s="10" t="s">
        <v>77</v>
      </c>
      <c r="B24" s="41">
        <f>3280+5013</f>
        <v>8293</v>
      </c>
      <c r="D24" s="5"/>
    </row>
    <row r="25" spans="1:4" s="10" customFormat="1" ht="13"/>
    <row r="26" spans="1:4" s="15" customFormat="1" ht="13">
      <c r="A26" s="15" t="s">
        <v>68</v>
      </c>
    </row>
    <row r="27" spans="1:4" s="10" customFormat="1" ht="13">
      <c r="A27" s="10" t="s">
        <v>38</v>
      </c>
      <c r="B27" s="31">
        <v>0.15</v>
      </c>
    </row>
  </sheetData>
  <pageMargins left="0.75" right="0.75" top="1" bottom="1" header="0.5" footer="0.5"/>
  <pageSetup paperSize="0" orientation="portrait" horizontalDpi="4294967292" verticalDpi="4294967292"/>
  <headerFooter alignWithMargins="0"/>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40"/>
  <sheetViews>
    <sheetView workbookViewId="0">
      <selection activeCell="D39" sqref="D39"/>
    </sheetView>
  </sheetViews>
  <sheetFormatPr baseColWidth="10" defaultRowHeight="14"/>
  <sheetData>
    <row r="1" spans="1:11" ht="18">
      <c r="A1" s="8" t="s">
        <v>132</v>
      </c>
      <c r="B1" s="8"/>
      <c r="C1" s="8"/>
      <c r="D1" s="8"/>
      <c r="E1" s="8"/>
      <c r="F1" s="8"/>
      <c r="G1" s="8"/>
      <c r="H1" s="8"/>
      <c r="I1" s="8"/>
      <c r="J1" s="8"/>
      <c r="K1" s="83"/>
    </row>
    <row r="2" spans="1:11">
      <c r="A2" s="10" t="s">
        <v>133</v>
      </c>
      <c r="B2" s="10"/>
      <c r="C2" s="10"/>
      <c r="D2" s="10"/>
      <c r="E2" s="10"/>
      <c r="F2" s="10"/>
      <c r="G2" s="10"/>
      <c r="H2" s="10"/>
      <c r="I2" s="10"/>
      <c r="J2" s="10"/>
      <c r="K2" s="10"/>
    </row>
    <row r="3" spans="1:11">
      <c r="A3" s="10" t="s">
        <v>134</v>
      </c>
      <c r="B3" s="10"/>
      <c r="C3" s="10"/>
      <c r="D3" s="10"/>
      <c r="E3" s="10"/>
      <c r="F3" s="10"/>
      <c r="G3" s="10"/>
      <c r="H3" s="10"/>
      <c r="I3" s="10"/>
      <c r="J3" s="10"/>
      <c r="K3" s="10"/>
    </row>
    <row r="4" spans="1:11">
      <c r="A4" s="10"/>
      <c r="B4" s="10"/>
      <c r="C4" s="10"/>
      <c r="D4" s="10"/>
      <c r="E4" s="10"/>
      <c r="F4" s="10"/>
      <c r="G4" s="10"/>
      <c r="H4" s="10"/>
      <c r="I4" s="10"/>
      <c r="J4" s="10"/>
      <c r="K4" s="10"/>
    </row>
    <row r="5" spans="1:11">
      <c r="A5" s="18" t="s">
        <v>135</v>
      </c>
      <c r="B5" s="10"/>
      <c r="C5" s="10"/>
      <c r="D5" s="10"/>
      <c r="E5" s="10"/>
      <c r="F5" s="10"/>
      <c r="G5" s="10"/>
      <c r="H5" s="10"/>
      <c r="I5" s="10"/>
      <c r="J5" s="10"/>
      <c r="K5" s="10"/>
    </row>
    <row r="6" spans="1:11">
      <c r="A6" s="10" t="s">
        <v>136</v>
      </c>
      <c r="B6" s="10"/>
      <c r="C6" s="10"/>
      <c r="D6" s="10"/>
      <c r="E6" s="10"/>
      <c r="F6" s="16">
        <v>5</v>
      </c>
      <c r="G6" s="10" t="s">
        <v>137</v>
      </c>
      <c r="H6" s="10"/>
      <c r="I6" s="10"/>
      <c r="J6" s="10"/>
      <c r="K6" s="10"/>
    </row>
    <row r="7" spans="1:11">
      <c r="A7" s="10" t="s">
        <v>138</v>
      </c>
      <c r="B7" s="10"/>
      <c r="C7" s="10"/>
      <c r="D7" s="10"/>
      <c r="E7" s="10"/>
      <c r="F7" s="88">
        <v>9000</v>
      </c>
      <c r="G7" s="10" t="s">
        <v>139</v>
      </c>
      <c r="H7" s="10"/>
      <c r="I7" s="10"/>
      <c r="J7" s="10"/>
      <c r="K7" s="10"/>
    </row>
    <row r="8" spans="1:11">
      <c r="A8" s="10" t="s">
        <v>140</v>
      </c>
      <c r="B8" s="10"/>
      <c r="C8" s="10"/>
      <c r="D8" s="10"/>
      <c r="E8" s="10"/>
      <c r="F8" s="10"/>
      <c r="G8" s="10"/>
      <c r="H8" s="10"/>
      <c r="I8" s="10"/>
      <c r="J8" s="10"/>
      <c r="K8" s="10"/>
    </row>
    <row r="9" spans="1:11">
      <c r="A9" s="10" t="s">
        <v>141</v>
      </c>
      <c r="B9" s="10"/>
      <c r="C9" s="10"/>
      <c r="D9" s="10"/>
      <c r="E9" s="10"/>
      <c r="F9" s="10"/>
      <c r="G9" s="10"/>
      <c r="H9" s="10"/>
      <c r="I9" s="10"/>
      <c r="J9" s="10"/>
      <c r="K9" s="10"/>
    </row>
    <row r="10" spans="1:11">
      <c r="A10" s="50" t="s">
        <v>142</v>
      </c>
      <c r="B10" s="50" t="s">
        <v>143</v>
      </c>
      <c r="C10" s="51"/>
      <c r="D10" s="51"/>
      <c r="E10" s="51"/>
      <c r="F10" s="51"/>
      <c r="G10" s="51"/>
      <c r="H10" s="51"/>
      <c r="I10" s="51"/>
      <c r="J10" s="52"/>
      <c r="K10" s="52"/>
    </row>
    <row r="11" spans="1:11">
      <c r="A11" s="84">
        <v>-1</v>
      </c>
      <c r="B11" s="89">
        <v>8000</v>
      </c>
      <c r="C11" s="51" t="s">
        <v>144</v>
      </c>
      <c r="D11" s="51"/>
      <c r="E11" s="51"/>
      <c r="F11" s="51"/>
      <c r="G11" s="51"/>
      <c r="H11" s="51"/>
      <c r="I11" s="51"/>
      <c r="J11" s="52"/>
      <c r="K11" s="52"/>
    </row>
    <row r="12" spans="1:11">
      <c r="A12" s="84">
        <f>IF((0-A11)&lt;$F$6,IF(A11&gt;-1,,A11-1),)</f>
        <v>-2</v>
      </c>
      <c r="B12" s="89">
        <v>7500</v>
      </c>
      <c r="C12" s="51" t="s">
        <v>145</v>
      </c>
      <c r="D12" s="51"/>
      <c r="E12" s="51"/>
      <c r="F12" s="51"/>
      <c r="G12" s="51"/>
      <c r="H12" s="51"/>
      <c r="I12" s="51"/>
      <c r="J12" s="52"/>
      <c r="K12" s="52"/>
    </row>
    <row r="13" spans="1:11">
      <c r="A13" s="84">
        <f t="shared" ref="A13:A20" si="0">IF((0-A12)&lt;$F$6,IF(A12&gt;-1,,A12-1),)</f>
        <v>-3</v>
      </c>
      <c r="B13" s="89">
        <v>7000</v>
      </c>
      <c r="C13" s="51"/>
      <c r="D13" s="51"/>
      <c r="E13" s="51"/>
      <c r="F13" s="51"/>
      <c r="G13" s="51"/>
      <c r="H13" s="51"/>
      <c r="I13" s="51"/>
      <c r="J13" s="52"/>
      <c r="K13" s="52"/>
    </row>
    <row r="14" spans="1:11">
      <c r="A14" s="84">
        <f t="shared" si="0"/>
        <v>-4</v>
      </c>
      <c r="B14" s="89">
        <v>6500</v>
      </c>
      <c r="C14" s="51"/>
      <c r="D14" s="51"/>
      <c r="E14" s="51"/>
      <c r="F14" s="51"/>
      <c r="G14" s="51"/>
      <c r="H14" s="51"/>
      <c r="I14" s="51"/>
      <c r="J14" s="52"/>
      <c r="K14" s="52"/>
    </row>
    <row r="15" spans="1:11">
      <c r="A15" s="84">
        <f t="shared" si="0"/>
        <v>-5</v>
      </c>
      <c r="B15" s="89">
        <v>6000</v>
      </c>
      <c r="C15" s="51"/>
      <c r="D15" s="51"/>
      <c r="E15" s="51"/>
      <c r="F15" s="51"/>
      <c r="G15" s="51"/>
      <c r="H15" s="51"/>
      <c r="I15" s="51"/>
      <c r="J15" s="52"/>
      <c r="K15" s="52"/>
    </row>
    <row r="16" spans="1:11">
      <c r="A16" s="84">
        <f t="shared" si="0"/>
        <v>0</v>
      </c>
      <c r="B16" s="89"/>
      <c r="C16" s="51"/>
      <c r="D16" s="51"/>
      <c r="E16" s="51"/>
      <c r="F16" s="51"/>
      <c r="G16" s="51"/>
      <c r="H16" s="51"/>
      <c r="I16" s="51"/>
      <c r="J16" s="52"/>
      <c r="K16" s="52"/>
    </row>
    <row r="17" spans="1:11">
      <c r="A17" s="84">
        <f t="shared" si="0"/>
        <v>0</v>
      </c>
      <c r="B17" s="89"/>
      <c r="C17" s="51"/>
      <c r="D17" s="51"/>
      <c r="E17" s="51"/>
      <c r="F17" s="51"/>
      <c r="G17" s="51"/>
      <c r="H17" s="51"/>
      <c r="I17" s="51"/>
      <c r="J17" s="52"/>
      <c r="K17" s="52"/>
    </row>
    <row r="18" spans="1:11">
      <c r="A18" s="84">
        <f t="shared" si="0"/>
        <v>0</v>
      </c>
      <c r="B18" s="89"/>
      <c r="C18" s="51"/>
      <c r="D18" s="51"/>
      <c r="E18" s="51"/>
      <c r="F18" s="51"/>
      <c r="G18" s="51"/>
      <c r="H18" s="51"/>
      <c r="I18" s="51"/>
      <c r="J18" s="52"/>
      <c r="K18" s="52"/>
    </row>
    <row r="19" spans="1:11">
      <c r="A19" s="84">
        <f t="shared" si="0"/>
        <v>0</v>
      </c>
      <c r="B19" s="89"/>
      <c r="C19" s="51"/>
      <c r="D19" s="51"/>
      <c r="E19" s="51"/>
      <c r="F19" s="51"/>
      <c r="G19" s="51"/>
      <c r="H19" s="51"/>
      <c r="I19" s="51"/>
      <c r="J19" s="52"/>
      <c r="K19" s="52"/>
    </row>
    <row r="20" spans="1:11">
      <c r="A20" s="84">
        <f t="shared" si="0"/>
        <v>0</v>
      </c>
      <c r="B20" s="89"/>
      <c r="C20" s="51"/>
      <c r="D20" s="51"/>
      <c r="E20" s="51"/>
      <c r="F20" s="51"/>
      <c r="G20" s="51"/>
      <c r="H20" s="51"/>
      <c r="I20" s="51"/>
      <c r="J20" s="52"/>
      <c r="K20" s="52"/>
    </row>
    <row r="21" spans="1:11">
      <c r="A21" s="51"/>
      <c r="B21" s="51"/>
      <c r="C21" s="51"/>
      <c r="D21" s="51"/>
      <c r="E21" s="51"/>
      <c r="F21" s="51"/>
      <c r="G21" s="51"/>
      <c r="H21" s="51"/>
      <c r="I21" s="51"/>
      <c r="J21" s="52"/>
      <c r="K21" s="52"/>
    </row>
    <row r="22" spans="1:11">
      <c r="A22" s="53" t="s">
        <v>146</v>
      </c>
      <c r="B22" s="51"/>
      <c r="C22" s="51"/>
      <c r="D22" s="51"/>
      <c r="E22" s="51"/>
      <c r="F22" s="51"/>
      <c r="G22" s="51"/>
      <c r="H22" s="51"/>
      <c r="I22" s="51"/>
      <c r="J22" s="52"/>
      <c r="K22" s="52"/>
    </row>
    <row r="23" spans="1:11">
      <c r="A23" s="50" t="s">
        <v>142</v>
      </c>
      <c r="B23" s="50" t="s">
        <v>147</v>
      </c>
      <c r="C23" s="54" t="s">
        <v>148</v>
      </c>
      <c r="D23" s="85"/>
      <c r="E23" s="51" t="s">
        <v>149</v>
      </c>
      <c r="F23" s="51"/>
      <c r="G23" s="51"/>
      <c r="H23" s="51"/>
      <c r="I23" s="51"/>
      <c r="J23" s="52"/>
      <c r="K23" s="52"/>
    </row>
    <row r="24" spans="1:11">
      <c r="A24" s="50" t="s">
        <v>105</v>
      </c>
      <c r="B24" s="90">
        <f>F7</f>
        <v>9000</v>
      </c>
      <c r="C24" s="50">
        <f>1</f>
        <v>1</v>
      </c>
      <c r="D24" s="90">
        <f>B24*C24</f>
        <v>9000</v>
      </c>
      <c r="E24" s="91"/>
      <c r="F24" s="51"/>
      <c r="G24" s="51"/>
      <c r="H24" s="51"/>
      <c r="I24" s="51"/>
      <c r="J24" s="52"/>
      <c r="K24" s="52"/>
    </row>
    <row r="25" spans="1:11">
      <c r="A25" s="84">
        <f>A11</f>
        <v>-1</v>
      </c>
      <c r="B25" s="90">
        <f>B11</f>
        <v>8000</v>
      </c>
      <c r="C25" s="50">
        <f>IF(A25&lt;0,($F$6+A25)/$F$6,0)</f>
        <v>0.8</v>
      </c>
      <c r="D25" s="90">
        <f>B25*C25</f>
        <v>6400</v>
      </c>
      <c r="E25" s="86">
        <f t="shared" ref="E25:E34" si="1">IF(A25&lt;0,B25/$F$6,0)</f>
        <v>1600</v>
      </c>
      <c r="F25" s="51"/>
      <c r="G25" s="51"/>
      <c r="H25" s="51"/>
      <c r="I25" s="51"/>
      <c r="J25" s="52"/>
      <c r="K25" s="52"/>
    </row>
    <row r="26" spans="1:11">
      <c r="A26" s="84">
        <f t="shared" ref="A26:B34" si="2">A12</f>
        <v>-2</v>
      </c>
      <c r="B26" s="90">
        <f t="shared" si="2"/>
        <v>7500</v>
      </c>
      <c r="C26" s="50">
        <f>IF(A26&lt;0,($F$6+A26)/$F$6,0)</f>
        <v>0.6</v>
      </c>
      <c r="D26" s="90">
        <f t="shared" ref="D26:D34" si="3">B26*C26</f>
        <v>4500</v>
      </c>
      <c r="E26" s="86">
        <f t="shared" si="1"/>
        <v>1500</v>
      </c>
      <c r="F26" s="51"/>
      <c r="G26" s="51"/>
      <c r="H26" s="51"/>
      <c r="I26" s="51"/>
      <c r="J26" s="52"/>
      <c r="K26" s="52"/>
    </row>
    <row r="27" spans="1:11">
      <c r="A27" s="84">
        <f t="shared" si="2"/>
        <v>-3</v>
      </c>
      <c r="B27" s="90">
        <f t="shared" si="2"/>
        <v>7000</v>
      </c>
      <c r="C27" s="50">
        <f>IF(A27&lt;0,($F$6+A27)/$F$6,0)</f>
        <v>0.4</v>
      </c>
      <c r="D27" s="90">
        <f t="shared" si="3"/>
        <v>2800</v>
      </c>
      <c r="E27" s="86">
        <f t="shared" si="1"/>
        <v>1400</v>
      </c>
      <c r="F27" s="51"/>
      <c r="G27" s="51"/>
      <c r="H27" s="51"/>
      <c r="I27" s="51"/>
      <c r="J27" s="52"/>
      <c r="K27" s="52"/>
    </row>
    <row r="28" spans="1:11">
      <c r="A28" s="84">
        <f t="shared" si="2"/>
        <v>-4</v>
      </c>
      <c r="B28" s="90">
        <f t="shared" si="2"/>
        <v>6500</v>
      </c>
      <c r="C28" s="50">
        <f t="shared" ref="C28:C34" si="4">IF(A28&lt;0,($F$6+A28)/$F$6,0)</f>
        <v>0.2</v>
      </c>
      <c r="D28" s="90">
        <f t="shared" si="3"/>
        <v>1300</v>
      </c>
      <c r="E28" s="86">
        <f t="shared" si="1"/>
        <v>1300</v>
      </c>
      <c r="F28" s="51"/>
      <c r="G28" s="51"/>
      <c r="H28" s="51"/>
      <c r="I28" s="51"/>
      <c r="J28" s="52"/>
      <c r="K28" s="52"/>
    </row>
    <row r="29" spans="1:11">
      <c r="A29" s="84">
        <f t="shared" si="2"/>
        <v>-5</v>
      </c>
      <c r="B29" s="90">
        <f t="shared" si="2"/>
        <v>6000</v>
      </c>
      <c r="C29" s="50">
        <f t="shared" si="4"/>
        <v>0</v>
      </c>
      <c r="D29" s="90">
        <f t="shared" si="3"/>
        <v>0</v>
      </c>
      <c r="E29" s="86">
        <f t="shared" si="1"/>
        <v>1200</v>
      </c>
      <c r="F29" s="51"/>
      <c r="G29" s="51"/>
      <c r="H29" s="51"/>
      <c r="I29" s="51"/>
      <c r="J29" s="52"/>
      <c r="K29" s="52"/>
    </row>
    <row r="30" spans="1:11">
      <c r="A30" s="84">
        <f t="shared" si="2"/>
        <v>0</v>
      </c>
      <c r="B30" s="90">
        <f t="shared" si="2"/>
        <v>0</v>
      </c>
      <c r="C30" s="50">
        <f t="shared" si="4"/>
        <v>0</v>
      </c>
      <c r="D30" s="90">
        <f t="shared" si="3"/>
        <v>0</v>
      </c>
      <c r="E30" s="86">
        <f t="shared" si="1"/>
        <v>0</v>
      </c>
      <c r="F30" s="51"/>
      <c r="G30" s="51"/>
      <c r="H30" s="51"/>
      <c r="I30" s="51"/>
      <c r="J30" s="52"/>
      <c r="K30" s="52"/>
    </row>
    <row r="31" spans="1:11">
      <c r="A31" s="84">
        <f t="shared" si="2"/>
        <v>0</v>
      </c>
      <c r="B31" s="90">
        <f t="shared" si="2"/>
        <v>0</v>
      </c>
      <c r="C31" s="50">
        <f t="shared" si="4"/>
        <v>0</v>
      </c>
      <c r="D31" s="90">
        <f t="shared" si="3"/>
        <v>0</v>
      </c>
      <c r="E31" s="86">
        <f t="shared" si="1"/>
        <v>0</v>
      </c>
      <c r="F31" s="51"/>
      <c r="G31" s="51"/>
      <c r="H31" s="51"/>
      <c r="I31" s="51"/>
      <c r="J31" s="52"/>
      <c r="K31" s="52"/>
    </row>
    <row r="32" spans="1:11">
      <c r="A32" s="84">
        <f t="shared" si="2"/>
        <v>0</v>
      </c>
      <c r="B32" s="90">
        <f t="shared" si="2"/>
        <v>0</v>
      </c>
      <c r="C32" s="50">
        <f t="shared" si="4"/>
        <v>0</v>
      </c>
      <c r="D32" s="90">
        <f t="shared" si="3"/>
        <v>0</v>
      </c>
      <c r="E32" s="86">
        <f t="shared" si="1"/>
        <v>0</v>
      </c>
      <c r="F32" s="51"/>
      <c r="G32" s="51"/>
      <c r="H32" s="51"/>
      <c r="I32" s="51"/>
      <c r="J32" s="52"/>
      <c r="K32" s="52"/>
    </row>
    <row r="33" spans="1:11">
      <c r="A33" s="84">
        <f t="shared" si="2"/>
        <v>0</v>
      </c>
      <c r="B33" s="90">
        <f t="shared" si="2"/>
        <v>0</v>
      </c>
      <c r="C33" s="50">
        <f t="shared" si="4"/>
        <v>0</v>
      </c>
      <c r="D33" s="90">
        <f t="shared" si="3"/>
        <v>0</v>
      </c>
      <c r="E33" s="86">
        <f t="shared" si="1"/>
        <v>0</v>
      </c>
      <c r="F33" s="51"/>
      <c r="G33" s="51"/>
      <c r="H33" s="51"/>
      <c r="I33" s="51"/>
      <c r="J33" s="52"/>
      <c r="K33" s="52"/>
    </row>
    <row r="34" spans="1:11" ht="15" thickBot="1">
      <c r="A34" s="84">
        <f t="shared" si="2"/>
        <v>0</v>
      </c>
      <c r="B34" s="90">
        <f t="shared" si="2"/>
        <v>0</v>
      </c>
      <c r="C34" s="50">
        <f t="shared" si="4"/>
        <v>0</v>
      </c>
      <c r="D34" s="92">
        <f t="shared" si="3"/>
        <v>0</v>
      </c>
      <c r="E34" s="87">
        <f t="shared" si="1"/>
        <v>0</v>
      </c>
      <c r="F34" s="51"/>
      <c r="G34" s="51"/>
      <c r="H34" s="51"/>
      <c r="I34" s="51"/>
      <c r="J34" s="52"/>
      <c r="K34" s="52"/>
    </row>
    <row r="35" spans="1:11" ht="15" thickBot="1">
      <c r="A35" s="10" t="s">
        <v>150</v>
      </c>
      <c r="B35" s="10"/>
      <c r="C35" s="10"/>
      <c r="D35" s="93">
        <f>SUM(D24:D34)</f>
        <v>24000</v>
      </c>
      <c r="E35" s="93">
        <f>SUM(E25:E34)</f>
        <v>7000</v>
      </c>
      <c r="F35" s="10"/>
      <c r="G35" s="10"/>
      <c r="H35" s="10"/>
      <c r="I35" s="10"/>
      <c r="J35" s="10"/>
      <c r="K35" s="10"/>
    </row>
    <row r="36" spans="1:11" ht="15" thickBot="1">
      <c r="D36" s="94"/>
      <c r="E36" s="94"/>
    </row>
    <row r="37" spans="1:11" ht="15" thickBot="1">
      <c r="A37" s="10" t="s">
        <v>151</v>
      </c>
      <c r="B37" s="10"/>
      <c r="C37" s="10"/>
      <c r="D37" s="93">
        <f>E35</f>
        <v>7000</v>
      </c>
      <c r="E37" s="95"/>
      <c r="F37" s="10"/>
      <c r="G37" s="10"/>
      <c r="H37" s="10"/>
      <c r="I37" s="10"/>
      <c r="J37" s="10"/>
      <c r="K37" s="10"/>
    </row>
    <row r="38" spans="1:11" ht="15" thickBot="1">
      <c r="A38" s="10"/>
      <c r="B38" s="10"/>
      <c r="C38" s="10"/>
      <c r="D38" s="95"/>
      <c r="E38" s="95"/>
      <c r="F38" s="10"/>
      <c r="G38" s="10"/>
      <c r="H38" s="10"/>
      <c r="I38" s="10"/>
      <c r="J38" s="10"/>
      <c r="K38" s="10"/>
    </row>
    <row r="39" spans="1:11">
      <c r="A39" s="10" t="s">
        <v>152</v>
      </c>
      <c r="B39" s="10"/>
      <c r="C39" s="10"/>
      <c r="D39" s="96">
        <f>F7-D37</f>
        <v>2000</v>
      </c>
      <c r="E39" s="95" t="s">
        <v>153</v>
      </c>
      <c r="F39" s="10"/>
      <c r="G39" s="10"/>
      <c r="H39" s="10"/>
      <c r="I39" s="10"/>
      <c r="J39" s="10"/>
      <c r="K39" s="10"/>
    </row>
    <row r="40" spans="1:11">
      <c r="A40" t="s">
        <v>154</v>
      </c>
      <c r="D40" s="97">
        <v>500</v>
      </c>
      <c r="E40" s="95"/>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5"/>
  <sheetViews>
    <sheetView workbookViewId="0">
      <selection activeCell="B4" sqref="B4"/>
    </sheetView>
  </sheetViews>
  <sheetFormatPr baseColWidth="10" defaultRowHeight="14"/>
  <cols>
    <col min="1" max="1" width="16.140625" customWidth="1"/>
  </cols>
  <sheetData>
    <row r="1" spans="1:5">
      <c r="A1" s="10" t="s">
        <v>158</v>
      </c>
      <c r="B1" s="10"/>
      <c r="C1" s="10"/>
      <c r="D1" s="10"/>
      <c r="E1" s="10"/>
    </row>
    <row r="2" spans="1:5">
      <c r="A2" s="57" t="s">
        <v>159</v>
      </c>
      <c r="B2" s="57" t="s">
        <v>160</v>
      </c>
      <c r="C2" s="57" t="s">
        <v>3</v>
      </c>
      <c r="D2" s="57" t="s">
        <v>161</v>
      </c>
      <c r="E2" s="57" t="s">
        <v>29</v>
      </c>
    </row>
    <row r="3" spans="1:5">
      <c r="A3" s="58" t="s">
        <v>433</v>
      </c>
      <c r="B3" s="59">
        <v>6179</v>
      </c>
      <c r="C3" s="60">
        <f>VLOOKUP(A3,'Industry averages'!A$1:$S$95,15)</f>
        <v>1.2013803591525696</v>
      </c>
      <c r="D3" s="61">
        <f>B3*C3</f>
        <v>7423.3292392037274</v>
      </c>
      <c r="E3" s="60">
        <f>IF(A3=0,,VLOOKUP(A3,'Industry averages'!A$1:$S$95,7))</f>
        <v>0.92957565005501674</v>
      </c>
    </row>
    <row r="4" spans="1:5">
      <c r="A4" s="58"/>
      <c r="B4" s="59"/>
      <c r="C4" s="60">
        <f>IF(A4=0,,VLOOKUP(A4,'Industry averages'!A$1:$S$95,15))</f>
        <v>0</v>
      </c>
      <c r="D4" s="61">
        <f>B4*C4</f>
        <v>0</v>
      </c>
      <c r="E4" s="60">
        <f>IF(A4=0,,VLOOKUP(A4,'Industry averages'!A$1:$S$95,7))</f>
        <v>0</v>
      </c>
    </row>
    <row r="5" spans="1:5">
      <c r="A5" s="58"/>
      <c r="B5" s="59"/>
      <c r="C5" s="60">
        <f>IF(A5=0,,VLOOKUP(A5,'Industry averages'!A$1:$S$95,15))</f>
        <v>0</v>
      </c>
      <c r="D5" s="61">
        <f t="shared" ref="D5:D14" si="0">B5*C5</f>
        <v>0</v>
      </c>
      <c r="E5" s="60">
        <f>IF(A5=0,,VLOOKUP(A5,'Industry averages'!A$1:$S$95,7))</f>
        <v>0</v>
      </c>
    </row>
    <row r="6" spans="1:5">
      <c r="A6" s="58"/>
      <c r="B6" s="59"/>
      <c r="C6" s="60">
        <f>IF(A6=0,,VLOOKUP(A6,'Industry averages'!A$1:$S$95,15))</f>
        <v>0</v>
      </c>
      <c r="D6" s="61">
        <f t="shared" si="0"/>
        <v>0</v>
      </c>
      <c r="E6" s="60">
        <f>IF(A6=0,,VLOOKUP(A6,'Industry averages'!A$1:$S$95,7))</f>
        <v>0</v>
      </c>
    </row>
    <row r="7" spans="1:5">
      <c r="A7" s="58"/>
      <c r="B7" s="59"/>
      <c r="C7" s="60">
        <f>IF(A7=0,,VLOOKUP(A7,'Industry averages'!A$1:$S$95,15))</f>
        <v>0</v>
      </c>
      <c r="D7" s="61">
        <f t="shared" si="0"/>
        <v>0</v>
      </c>
      <c r="E7" s="60">
        <f>IF(A7=0,,VLOOKUP(A7,'Industry averages'!A$1:$S$95,7))</f>
        <v>0</v>
      </c>
    </row>
    <row r="8" spans="1:5">
      <c r="A8" s="58"/>
      <c r="B8" s="59"/>
      <c r="C8" s="60">
        <f>IF(A8=0,,VLOOKUP(A8,'Industry averages'!A$1:$S$95,15))</f>
        <v>0</v>
      </c>
      <c r="D8" s="61">
        <f t="shared" si="0"/>
        <v>0</v>
      </c>
      <c r="E8" s="60">
        <f>IF(A8=0,,VLOOKUP(A8,'Industry averages'!A$1:$S$95,7))</f>
        <v>0</v>
      </c>
    </row>
    <row r="9" spans="1:5">
      <c r="A9" s="58"/>
      <c r="B9" s="59"/>
      <c r="C9" s="60">
        <f>IF(A9=0,,VLOOKUP(A9,'Industry averages'!A$1:$S$95,15))</f>
        <v>0</v>
      </c>
      <c r="D9" s="61">
        <f t="shared" si="0"/>
        <v>0</v>
      </c>
      <c r="E9" s="60">
        <f>IF(A9=0,,VLOOKUP(A9,'Industry averages'!A$1:$S$95,7))</f>
        <v>0</v>
      </c>
    </row>
    <row r="10" spans="1:5">
      <c r="A10" s="58"/>
      <c r="B10" s="59"/>
      <c r="C10" s="60">
        <f>IF(A10=0,,VLOOKUP(A10,'Industry averages'!A$1:$S$95,15))</f>
        <v>0</v>
      </c>
      <c r="D10" s="61">
        <f t="shared" si="0"/>
        <v>0</v>
      </c>
      <c r="E10" s="60">
        <f>IF(A10=0,,VLOOKUP(A10,'Industry averages'!A$1:$S$95,7))</f>
        <v>0</v>
      </c>
    </row>
    <row r="11" spans="1:5">
      <c r="A11" s="58"/>
      <c r="B11" s="59"/>
      <c r="C11" s="60">
        <f>IF(A11=0,,VLOOKUP(A11,'Industry averages'!A$1:$S$95,15))</f>
        <v>0</v>
      </c>
      <c r="D11" s="61">
        <f t="shared" si="0"/>
        <v>0</v>
      </c>
      <c r="E11" s="60">
        <f>IF(A11=0,,VLOOKUP(A11,'Industry averages'!A$1:$S$95,7))</f>
        <v>0</v>
      </c>
    </row>
    <row r="12" spans="1:5">
      <c r="A12" s="58"/>
      <c r="B12" s="59"/>
      <c r="C12" s="60">
        <f>IF(A12=0,,VLOOKUP(A12,'Industry averages'!A$1:$S$95,15))</f>
        <v>0</v>
      </c>
      <c r="D12" s="61">
        <f t="shared" si="0"/>
        <v>0</v>
      </c>
      <c r="E12" s="60">
        <f>IF(A12=0,,VLOOKUP(A12,'Industry averages'!A$1:$S$95,7))</f>
        <v>0</v>
      </c>
    </row>
    <row r="13" spans="1:5">
      <c r="A13" s="58"/>
      <c r="B13" s="59"/>
      <c r="C13" s="60">
        <f>IF(A13=0,,VLOOKUP(A13,'Industry averages'!A$1:$S$95,15))</f>
        <v>0</v>
      </c>
      <c r="D13" s="61">
        <f t="shared" si="0"/>
        <v>0</v>
      </c>
      <c r="E13" s="60">
        <f>IF(A13=0,,VLOOKUP(A13,'Industry averages'!A$1:$S$95,7))</f>
        <v>0</v>
      </c>
    </row>
    <row r="14" spans="1:5">
      <c r="A14" s="58"/>
      <c r="B14" s="59"/>
      <c r="C14" s="60">
        <f>IF(A14=0,,VLOOKUP(A14,'Industry averages'!A$1:$S$95,15))</f>
        <v>0</v>
      </c>
      <c r="D14" s="61">
        <f t="shared" si="0"/>
        <v>0</v>
      </c>
      <c r="E14" s="60">
        <f>IF(A14=0,,VLOOKUP(A14,'Industry averages'!A$1:$S$95,7))</f>
        <v>0</v>
      </c>
    </row>
    <row r="15" spans="1:5">
      <c r="A15" s="62" t="s">
        <v>162</v>
      </c>
      <c r="B15" s="63">
        <f>SUM(B3:B14)</f>
        <v>6179</v>
      </c>
      <c r="C15" s="64"/>
      <c r="D15" s="61">
        <f>SUM(D3:D14)</f>
        <v>7423.3292392037274</v>
      </c>
      <c r="E15" s="64">
        <f>E3*(D3/D15)+E4*D4/D15+E5*D5/D15+E6*D6/D15+E7*D7/D15+E8*D8/D15+E9*D9/D15+E10*D10/D15+E11*D11/D15+E12*D12/D15+E13*D13/D15+E14*D14/D15</f>
        <v>0.92957565005501674</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'Industry averages'!$A$2:$A$95</xm:f>
          </x14:formula1>
          <xm:sqref>A3:A14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3"/>
  <sheetViews>
    <sheetView workbookViewId="0">
      <selection activeCell="B25" sqref="B25"/>
    </sheetView>
  </sheetViews>
  <sheetFormatPr baseColWidth="10" defaultRowHeight="14"/>
  <cols>
    <col min="1" max="1" width="17.7109375" customWidth="1"/>
  </cols>
  <sheetData>
    <row r="1" spans="1:12" ht="18">
      <c r="A1" s="65" t="s">
        <v>274</v>
      </c>
      <c r="B1" s="66"/>
      <c r="C1" s="66"/>
      <c r="D1" s="66"/>
      <c r="E1" s="66"/>
    </row>
    <row r="2" spans="1:12">
      <c r="A2" s="67" t="s">
        <v>167</v>
      </c>
      <c r="B2" s="67" t="s">
        <v>160</v>
      </c>
      <c r="C2" s="67" t="s">
        <v>275</v>
      </c>
      <c r="D2" s="67" t="s">
        <v>276</v>
      </c>
      <c r="E2" s="67" t="s">
        <v>277</v>
      </c>
    </row>
    <row r="3" spans="1:12" ht="14" customHeight="1">
      <c r="A3" s="58" t="s">
        <v>342</v>
      </c>
      <c r="B3" s="58">
        <v>800</v>
      </c>
      <c r="C3" s="68">
        <f>IF(B3=0,0,VLOOKUP(A3,'Country ERP'!$A$5:$F$195,4))</f>
        <v>4.2999999999999997E-2</v>
      </c>
      <c r="D3" s="68">
        <f>IF(B3&gt;0,B3/$B$15,)</f>
        <v>1</v>
      </c>
      <c r="E3" s="68">
        <f>C3*D3</f>
        <v>4.2999999999999997E-2</v>
      </c>
      <c r="H3" s="130" t="s">
        <v>343</v>
      </c>
      <c r="I3" s="130"/>
      <c r="J3" s="130"/>
      <c r="K3" s="130"/>
      <c r="L3" s="130"/>
    </row>
    <row r="4" spans="1:12">
      <c r="A4" s="58"/>
      <c r="B4" s="58"/>
      <c r="C4" s="68">
        <f>IF(B4=0,0,VLOOKUP(A4,'Country ERP'!$A$5:$F$195,4))</f>
        <v>0</v>
      </c>
      <c r="D4" s="68">
        <f>IF(B4&gt;0,B4/$B$15,)</f>
        <v>0</v>
      </c>
      <c r="E4" s="68">
        <f t="shared" ref="E4:E14" si="0">C4*D4</f>
        <v>0</v>
      </c>
      <c r="H4" s="130"/>
      <c r="I4" s="130"/>
      <c r="J4" s="130"/>
      <c r="K4" s="130"/>
      <c r="L4" s="130"/>
    </row>
    <row r="5" spans="1:12">
      <c r="A5" s="58"/>
      <c r="B5" s="58"/>
      <c r="C5" s="68">
        <f>IF(B5=0,0,VLOOKUP(A5,'Country ERP'!$A$5:$F$195,4))</f>
        <v>0</v>
      </c>
      <c r="D5" s="68">
        <f t="shared" ref="D5:D14" si="1">IF(B5&gt;0,B5/$B$15,)</f>
        <v>0</v>
      </c>
      <c r="E5" s="68">
        <f t="shared" si="0"/>
        <v>0</v>
      </c>
      <c r="H5" s="130"/>
      <c r="I5" s="130"/>
      <c r="J5" s="130"/>
      <c r="K5" s="130"/>
      <c r="L5" s="130"/>
    </row>
    <row r="6" spans="1:12">
      <c r="A6" s="58"/>
      <c r="B6" s="58"/>
      <c r="C6" s="68">
        <f>IF(B6=0,0,VLOOKUP(A6,'Country ERP'!$A$5:$F$195,4))</f>
        <v>0</v>
      </c>
      <c r="D6" s="68">
        <f t="shared" si="1"/>
        <v>0</v>
      </c>
      <c r="E6" s="68">
        <f t="shared" si="0"/>
        <v>0</v>
      </c>
      <c r="H6" s="130"/>
      <c r="I6" s="130"/>
      <c r="J6" s="130"/>
      <c r="K6" s="130"/>
      <c r="L6" s="130"/>
    </row>
    <row r="7" spans="1:12">
      <c r="A7" s="58"/>
      <c r="B7" s="58"/>
      <c r="C7" s="68">
        <f>IF(B7=0,0,VLOOKUP(A7,'Country ERP'!$A$5:$F$195,4))</f>
        <v>0</v>
      </c>
      <c r="D7" s="68">
        <f t="shared" si="1"/>
        <v>0</v>
      </c>
      <c r="E7" s="68">
        <f t="shared" si="0"/>
        <v>0</v>
      </c>
      <c r="H7" s="130"/>
      <c r="I7" s="130"/>
      <c r="J7" s="130"/>
      <c r="K7" s="130"/>
      <c r="L7" s="130"/>
    </row>
    <row r="8" spans="1:12">
      <c r="A8" s="58"/>
      <c r="B8" s="58"/>
      <c r="C8" s="68">
        <f>IF(B8=0,0,VLOOKUP(A8,'Country ERP'!$A$5:$F$195,4))</f>
        <v>0</v>
      </c>
      <c r="D8" s="68">
        <f t="shared" si="1"/>
        <v>0</v>
      </c>
      <c r="E8" s="68">
        <f t="shared" si="0"/>
        <v>0</v>
      </c>
      <c r="H8" s="130"/>
      <c r="I8" s="130"/>
      <c r="J8" s="130"/>
      <c r="K8" s="130"/>
      <c r="L8" s="130"/>
    </row>
    <row r="9" spans="1:12">
      <c r="A9" s="58"/>
      <c r="B9" s="58"/>
      <c r="C9" s="68">
        <f>IF(B9=0,0,VLOOKUP(A9,'Country ERP'!$A$5:$F$195,4))</f>
        <v>0</v>
      </c>
      <c r="D9" s="68">
        <f t="shared" si="1"/>
        <v>0</v>
      </c>
      <c r="E9" s="68">
        <f t="shared" si="0"/>
        <v>0</v>
      </c>
      <c r="H9" s="130"/>
      <c r="I9" s="130"/>
      <c r="J9" s="130"/>
      <c r="K9" s="130"/>
      <c r="L9" s="130"/>
    </row>
    <row r="10" spans="1:12">
      <c r="A10" s="58"/>
      <c r="B10" s="58"/>
      <c r="C10" s="68">
        <f>IF(B10=0,0,VLOOKUP(A10,'Country ERP'!$A$5:$F$195,4))</f>
        <v>0</v>
      </c>
      <c r="D10" s="68">
        <f t="shared" si="1"/>
        <v>0</v>
      </c>
      <c r="E10" s="68">
        <f t="shared" si="0"/>
        <v>0</v>
      </c>
      <c r="H10" s="130"/>
      <c r="I10" s="130"/>
      <c r="J10" s="130"/>
      <c r="K10" s="130"/>
      <c r="L10" s="130"/>
    </row>
    <row r="11" spans="1:12">
      <c r="A11" s="58"/>
      <c r="B11" s="58"/>
      <c r="C11" s="68">
        <f>IF(B11=0,0,VLOOKUP(A11,'Country ERP'!$A$5:$F$195,4))</f>
        <v>0</v>
      </c>
      <c r="D11" s="68">
        <f>IF(B11&gt;0,B11/$B$15,)</f>
        <v>0</v>
      </c>
      <c r="E11" s="68">
        <f>C11*D11</f>
        <v>0</v>
      </c>
      <c r="H11" s="130"/>
      <c r="I11" s="130"/>
      <c r="J11" s="130"/>
      <c r="K11" s="130"/>
      <c r="L11" s="130"/>
    </row>
    <row r="12" spans="1:12">
      <c r="A12" s="58"/>
      <c r="B12" s="58"/>
      <c r="C12" s="68">
        <f>IF(B12=0,0,VLOOKUP(A12,'Country ERP'!$A$5:$F$195,4))</f>
        <v>0</v>
      </c>
      <c r="D12" s="68">
        <f>IF(B12&gt;0,B12/$B$15,)</f>
        <v>0</v>
      </c>
      <c r="E12" s="68">
        <f>C12*D12</f>
        <v>0</v>
      </c>
      <c r="H12" s="130"/>
      <c r="I12" s="130"/>
      <c r="J12" s="130"/>
      <c r="K12" s="130"/>
      <c r="L12" s="130"/>
    </row>
    <row r="13" spans="1:12">
      <c r="A13" s="73"/>
      <c r="B13" s="58"/>
      <c r="C13" s="73"/>
      <c r="D13" s="68">
        <f t="shared" si="1"/>
        <v>0</v>
      </c>
      <c r="E13" s="68">
        <f t="shared" si="0"/>
        <v>0</v>
      </c>
      <c r="H13" s="130"/>
      <c r="I13" s="130"/>
      <c r="J13" s="130"/>
      <c r="K13" s="130"/>
      <c r="L13" s="130"/>
    </row>
    <row r="14" spans="1:12">
      <c r="A14" s="73"/>
      <c r="B14" s="58"/>
      <c r="C14" s="73"/>
      <c r="D14" s="68">
        <f t="shared" si="1"/>
        <v>0</v>
      </c>
      <c r="E14" s="68">
        <f t="shared" si="0"/>
        <v>0</v>
      </c>
      <c r="H14" s="130"/>
      <c r="I14" s="130"/>
      <c r="J14" s="130"/>
      <c r="K14" s="130"/>
      <c r="L14" s="130"/>
    </row>
    <row r="15" spans="1:12">
      <c r="A15" s="69" t="s">
        <v>278</v>
      </c>
      <c r="B15" s="69">
        <f>SUM(B3:B14)</f>
        <v>800</v>
      </c>
      <c r="C15" s="69"/>
      <c r="D15" s="68">
        <f>SUM(D3:D14)</f>
        <v>1</v>
      </c>
      <c r="E15" s="68">
        <f>SUM(E3:E14)</f>
        <v>4.2999999999999997E-2</v>
      </c>
      <c r="H15" s="130"/>
      <c r="I15" s="130"/>
      <c r="J15" s="130"/>
      <c r="K15" s="130"/>
      <c r="L15" s="130"/>
    </row>
    <row r="16" spans="1:12" ht="16">
      <c r="A16" s="65" t="s">
        <v>279</v>
      </c>
      <c r="B16" s="10"/>
      <c r="C16" s="10"/>
      <c r="D16" s="10"/>
      <c r="E16" s="10"/>
      <c r="H16" s="130"/>
      <c r="I16" s="130"/>
      <c r="J16" s="130"/>
      <c r="K16" s="130"/>
      <c r="L16" s="130"/>
    </row>
    <row r="17" spans="1:12">
      <c r="A17" s="57" t="s">
        <v>170</v>
      </c>
      <c r="B17" s="57" t="s">
        <v>160</v>
      </c>
      <c r="C17" s="57" t="s">
        <v>275</v>
      </c>
      <c r="D17" s="57" t="s">
        <v>276</v>
      </c>
      <c r="E17" s="57" t="s">
        <v>277</v>
      </c>
      <c r="H17" s="130"/>
      <c r="I17" s="130"/>
      <c r="J17" s="130"/>
      <c r="K17" s="130"/>
      <c r="L17" s="130"/>
    </row>
    <row r="18" spans="1:12">
      <c r="A18" s="69" t="str">
        <f>'Country ERP'!A201</f>
        <v>Africa</v>
      </c>
      <c r="B18" s="58">
        <v>0</v>
      </c>
      <c r="C18" s="71">
        <f>'Country ERP'!B201</f>
        <v>0.13463852306889545</v>
      </c>
      <c r="D18" s="68">
        <f t="shared" ref="D18:D29" si="2">B18/$B$29</f>
        <v>0</v>
      </c>
      <c r="E18" s="70">
        <f>C18*D18</f>
        <v>0</v>
      </c>
      <c r="H18" s="130"/>
      <c r="I18" s="130"/>
      <c r="J18" s="130"/>
      <c r="K18" s="130"/>
      <c r="L18" s="130"/>
    </row>
    <row r="19" spans="1:12">
      <c r="A19" s="69" t="str">
        <f>'Country ERP'!A202</f>
        <v>Asia</v>
      </c>
      <c r="B19" s="58">
        <v>1060</v>
      </c>
      <c r="C19" s="71">
        <f>'Country ERP'!B202</f>
        <v>5.980540500857856E-2</v>
      </c>
      <c r="D19" s="68">
        <f t="shared" si="2"/>
        <v>0.18508817880216519</v>
      </c>
      <c r="E19" s="70">
        <f t="shared" ref="E19:E26" si="3">C19*D19</f>
        <v>1.1069273495563694E-2</v>
      </c>
      <c r="H19" s="130"/>
      <c r="I19" s="130"/>
      <c r="J19" s="130"/>
      <c r="K19" s="130"/>
      <c r="L19" s="130"/>
    </row>
    <row r="20" spans="1:12">
      <c r="A20" s="69" t="str">
        <f>'Country ERP'!A203</f>
        <v>Australia &amp; New Zealand</v>
      </c>
      <c r="B20" s="58"/>
      <c r="C20" s="71">
        <f>'Country ERP'!B203</f>
        <v>4.3047923618641931E-2</v>
      </c>
      <c r="D20" s="68">
        <f t="shared" si="2"/>
        <v>0</v>
      </c>
      <c r="E20" s="70">
        <f t="shared" si="3"/>
        <v>0</v>
      </c>
    </row>
    <row r="21" spans="1:12">
      <c r="A21" s="69" t="str">
        <f>'Country ERP'!A204</f>
        <v>Caribbean</v>
      </c>
      <c r="B21" s="58"/>
      <c r="C21" s="71">
        <f>'Country ERP'!B204</f>
        <v>0.1845348819700155</v>
      </c>
      <c r="D21" s="68">
        <f t="shared" si="2"/>
        <v>0</v>
      </c>
      <c r="E21" s="70">
        <f t="shared" si="3"/>
        <v>0</v>
      </c>
    </row>
    <row r="22" spans="1:12">
      <c r="A22" s="69" t="str">
        <f>'Country ERP'!A205</f>
        <v>Central and South America</v>
      </c>
      <c r="B22" s="58"/>
      <c r="C22" s="71">
        <f>'Country ERP'!B205</f>
        <v>0.10061091058162494</v>
      </c>
      <c r="D22" s="68">
        <f t="shared" si="2"/>
        <v>0</v>
      </c>
      <c r="E22" s="70">
        <f t="shared" si="3"/>
        <v>0</v>
      </c>
    </row>
    <row r="23" spans="1:12">
      <c r="A23" s="69" t="str">
        <f>'Country ERP'!A206</f>
        <v>Eastern Europe &amp; Russia</v>
      </c>
      <c r="B23" s="58"/>
      <c r="C23" s="71">
        <f>'Country ERP'!B206</f>
        <v>9.357938347719226E-2</v>
      </c>
      <c r="D23" s="68">
        <f t="shared" si="2"/>
        <v>0</v>
      </c>
      <c r="E23" s="70">
        <f t="shared" si="3"/>
        <v>0</v>
      </c>
    </row>
    <row r="24" spans="1:12">
      <c r="A24" s="69" t="str">
        <f>'Country ERP'!A207</f>
        <v>Middle East</v>
      </c>
      <c r="B24" s="58"/>
      <c r="C24" s="71">
        <f>'Country ERP'!B207</f>
        <v>6.4589990892489846E-2</v>
      </c>
      <c r="D24" s="68">
        <f t="shared" si="2"/>
        <v>0</v>
      </c>
      <c r="E24" s="70">
        <f t="shared" si="3"/>
        <v>0</v>
      </c>
    </row>
    <row r="25" spans="1:12">
      <c r="A25" s="69" t="str">
        <f>'Country ERP'!A208</f>
        <v>North America</v>
      </c>
      <c r="B25" s="58">
        <v>3087</v>
      </c>
      <c r="C25" s="71">
        <f>'Country ERP'!B208</f>
        <v>4.2999999999999997E-2</v>
      </c>
      <c r="D25" s="68">
        <f t="shared" si="2"/>
        <v>0.53902566788894712</v>
      </c>
      <c r="E25" s="70">
        <f t="shared" si="3"/>
        <v>2.3178103719224723E-2</v>
      </c>
    </row>
    <row r="26" spans="1:12">
      <c r="A26" s="69" t="str">
        <f>'Country ERP'!A209</f>
        <v>Western Europe</v>
      </c>
      <c r="B26" s="58">
        <v>1580</v>
      </c>
      <c r="C26" s="71">
        <f>'Country ERP'!B209</f>
        <v>5.5871606293643364E-2</v>
      </c>
      <c r="D26" s="68">
        <f t="shared" si="2"/>
        <v>0.27588615330888772</v>
      </c>
      <c r="E26" s="70">
        <f t="shared" si="3"/>
        <v>1.541420253954191E-2</v>
      </c>
    </row>
    <row r="27" spans="1:12">
      <c r="A27" s="58"/>
      <c r="B27" s="58"/>
      <c r="C27" s="74"/>
      <c r="D27" s="68">
        <f>B27/$B$29</f>
        <v>0</v>
      </c>
      <c r="E27" s="70">
        <f>C27*D27</f>
        <v>0</v>
      </c>
    </row>
    <row r="28" spans="1:12">
      <c r="A28" s="58"/>
      <c r="B28" s="58"/>
      <c r="C28" s="74"/>
      <c r="D28" s="68">
        <f>B28/$B$29</f>
        <v>0</v>
      </c>
      <c r="E28" s="70">
        <f>C28*D28</f>
        <v>0</v>
      </c>
    </row>
    <row r="29" spans="1:12">
      <c r="A29" s="69" t="s">
        <v>278</v>
      </c>
      <c r="B29" s="69">
        <f>SUM(B18:B28)</f>
        <v>5727</v>
      </c>
      <c r="C29" s="71"/>
      <c r="D29" s="68">
        <f t="shared" si="2"/>
        <v>1</v>
      </c>
      <c r="E29" s="72">
        <f>SUM(E18:E28)</f>
        <v>4.9661579754330332E-2</v>
      </c>
    </row>
    <row r="33" spans="11:11">
      <c r="K33" s="75"/>
    </row>
  </sheetData>
  <mergeCells count="1">
    <mergeCell ref="H3:L19"/>
  </mergeCell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'Country ERP'!$A$5:$A$195</xm:f>
          </x14:formula1>
          <xm:sqref>A3:A12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A95"/>
  <sheetViews>
    <sheetView workbookViewId="0">
      <selection activeCell="A5" sqref="A5:XFD5"/>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5" max="5" width="10.7109375" customWidth="1"/>
    <col min="6" max="6" width="9" bestFit="1" customWidth="1"/>
    <col min="7" max="7" width="9.85546875" bestFit="1" customWidth="1"/>
    <col min="8" max="8" width="19.28515625" bestFit="1" customWidth="1"/>
    <col min="9" max="23" width="9.28515625"/>
  </cols>
  <sheetData>
    <row r="1" spans="1:27" s="98" customFormat="1" ht="84">
      <c r="A1" s="114" t="s">
        <v>2</v>
      </c>
      <c r="B1" s="115" t="s">
        <v>130</v>
      </c>
      <c r="C1" s="116" t="s">
        <v>318</v>
      </c>
      <c r="D1" s="116" t="s">
        <v>393</v>
      </c>
      <c r="E1" s="116" t="s">
        <v>319</v>
      </c>
      <c r="F1" s="115" t="s">
        <v>320</v>
      </c>
      <c r="G1" s="115" t="s">
        <v>29</v>
      </c>
      <c r="H1" s="115" t="s">
        <v>321</v>
      </c>
      <c r="I1" s="115" t="s">
        <v>322</v>
      </c>
      <c r="J1" s="115" t="s">
        <v>323</v>
      </c>
      <c r="K1" s="115" t="s">
        <v>324</v>
      </c>
      <c r="L1" s="115" t="s">
        <v>325</v>
      </c>
      <c r="M1" s="115" t="s">
        <v>326</v>
      </c>
      <c r="N1" s="117" t="s">
        <v>24</v>
      </c>
      <c r="O1" s="115" t="s">
        <v>3</v>
      </c>
      <c r="P1" s="115" t="s">
        <v>163</v>
      </c>
      <c r="Q1" s="115" t="s">
        <v>164</v>
      </c>
      <c r="R1" s="115" t="s">
        <v>165</v>
      </c>
      <c r="S1" s="115" t="s">
        <v>166</v>
      </c>
      <c r="T1" s="115" t="s">
        <v>327</v>
      </c>
      <c r="U1" s="115" t="s">
        <v>328</v>
      </c>
      <c r="V1" s="115" t="s">
        <v>329</v>
      </c>
      <c r="W1" s="115" t="s">
        <v>330</v>
      </c>
      <c r="X1" s="114" t="s">
        <v>300</v>
      </c>
      <c r="Y1" s="114" t="s">
        <v>331</v>
      </c>
      <c r="Z1" s="114" t="s">
        <v>0</v>
      </c>
      <c r="AA1" s="115" t="s">
        <v>395</v>
      </c>
    </row>
    <row r="2" spans="1:27">
      <c r="A2" s="77" t="s">
        <v>103</v>
      </c>
      <c r="B2" s="78">
        <v>57</v>
      </c>
      <c r="C2" s="79">
        <v>0.11568399999999998</v>
      </c>
      <c r="D2" s="79">
        <v>9.6130213372469048E-2</v>
      </c>
      <c r="E2" s="79">
        <v>0.31515111490453068</v>
      </c>
      <c r="F2" s="79">
        <v>0.20554353210253967</v>
      </c>
      <c r="G2" s="80">
        <v>1.1806104386629273</v>
      </c>
      <c r="H2" s="80">
        <v>1.3723256229214125</v>
      </c>
      <c r="I2" s="79">
        <v>0.10192697865438498</v>
      </c>
      <c r="J2" s="79">
        <v>0.56414425301504312</v>
      </c>
      <c r="K2" s="79">
        <v>5.3524000000000002E-2</v>
      </c>
      <c r="L2" s="79">
        <v>0.25241808479709577</v>
      </c>
      <c r="M2" s="79">
        <v>8.633158509130047E-2</v>
      </c>
      <c r="N2" s="80">
        <v>3.2834030413330759</v>
      </c>
      <c r="O2" s="80">
        <v>2.2595129005604955</v>
      </c>
      <c r="P2" s="80">
        <v>12.940312997421533</v>
      </c>
      <c r="Q2" s="80">
        <v>22.238594038328291</v>
      </c>
      <c r="R2" s="80">
        <v>5.7632981253415299</v>
      </c>
      <c r="S2" s="80">
        <v>175.73470187151344</v>
      </c>
      <c r="T2" s="79">
        <v>1.2534141364144605E-2</v>
      </c>
      <c r="U2" s="79">
        <v>1.8346746746974021E-2</v>
      </c>
      <c r="V2" s="79">
        <v>-1.6886086216883787E-2</v>
      </c>
      <c r="W2" s="79">
        <v>-9.9340600189793196E-3</v>
      </c>
      <c r="X2" s="79">
        <v>3.2541006196152036E-2</v>
      </c>
      <c r="Y2" s="79">
        <v>2.828444643801165</v>
      </c>
      <c r="Z2" s="79">
        <v>2.828444643801165</v>
      </c>
      <c r="AA2" s="81">
        <v>0.10140072310597556</v>
      </c>
    </row>
    <row r="3" spans="1:27">
      <c r="A3" s="77" t="s">
        <v>431</v>
      </c>
      <c r="B3" s="78">
        <v>70</v>
      </c>
      <c r="C3" s="79">
        <v>7.5882564102564082E-2</v>
      </c>
      <c r="D3" s="79">
        <v>8.5393846789115893E-2</v>
      </c>
      <c r="E3" s="79">
        <v>0.16167717664340658</v>
      </c>
      <c r="F3" s="79">
        <v>0.15449878451886198</v>
      </c>
      <c r="G3" s="80">
        <v>0.93085354059484426</v>
      </c>
      <c r="H3" s="80">
        <v>1.0764050153356324</v>
      </c>
      <c r="I3" s="79">
        <v>8.8314630705439087E-2</v>
      </c>
      <c r="J3" s="79">
        <v>0.36402149671230677</v>
      </c>
      <c r="K3" s="79">
        <v>5.0854999999999997E-2</v>
      </c>
      <c r="L3" s="79">
        <v>0.20291777620162876</v>
      </c>
      <c r="M3" s="79">
        <v>7.8133559868173677E-2</v>
      </c>
      <c r="N3" s="80">
        <v>1.9843395804666923</v>
      </c>
      <c r="O3" s="80">
        <v>2.478314246749687</v>
      </c>
      <c r="P3" s="80">
        <v>18.488711603269998</v>
      </c>
      <c r="Q3" s="80">
        <v>28.310279485536824</v>
      </c>
      <c r="R3" s="80">
        <v>5.0771568796832156</v>
      </c>
      <c r="S3" s="80">
        <v>32.517250905909876</v>
      </c>
      <c r="T3" s="79">
        <v>0.45042764203965496</v>
      </c>
      <c r="U3" s="79">
        <v>2.8342846696895605E-2</v>
      </c>
      <c r="V3" s="79">
        <v>2.282923210385782E-2</v>
      </c>
      <c r="W3" s="79">
        <v>0.39247743028218712</v>
      </c>
      <c r="X3" s="79">
        <v>0.13191483651952815</v>
      </c>
      <c r="Y3" s="79">
        <v>0.53694697197206931</v>
      </c>
      <c r="Z3" s="79">
        <v>0.53694697197206931</v>
      </c>
      <c r="AA3" s="81">
        <v>8.7701154266332376E-2</v>
      </c>
    </row>
    <row r="4" spans="1:27">
      <c r="A4" s="77" t="s">
        <v>432</v>
      </c>
      <c r="B4" s="78">
        <v>25</v>
      </c>
      <c r="C4" s="79">
        <v>2.9028333333333337E-2</v>
      </c>
      <c r="D4" s="79">
        <v>6.8956114823073109E-2</v>
      </c>
      <c r="E4" s="79">
        <v>0.1092325173386668</v>
      </c>
      <c r="F4" s="79">
        <v>0.23528767545229368</v>
      </c>
      <c r="G4" s="80">
        <v>0.64018804683047448</v>
      </c>
      <c r="H4" s="80">
        <v>1.2668401714816373</v>
      </c>
      <c r="I4" s="79">
        <v>9.7074647888155313E-2</v>
      </c>
      <c r="J4" s="79">
        <v>0.44650998921901031</v>
      </c>
      <c r="K4" s="79">
        <v>5.0854999999999997E-2</v>
      </c>
      <c r="L4" s="79">
        <v>0.61854039037606257</v>
      </c>
      <c r="M4" s="79">
        <v>6.062196095222791E-2</v>
      </c>
      <c r="N4" s="80">
        <v>1.7773199625336142</v>
      </c>
      <c r="O4" s="80">
        <v>0.90579180310273899</v>
      </c>
      <c r="P4" s="80">
        <v>6.1674965255190735</v>
      </c>
      <c r="Q4" s="80">
        <v>13.024537501330959</v>
      </c>
      <c r="R4" s="80">
        <v>2.2359420389310194</v>
      </c>
      <c r="S4" s="80">
        <v>12.658954105086503</v>
      </c>
      <c r="T4" s="79">
        <v>1.0944385248270856E-2</v>
      </c>
      <c r="U4" s="79">
        <v>0.11159925638117965</v>
      </c>
      <c r="V4" s="79">
        <v>6.7202754627620362E-2</v>
      </c>
      <c r="W4" s="79">
        <v>1.1858967293486484</v>
      </c>
      <c r="X4" s="79">
        <v>0.219363538879951</v>
      </c>
      <c r="Y4" s="79">
        <v>7.8632719088479394E-2</v>
      </c>
      <c r="Z4" s="79">
        <v>7.8632719088479353E-2</v>
      </c>
      <c r="AA4" s="81">
        <v>6.7227109104728219E-2</v>
      </c>
    </row>
    <row r="5" spans="1:27">
      <c r="A5" s="77" t="s">
        <v>433</v>
      </c>
      <c r="B5" s="78">
        <v>38</v>
      </c>
      <c r="C5" s="79">
        <v>5.7186000000000001E-2</v>
      </c>
      <c r="D5" s="79">
        <v>8.7577811977779155E-2</v>
      </c>
      <c r="E5" s="79">
        <v>0.15293487788906657</v>
      </c>
      <c r="F5" s="79">
        <v>0.32165919331897802</v>
      </c>
      <c r="G5" s="80">
        <v>0.92957565005501674</v>
      </c>
      <c r="H5" s="80">
        <v>1.1946998769689117</v>
      </c>
      <c r="I5" s="79">
        <v>9.3756194340569934E-2</v>
      </c>
      <c r="J5" s="79">
        <v>0.37035509904588476</v>
      </c>
      <c r="K5" s="79">
        <v>5.0854999999999997E-2</v>
      </c>
      <c r="L5" s="79">
        <v>0.3277875013609528</v>
      </c>
      <c r="M5" s="79">
        <v>7.5526310696846052E-2</v>
      </c>
      <c r="N5" s="80">
        <v>1.7730762352050577</v>
      </c>
      <c r="O5" s="80">
        <v>1.2013803591525696</v>
      </c>
      <c r="P5" s="80">
        <v>7.9181161902182877</v>
      </c>
      <c r="Q5" s="80">
        <v>12.388401308447197</v>
      </c>
      <c r="R5" s="80">
        <v>2.5581525508953336</v>
      </c>
      <c r="S5" s="80">
        <v>18.688545427356651</v>
      </c>
      <c r="T5" s="79">
        <v>0.24650261726088157</v>
      </c>
      <c r="U5" s="79">
        <v>2.41727298617933E-2</v>
      </c>
      <c r="V5" s="79">
        <v>5.3650838666078442E-3</v>
      </c>
      <c r="W5" s="79">
        <v>-7.2858762711417155E-2</v>
      </c>
      <c r="X5" s="79">
        <v>9.204171598277805E-2</v>
      </c>
      <c r="Y5" s="79">
        <v>0.74982998278991408</v>
      </c>
      <c r="Z5" s="79">
        <v>0.74982998278991408</v>
      </c>
      <c r="AA5" s="81">
        <v>9.6042064560311724E-2</v>
      </c>
    </row>
    <row r="6" spans="1:27">
      <c r="A6" s="77" t="s">
        <v>434</v>
      </c>
      <c r="B6" s="78">
        <v>34</v>
      </c>
      <c r="C6" s="79">
        <v>0.21942111111111109</v>
      </c>
      <c r="D6" s="79">
        <v>4.8197319767260507E-2</v>
      </c>
      <c r="E6" s="79">
        <v>5.1866325086608607E-2</v>
      </c>
      <c r="F6" s="79">
        <v>0.13206977576521484</v>
      </c>
      <c r="G6" s="80">
        <v>1.3040309184380587</v>
      </c>
      <c r="H6" s="80">
        <v>1.5223779065768546</v>
      </c>
      <c r="I6" s="79">
        <v>0.10882938370253531</v>
      </c>
      <c r="J6" s="79">
        <v>0.59698514250325996</v>
      </c>
      <c r="K6" s="79">
        <v>5.3524000000000002E-2</v>
      </c>
      <c r="L6" s="79">
        <v>0.23675434053330363</v>
      </c>
      <c r="M6" s="79">
        <v>9.2567584225424104E-2</v>
      </c>
      <c r="N6" s="80">
        <v>1.0487316786221139</v>
      </c>
      <c r="O6" s="80">
        <v>2.4924481910179397</v>
      </c>
      <c r="P6" s="80">
        <v>21.649291457975476</v>
      </c>
      <c r="Q6" s="80">
        <v>49.578165599480705</v>
      </c>
      <c r="R6" s="80">
        <v>4.5988812443196219</v>
      </c>
      <c r="S6" s="80">
        <v>21.120152874872904</v>
      </c>
      <c r="T6" s="79">
        <v>-2.1993841210595461E-2</v>
      </c>
      <c r="U6" s="79">
        <v>6.409275484587712E-2</v>
      </c>
      <c r="V6" s="79">
        <v>2.6576673289955756E-2</v>
      </c>
      <c r="W6" s="79">
        <v>0.81471031512595593</v>
      </c>
      <c r="X6" s="79">
        <v>9.3709081086337465E-2</v>
      </c>
      <c r="Y6" s="79">
        <v>0.35459224927693617</v>
      </c>
      <c r="Z6" s="79">
        <v>0.35459224927693622</v>
      </c>
      <c r="AA6" s="81">
        <v>5.097954162021133E-2</v>
      </c>
    </row>
    <row r="7" spans="1:27">
      <c r="A7" s="77" t="s">
        <v>435</v>
      </c>
      <c r="B7" s="78">
        <v>39</v>
      </c>
      <c r="C7" s="79">
        <v>6.2846956521739161E-2</v>
      </c>
      <c r="D7" s="79">
        <v>5.3068985394390568E-2</v>
      </c>
      <c r="E7" s="79">
        <v>0.10156047044070848</v>
      </c>
      <c r="F7" s="79">
        <v>0.2795040993246159</v>
      </c>
      <c r="G7" s="80">
        <v>1.1211038704345888</v>
      </c>
      <c r="H7" s="80">
        <v>1.3444265903808044</v>
      </c>
      <c r="I7" s="79">
        <v>0.100643623157517</v>
      </c>
      <c r="J7" s="79">
        <v>0.37071964001600449</v>
      </c>
      <c r="K7" s="79">
        <v>5.0854999999999997E-2</v>
      </c>
      <c r="L7" s="79">
        <v>0.2776627158727018</v>
      </c>
      <c r="M7" s="79">
        <v>8.3289044478111765E-2</v>
      </c>
      <c r="N7" s="80">
        <v>2.0047909637588615</v>
      </c>
      <c r="O7" s="80">
        <v>0.81660915840074455</v>
      </c>
      <c r="P7" s="80">
        <v>7.0555269605485504</v>
      </c>
      <c r="Q7" s="80">
        <v>14.11643631329104</v>
      </c>
      <c r="R7" s="80">
        <v>1.9975303469056522</v>
      </c>
      <c r="S7" s="80">
        <v>39.033424628609531</v>
      </c>
      <c r="T7" s="79">
        <v>0.15450924675978886</v>
      </c>
      <c r="U7" s="79">
        <v>3.7078148075236982E-2</v>
      </c>
      <c r="V7" s="79">
        <v>3.1693603646353471E-2</v>
      </c>
      <c r="W7" s="79">
        <v>0.95183324795159374</v>
      </c>
      <c r="X7" s="79">
        <v>5.7236136729090913E-2</v>
      </c>
      <c r="Y7" s="79">
        <v>0.4536555295436519</v>
      </c>
      <c r="Z7" s="79">
        <v>0.45365552954365196</v>
      </c>
      <c r="AA7" s="81">
        <v>5.8520548536996245E-2</v>
      </c>
    </row>
    <row r="8" spans="1:27">
      <c r="A8" s="77" t="s">
        <v>436</v>
      </c>
      <c r="B8" s="78">
        <v>15</v>
      </c>
      <c r="C8" s="79">
        <v>7.2753846153846155E-2</v>
      </c>
      <c r="D8" s="79">
        <v>0</v>
      </c>
      <c r="E8" s="79">
        <v>1.7809965864835952E-4</v>
      </c>
      <c r="F8" s="79">
        <v>0.15860164261163576</v>
      </c>
      <c r="G8" s="80">
        <v>0.64400511784529801</v>
      </c>
      <c r="H8" s="80">
        <v>1.0613761697933088</v>
      </c>
      <c r="I8" s="79">
        <v>8.7623303810492215E-2</v>
      </c>
      <c r="J8" s="79">
        <v>0.22510527234137442</v>
      </c>
      <c r="K8" s="79">
        <v>4.5043E-2</v>
      </c>
      <c r="L8" s="79">
        <v>0.68370660862510779</v>
      </c>
      <c r="M8" s="79">
        <v>5.0811819504918643E-2</v>
      </c>
      <c r="N8" s="80">
        <v>0.26645699933051714</v>
      </c>
      <c r="O8" s="80">
        <v>5.265879881670676</v>
      </c>
      <c r="P8" s="80" t="s">
        <v>437</v>
      </c>
      <c r="Q8" s="80" t="s">
        <v>437</v>
      </c>
      <c r="R8" s="80">
        <v>1.0492601893677032</v>
      </c>
      <c r="S8" s="80">
        <v>8.547358658097874</v>
      </c>
      <c r="T8" s="79" t="s">
        <v>437</v>
      </c>
      <c r="U8" s="79">
        <v>1.9731137380717412E-2</v>
      </c>
      <c r="V8" s="79">
        <v>1.2953142452475423E-2</v>
      </c>
      <c r="W8" s="79">
        <v>55.728776313853096</v>
      </c>
      <c r="X8" s="79">
        <v>0.14874034732315899</v>
      </c>
      <c r="Y8" s="79">
        <v>0.24337970298838549</v>
      </c>
      <c r="Z8" s="79">
        <v>0.24337970298838552</v>
      </c>
      <c r="AA8" s="81">
        <v>8.1200893217945561E-4</v>
      </c>
    </row>
    <row r="9" spans="1:27">
      <c r="A9" s="77" t="s">
        <v>438</v>
      </c>
      <c r="B9" s="78">
        <v>625</v>
      </c>
      <c r="C9" s="79">
        <v>9.2156242299794702E-2</v>
      </c>
      <c r="D9" s="79">
        <v>3.6415348617892096E-8</v>
      </c>
      <c r="E9" s="79">
        <v>-5.3374958145126011E-4</v>
      </c>
      <c r="F9" s="79">
        <v>0.20724129233055669</v>
      </c>
      <c r="G9" s="80">
        <v>0.33336660673496787</v>
      </c>
      <c r="H9" s="80">
        <v>0.46115813409367462</v>
      </c>
      <c r="I9" s="79">
        <v>6.0013274168309032E-2</v>
      </c>
      <c r="J9" s="79">
        <v>0.1867735328629955</v>
      </c>
      <c r="K9" s="79">
        <v>4.5043E-2</v>
      </c>
      <c r="L9" s="79">
        <v>0.50481828844665777</v>
      </c>
      <c r="M9" s="79">
        <v>4.677137344346035E-2</v>
      </c>
      <c r="N9" s="80">
        <v>0.3671924593155293</v>
      </c>
      <c r="O9" s="80">
        <v>4.4737564903858402</v>
      </c>
      <c r="P9" s="80" t="s">
        <v>437</v>
      </c>
      <c r="Q9" s="80" t="s">
        <v>437</v>
      </c>
      <c r="R9" s="80">
        <v>1.0188589222331499</v>
      </c>
      <c r="S9" s="80">
        <v>35.966292420385749</v>
      </c>
      <c r="T9" s="79" t="s">
        <v>437</v>
      </c>
      <c r="U9" s="79">
        <v>2.7336820130708508E-2</v>
      </c>
      <c r="V9" s="79">
        <v>-0.10087904726752299</v>
      </c>
      <c r="W9" s="79" t="s">
        <v>437</v>
      </c>
      <c r="X9" s="79">
        <v>0.12142592116953591</v>
      </c>
      <c r="Y9" s="79">
        <v>0.32014617865318346</v>
      </c>
      <c r="Z9" s="79">
        <v>0.3201461786531834</v>
      </c>
      <c r="AA9" s="81">
        <v>-1.7660881241903206E-3</v>
      </c>
    </row>
    <row r="10" spans="1:27">
      <c r="A10" s="77" t="s">
        <v>439</v>
      </c>
      <c r="B10" s="78">
        <v>19</v>
      </c>
      <c r="C10" s="79">
        <v>0.12062222222222224</v>
      </c>
      <c r="D10" s="79">
        <v>0.20626605729454345</v>
      </c>
      <c r="E10" s="79">
        <v>0.16670846804136458</v>
      </c>
      <c r="F10" s="79">
        <v>0.25595531935006144</v>
      </c>
      <c r="G10" s="80">
        <v>0.97026335212736425</v>
      </c>
      <c r="H10" s="80">
        <v>1.1318349126688121</v>
      </c>
      <c r="I10" s="79">
        <v>9.0864405982765351E-2</v>
      </c>
      <c r="J10" s="79">
        <v>0.4970414041193621</v>
      </c>
      <c r="K10" s="79">
        <v>5.0854999999999997E-2</v>
      </c>
      <c r="L10" s="79">
        <v>0.19656022020066688</v>
      </c>
      <c r="M10" s="79">
        <v>8.0501130833118884E-2</v>
      </c>
      <c r="N10" s="80">
        <v>0.89682311533521308</v>
      </c>
      <c r="O10" s="80">
        <v>3.8916686876869191</v>
      </c>
      <c r="P10" s="80">
        <v>14.843529532980639</v>
      </c>
      <c r="Q10" s="80">
        <v>18.678840886226705</v>
      </c>
      <c r="R10" s="80">
        <v>3.0993348768756093</v>
      </c>
      <c r="S10" s="80">
        <v>35.375901073895371</v>
      </c>
      <c r="T10" s="79">
        <v>0.17116248155736727</v>
      </c>
      <c r="U10" s="79">
        <v>7.6631776152694453E-2</v>
      </c>
      <c r="V10" s="79">
        <v>9.390305849002889E-2</v>
      </c>
      <c r="W10" s="79">
        <v>0.90812968595804455</v>
      </c>
      <c r="X10" s="79">
        <v>8.69908980857384E-2</v>
      </c>
      <c r="Y10" s="79">
        <v>0.54634665208152333</v>
      </c>
      <c r="Z10" s="79">
        <v>0.54634665208152333</v>
      </c>
      <c r="AA10" s="81">
        <v>0.20751043151831927</v>
      </c>
    </row>
    <row r="11" spans="1:27">
      <c r="A11" s="77" t="s">
        <v>440</v>
      </c>
      <c r="B11" s="78">
        <v>29</v>
      </c>
      <c r="C11" s="79">
        <v>0.28579076923076918</v>
      </c>
      <c r="D11" s="79">
        <v>0.19303402977387185</v>
      </c>
      <c r="E11" s="79">
        <v>0.3065163030779624</v>
      </c>
      <c r="F11" s="79">
        <v>0.18728623048491203</v>
      </c>
      <c r="G11" s="80">
        <v>0.70183334721111912</v>
      </c>
      <c r="H11" s="80">
        <v>0.76414587542458534</v>
      </c>
      <c r="I11" s="79">
        <v>7.3950710269530928E-2</v>
      </c>
      <c r="J11" s="79">
        <v>0.42961071148670704</v>
      </c>
      <c r="K11" s="79">
        <v>5.0854999999999997E-2</v>
      </c>
      <c r="L11" s="79">
        <v>0.14615787524295451</v>
      </c>
      <c r="M11" s="79">
        <v>6.8716875642939296E-2</v>
      </c>
      <c r="N11" s="80">
        <v>1.6931990505110932</v>
      </c>
      <c r="O11" s="80">
        <v>4.164625625009446</v>
      </c>
      <c r="P11" s="80">
        <v>18.067516918352702</v>
      </c>
      <c r="Q11" s="80">
        <v>21.467253635523878</v>
      </c>
      <c r="R11" s="80">
        <v>7.4226028259444998</v>
      </c>
      <c r="S11" s="80">
        <v>33.673065255533182</v>
      </c>
      <c r="T11" s="79">
        <v>-7.1416168745672318E-2</v>
      </c>
      <c r="U11" s="79">
        <v>4.6538312568521902E-2</v>
      </c>
      <c r="V11" s="79">
        <v>2.386992815326883E-2</v>
      </c>
      <c r="W11" s="79">
        <v>0.25676455571759477</v>
      </c>
      <c r="X11" s="79">
        <v>0.30557353679830446</v>
      </c>
      <c r="Y11" s="79">
        <v>0.6638966866591276</v>
      </c>
      <c r="Z11" s="79">
        <v>0.6638966866591276</v>
      </c>
      <c r="AA11" s="81">
        <v>0.19397268289715019</v>
      </c>
    </row>
    <row r="12" spans="1:27">
      <c r="A12" s="77" t="s">
        <v>441</v>
      </c>
      <c r="B12" s="78">
        <v>22</v>
      </c>
      <c r="C12" s="79">
        <v>5.4847058823529415E-2</v>
      </c>
      <c r="D12" s="79">
        <v>0.11778498155713862</v>
      </c>
      <c r="E12" s="79">
        <v>0.12063888924002568</v>
      </c>
      <c r="F12" s="79">
        <v>0.26271149782887182</v>
      </c>
      <c r="G12" s="80">
        <v>0.49975667452480371</v>
      </c>
      <c r="H12" s="80">
        <v>1.0609243999049403</v>
      </c>
      <c r="I12" s="79">
        <v>8.7602522395627255E-2</v>
      </c>
      <c r="J12" s="79">
        <v>0.38457133667076027</v>
      </c>
      <c r="K12" s="79">
        <v>5.0854999999999997E-2</v>
      </c>
      <c r="L12" s="79">
        <v>0.63820798682921376</v>
      </c>
      <c r="M12" s="79">
        <v>5.603594331400262E-2</v>
      </c>
      <c r="N12" s="80">
        <v>1.1159893806472496</v>
      </c>
      <c r="O12" s="80">
        <v>1.2533019633843616</v>
      </c>
      <c r="P12" s="80">
        <v>7.3098296438361263</v>
      </c>
      <c r="Q12" s="80">
        <v>10.673057550494407</v>
      </c>
      <c r="R12" s="80">
        <v>0.80101351287155709</v>
      </c>
      <c r="S12" s="80">
        <v>7.8167811735331334</v>
      </c>
      <c r="T12" s="79">
        <v>0.10922957427443249</v>
      </c>
      <c r="U12" s="79">
        <v>2.5150013344556445E-2</v>
      </c>
      <c r="V12" s="79">
        <v>-2.0612152442738167E-2</v>
      </c>
      <c r="W12" s="79">
        <v>2.1143668601085928</v>
      </c>
      <c r="X12" s="79">
        <v>-2.1565149058570276E-2</v>
      </c>
      <c r="Y12" s="79">
        <v>2.1958759739129407E-3</v>
      </c>
      <c r="Z12" s="79">
        <v>2.1958759739129086E-3</v>
      </c>
      <c r="AA12" s="81">
        <v>0.11731512451023196</v>
      </c>
    </row>
    <row r="13" spans="1:27">
      <c r="A13" s="77" t="s">
        <v>442</v>
      </c>
      <c r="B13" s="78">
        <v>27</v>
      </c>
      <c r="C13" s="79">
        <v>0.12787473684210526</v>
      </c>
      <c r="D13" s="79">
        <v>7.7058531092326328E-3</v>
      </c>
      <c r="E13" s="79">
        <v>1.307446941021954E-3</v>
      </c>
      <c r="F13" s="79">
        <v>0.21046665127451775</v>
      </c>
      <c r="G13" s="80">
        <v>0.55077822149952105</v>
      </c>
      <c r="H13" s="80">
        <v>1.120326193984736</v>
      </c>
      <c r="I13" s="79">
        <v>9.0335004923297851E-2</v>
      </c>
      <c r="J13" s="79">
        <v>0.25213732428210645</v>
      </c>
      <c r="K13" s="79">
        <v>5.0854999999999997E-2</v>
      </c>
      <c r="L13" s="79">
        <v>0.69330765887708945</v>
      </c>
      <c r="M13" s="79">
        <v>5.4148674889421655E-2</v>
      </c>
      <c r="N13" s="80">
        <v>0.27949922437037333</v>
      </c>
      <c r="O13" s="80">
        <v>5.6097535469357611</v>
      </c>
      <c r="P13" s="80" t="s">
        <v>437</v>
      </c>
      <c r="Q13" s="80" t="s">
        <v>437</v>
      </c>
      <c r="R13" s="80">
        <v>1.6565413108416178</v>
      </c>
      <c r="S13" s="80">
        <v>222.18514648652769</v>
      </c>
      <c r="T13" s="79" t="s">
        <v>437</v>
      </c>
      <c r="U13" s="79">
        <v>3.4125847634679171E-2</v>
      </c>
      <c r="V13" s="79">
        <v>1.6766162791348155E-2</v>
      </c>
      <c r="W13" s="79">
        <v>56.433655889964861</v>
      </c>
      <c r="X13" s="79">
        <v>0.10413110832014963</v>
      </c>
      <c r="Y13" s="79">
        <v>0.4352511082051424</v>
      </c>
      <c r="Z13" s="79">
        <v>0.43525110820514246</v>
      </c>
      <c r="AA13" s="81">
        <v>5.7932474418426055E-3</v>
      </c>
    </row>
    <row r="14" spans="1:27">
      <c r="A14" s="77" t="s">
        <v>443</v>
      </c>
      <c r="B14" s="78">
        <v>44</v>
      </c>
      <c r="C14" s="79">
        <v>6.4077647058823517E-2</v>
      </c>
      <c r="D14" s="79">
        <v>0.13549668839875367</v>
      </c>
      <c r="E14" s="79">
        <v>0.25267057444947799</v>
      </c>
      <c r="F14" s="79">
        <v>0.24749103744997217</v>
      </c>
      <c r="G14" s="80">
        <v>1.2090471865786552</v>
      </c>
      <c r="H14" s="80">
        <v>1.3177985305249351</v>
      </c>
      <c r="I14" s="79">
        <v>9.9418732404147017E-2</v>
      </c>
      <c r="J14" s="79">
        <v>0.28715879840268466</v>
      </c>
      <c r="K14" s="79">
        <v>5.0854999999999997E-2</v>
      </c>
      <c r="L14" s="79">
        <v>0.15361123144803443</v>
      </c>
      <c r="M14" s="79">
        <v>9.0005822872010727E-2</v>
      </c>
      <c r="N14" s="80">
        <v>2.2882186586804418</v>
      </c>
      <c r="O14" s="80">
        <v>2.1109365215921261</v>
      </c>
      <c r="P14" s="80">
        <v>12.010468803767779</v>
      </c>
      <c r="Q14" s="80">
        <v>15.394243623712891</v>
      </c>
      <c r="R14" s="80">
        <v>4.735200284670956</v>
      </c>
      <c r="S14" s="80">
        <v>24.847889315631068</v>
      </c>
      <c r="T14" s="79">
        <v>0.18356211311341869</v>
      </c>
      <c r="U14" s="79">
        <v>3.2512733848203627E-2</v>
      </c>
      <c r="V14" s="79">
        <v>2.4513125773923429E-2</v>
      </c>
      <c r="W14" s="79">
        <v>-7.6166544925225102E-3</v>
      </c>
      <c r="X14" s="79">
        <v>0.21354650605206582</v>
      </c>
      <c r="Y14" s="79">
        <v>0.29019405797616848</v>
      </c>
      <c r="Z14" s="79">
        <v>0.29019405797616848</v>
      </c>
      <c r="AA14" s="81">
        <v>0.13773258950466172</v>
      </c>
    </row>
    <row r="15" spans="1:27">
      <c r="A15" s="77" t="s">
        <v>444</v>
      </c>
      <c r="B15" s="78">
        <v>162</v>
      </c>
      <c r="C15" s="79">
        <v>6.6924269662921379E-2</v>
      </c>
      <c r="D15" s="79">
        <v>0.11098788170854047</v>
      </c>
      <c r="E15" s="79">
        <v>0.27452359974428153</v>
      </c>
      <c r="F15" s="79">
        <v>0.24242512766060723</v>
      </c>
      <c r="G15" s="80">
        <v>0.92964265743301178</v>
      </c>
      <c r="H15" s="80">
        <v>1.0221017216409709</v>
      </c>
      <c r="I15" s="79">
        <v>8.5816679195484663E-2</v>
      </c>
      <c r="J15" s="79">
        <v>0.41290054994468384</v>
      </c>
      <c r="K15" s="79">
        <v>5.0854999999999997E-2</v>
      </c>
      <c r="L15" s="79">
        <v>0.15210606535531057</v>
      </c>
      <c r="M15" s="79">
        <v>7.8564957246433781E-2</v>
      </c>
      <c r="N15" s="80">
        <v>2.7218927299604339</v>
      </c>
      <c r="O15" s="80">
        <v>2.6819987829385279</v>
      </c>
      <c r="P15" s="80">
        <v>16.123377912677118</v>
      </c>
      <c r="Q15" s="80">
        <v>23.493439699858502</v>
      </c>
      <c r="R15" s="80">
        <v>5.5355120575616938</v>
      </c>
      <c r="S15" s="80">
        <v>86.899382361961813</v>
      </c>
      <c r="T15" s="79">
        <v>0.13484425179191181</v>
      </c>
      <c r="U15" s="79">
        <v>2.9848449272908677E-2</v>
      </c>
      <c r="V15" s="79">
        <v>1.6940121240038436E-2</v>
      </c>
      <c r="W15" s="79">
        <v>0.25446821033167139</v>
      </c>
      <c r="X15" s="79">
        <v>0.1399754737551486</v>
      </c>
      <c r="Y15" s="79">
        <v>0.59783007780719277</v>
      </c>
      <c r="Z15" s="79">
        <v>0.59783007780719277</v>
      </c>
      <c r="AA15" s="81">
        <v>0.11307358791595411</v>
      </c>
    </row>
    <row r="16" spans="1:27">
      <c r="A16" s="77" t="s">
        <v>445</v>
      </c>
      <c r="B16" s="78">
        <v>10</v>
      </c>
      <c r="C16" s="79">
        <v>0.16231666666666669</v>
      </c>
      <c r="D16" s="79">
        <v>0.19465081924755748</v>
      </c>
      <c r="E16" s="79">
        <v>0.11311872163563386</v>
      </c>
      <c r="F16" s="79">
        <v>0.25555176669754759</v>
      </c>
      <c r="G16" s="80">
        <v>0.73562954032076278</v>
      </c>
      <c r="H16" s="80">
        <v>1.2767983158980267</v>
      </c>
      <c r="I16" s="79">
        <v>9.7532722531309235E-2</v>
      </c>
      <c r="J16" s="79">
        <v>0.3300530419558696</v>
      </c>
      <c r="K16" s="79">
        <v>5.0854999999999997E-2</v>
      </c>
      <c r="L16" s="79">
        <v>0.50426003463258229</v>
      </c>
      <c r="M16" s="79">
        <v>6.7583976535791179E-2</v>
      </c>
      <c r="N16" s="80">
        <v>0.77672236932259209</v>
      </c>
      <c r="O16" s="80">
        <v>2.5465853835816081</v>
      </c>
      <c r="P16" s="80">
        <v>7.8008723610498603</v>
      </c>
      <c r="Q16" s="80">
        <v>13.348955942597875</v>
      </c>
      <c r="R16" s="80">
        <v>2.063094529414669</v>
      </c>
      <c r="S16" s="80">
        <v>16.12065991866249</v>
      </c>
      <c r="T16" s="79">
        <v>-9.7741192310436191E-4</v>
      </c>
      <c r="U16" s="79">
        <v>0.14079353806475833</v>
      </c>
      <c r="V16" s="79">
        <v>1.6512641327761278E-2</v>
      </c>
      <c r="W16" s="79">
        <v>0.15767366778442643</v>
      </c>
      <c r="X16" s="79">
        <v>0.19466771140821634</v>
      </c>
      <c r="Y16" s="79">
        <v>0.21927067291667543</v>
      </c>
      <c r="Z16" s="79">
        <v>0.21927067291667546</v>
      </c>
      <c r="AA16" s="81">
        <v>0.19087795085663556</v>
      </c>
    </row>
    <row r="17" spans="1:27">
      <c r="A17" s="77" t="s">
        <v>446</v>
      </c>
      <c r="B17" s="78">
        <v>32</v>
      </c>
      <c r="C17" s="79">
        <v>0.11316100000000001</v>
      </c>
      <c r="D17" s="79">
        <v>7.8809382448858323E-2</v>
      </c>
      <c r="E17" s="79">
        <v>0.11808931523559212</v>
      </c>
      <c r="F17" s="79">
        <v>0.23971308008564993</v>
      </c>
      <c r="G17" s="80">
        <v>0.87469078478798268</v>
      </c>
      <c r="H17" s="80">
        <v>1.096267077331708</v>
      </c>
      <c r="I17" s="79">
        <v>8.9228285557258563E-2</v>
      </c>
      <c r="J17" s="79">
        <v>0.38924523542650602</v>
      </c>
      <c r="K17" s="79">
        <v>5.0854999999999997E-2</v>
      </c>
      <c r="L17" s="79">
        <v>0.31354657676699077</v>
      </c>
      <c r="M17" s="79">
        <v>7.3210120441106613E-2</v>
      </c>
      <c r="N17" s="80">
        <v>1.6175128141587387</v>
      </c>
      <c r="O17" s="80">
        <v>1.1499985705299101</v>
      </c>
      <c r="P17" s="80">
        <v>8.0995322699832801</v>
      </c>
      <c r="Q17" s="80">
        <v>14.05606834124257</v>
      </c>
      <c r="R17" s="80">
        <v>1.9757813391316583</v>
      </c>
      <c r="S17" s="80">
        <v>12.407994201775024</v>
      </c>
      <c r="T17" s="79">
        <v>0.14739172149447363</v>
      </c>
      <c r="U17" s="79">
        <v>5.5075323588956941E-2</v>
      </c>
      <c r="V17" s="79">
        <v>3.0793498175279994E-2</v>
      </c>
      <c r="W17" s="79">
        <v>0.17366700473212501</v>
      </c>
      <c r="X17" s="79">
        <v>8.8946041576985921E-2</v>
      </c>
      <c r="Y17" s="79">
        <v>1.3126657214952435</v>
      </c>
      <c r="Z17" s="79">
        <v>1.3126657214952435</v>
      </c>
      <c r="AA17" s="81">
        <v>8.0172535926678418E-2</v>
      </c>
    </row>
    <row r="18" spans="1:27">
      <c r="A18" s="77" t="s">
        <v>447</v>
      </c>
      <c r="B18" s="78">
        <v>4</v>
      </c>
      <c r="C18" s="79">
        <v>-7.5500000000000038E-3</v>
      </c>
      <c r="D18" s="79">
        <v>1.5232688891083214E-2</v>
      </c>
      <c r="E18" s="79">
        <v>1.5720852535763625E-2</v>
      </c>
      <c r="F18" s="79">
        <v>0.44293366295838488</v>
      </c>
      <c r="G18" s="80">
        <v>0.81346085769352849</v>
      </c>
      <c r="H18" s="80">
        <v>1.1332797311390761</v>
      </c>
      <c r="I18" s="79">
        <v>9.0930867632397494E-2</v>
      </c>
      <c r="J18" s="79">
        <v>0.37242278384437877</v>
      </c>
      <c r="K18" s="79">
        <v>5.0854999999999997E-2</v>
      </c>
      <c r="L18" s="79">
        <v>0.41012862019663632</v>
      </c>
      <c r="M18" s="79">
        <v>6.9280334592114287E-2</v>
      </c>
      <c r="N18" s="80">
        <v>1.2786447256557913</v>
      </c>
      <c r="O18" s="80">
        <v>1.1597139266470613</v>
      </c>
      <c r="P18" s="80">
        <v>15.396063877133198</v>
      </c>
      <c r="Q18" s="80">
        <v>73.615159171578384</v>
      </c>
      <c r="R18" s="80">
        <v>1.9746042510627253</v>
      </c>
      <c r="S18" s="80">
        <v>30.527729815250837</v>
      </c>
      <c r="T18" s="79">
        <v>0.17621388838495999</v>
      </c>
      <c r="U18" s="79">
        <v>4.511777011805717E-2</v>
      </c>
      <c r="V18" s="79">
        <v>-5.7903354329949218E-3</v>
      </c>
      <c r="W18" s="79">
        <v>-5.556514170837235</v>
      </c>
      <c r="X18" s="79">
        <v>-2.3605004225089869E-2</v>
      </c>
      <c r="Y18" s="79">
        <v>1.037037037037037E-2</v>
      </c>
      <c r="Z18" s="79">
        <v>1.0370370370370363E-2</v>
      </c>
      <c r="AA18" s="81">
        <v>1.4639496833568348E-2</v>
      </c>
    </row>
    <row r="19" spans="1:27">
      <c r="A19" s="77" t="s">
        <v>448</v>
      </c>
      <c r="B19" s="78">
        <v>68</v>
      </c>
      <c r="C19" s="79">
        <v>7.3318750000000016E-2</v>
      </c>
      <c r="D19" s="79">
        <v>0.13090390749762712</v>
      </c>
      <c r="E19" s="79">
        <v>0.13505275648152232</v>
      </c>
      <c r="F19" s="79">
        <v>0.18266700211687126</v>
      </c>
      <c r="G19" s="80">
        <v>0.93813574342911976</v>
      </c>
      <c r="H19" s="80">
        <v>1.0873832852797658</v>
      </c>
      <c r="I19" s="79">
        <v>8.8819631122869225E-2</v>
      </c>
      <c r="J19" s="79">
        <v>0.36600539277751015</v>
      </c>
      <c r="K19" s="79">
        <v>5.0854999999999997E-2</v>
      </c>
      <c r="L19" s="79">
        <v>0.21148852013848732</v>
      </c>
      <c r="M19" s="79">
        <v>7.8101735296179364E-2</v>
      </c>
      <c r="N19" s="80">
        <v>1.15732408251221</v>
      </c>
      <c r="O19" s="80">
        <v>2.6791416225374163</v>
      </c>
      <c r="P19" s="80">
        <v>12.849678147864511</v>
      </c>
      <c r="Q19" s="80">
        <v>19.995555424351952</v>
      </c>
      <c r="R19" s="80">
        <v>2.67276074057165</v>
      </c>
      <c r="S19" s="80">
        <v>60.901134435897625</v>
      </c>
      <c r="T19" s="79">
        <v>0.22747765886505658</v>
      </c>
      <c r="U19" s="79">
        <v>8.4587824919642812E-2</v>
      </c>
      <c r="V19" s="79">
        <v>9.8115172777548026E-2</v>
      </c>
      <c r="W19" s="79">
        <v>1.0348496791866486</v>
      </c>
      <c r="X19" s="79">
        <v>0.14943273384769459</v>
      </c>
      <c r="Y19" s="79">
        <v>0.33249927210754887</v>
      </c>
      <c r="Z19" s="79">
        <v>0.33249927210754882</v>
      </c>
      <c r="AA19" s="81">
        <v>0.1304736636407548</v>
      </c>
    </row>
    <row r="20" spans="1:27">
      <c r="A20" s="77" t="s">
        <v>449</v>
      </c>
      <c r="B20" s="78">
        <v>18</v>
      </c>
      <c r="C20" s="79">
        <v>5.559999999999999E-2</v>
      </c>
      <c r="D20" s="79">
        <v>0.20509759118732937</v>
      </c>
      <c r="E20" s="79">
        <v>0.29497550992564786</v>
      </c>
      <c r="F20" s="79">
        <v>0.13126063867339174</v>
      </c>
      <c r="G20" s="80">
        <v>1.2427250283125129</v>
      </c>
      <c r="H20" s="80">
        <v>1.2707580825145446</v>
      </c>
      <c r="I20" s="79">
        <v>9.7254871795669051E-2</v>
      </c>
      <c r="J20" s="79">
        <v>0.55692259899700314</v>
      </c>
      <c r="K20" s="79">
        <v>5.3524000000000002E-2</v>
      </c>
      <c r="L20" s="79">
        <v>0.18396815851589854</v>
      </c>
      <c r="M20" s="79">
        <v>8.6748105912023726E-2</v>
      </c>
      <c r="N20" s="80">
        <v>1.4739520943470472</v>
      </c>
      <c r="O20" s="80">
        <v>1.329263856564374</v>
      </c>
      <c r="P20" s="80">
        <v>2.7528990930238861</v>
      </c>
      <c r="Q20" s="80">
        <v>4.0368281544460292</v>
      </c>
      <c r="R20" s="80">
        <v>1.7901440274639588</v>
      </c>
      <c r="S20" s="80">
        <v>91.912422983759726</v>
      </c>
      <c r="T20" s="79">
        <v>6.1300782894183045E-2</v>
      </c>
      <c r="U20" s="79">
        <v>9.3046119803254237E-2</v>
      </c>
      <c r="V20" s="79">
        <v>1.5940120019722653E-2</v>
      </c>
      <c r="W20" s="79">
        <v>0.13283664539899678</v>
      </c>
      <c r="X20" s="79">
        <v>0.29069215958320355</v>
      </c>
      <c r="Y20" s="79">
        <v>0.15155665948302102</v>
      </c>
      <c r="Z20" s="79">
        <v>0.15155665948302099</v>
      </c>
      <c r="AA20" s="81">
        <v>0.20552884089594509</v>
      </c>
    </row>
    <row r="21" spans="1:27">
      <c r="A21" s="77" t="s">
        <v>450</v>
      </c>
      <c r="B21" s="78">
        <v>72</v>
      </c>
      <c r="C21" s="79">
        <v>0.10926473684210528</v>
      </c>
      <c r="D21" s="79">
        <v>6.9781750755169278E-2</v>
      </c>
      <c r="E21" s="79">
        <v>0.24167411086330845</v>
      </c>
      <c r="F21" s="79">
        <v>0.18859681218443272</v>
      </c>
      <c r="G21" s="80">
        <v>0.85869750711737747</v>
      </c>
      <c r="H21" s="80">
        <v>0.99732353782806837</v>
      </c>
      <c r="I21" s="79">
        <v>8.4676882740091136E-2</v>
      </c>
      <c r="J21" s="79">
        <v>0.49612772702274627</v>
      </c>
      <c r="K21" s="79">
        <v>5.0854999999999997E-2</v>
      </c>
      <c r="L21" s="79">
        <v>0.22566035729965525</v>
      </c>
      <c r="M21" s="79">
        <v>7.4175635228796638E-2</v>
      </c>
      <c r="N21" s="80">
        <v>3.5867521403435378</v>
      </c>
      <c r="O21" s="80">
        <v>1.3742206681743261</v>
      </c>
      <c r="P21" s="80">
        <v>12.610910959671749</v>
      </c>
      <c r="Q21" s="80">
        <v>18.862943171557092</v>
      </c>
      <c r="R21" s="80">
        <v>4.3745780390573517</v>
      </c>
      <c r="S21" s="80">
        <v>76.132199815532758</v>
      </c>
      <c r="T21" s="79">
        <v>0.13853121727988529</v>
      </c>
      <c r="U21" s="79">
        <v>1.2325750009423415E-2</v>
      </c>
      <c r="V21" s="79">
        <v>8.2343910033029176E-3</v>
      </c>
      <c r="W21" s="79">
        <v>0.23795588571918946</v>
      </c>
      <c r="X21" s="79">
        <v>0.18772570752648005</v>
      </c>
      <c r="Y21" s="79">
        <v>0.57072644434029085</v>
      </c>
      <c r="Z21" s="79">
        <v>0.57072644434029085</v>
      </c>
      <c r="AA21" s="81">
        <v>7.303438673884674E-2</v>
      </c>
    </row>
    <row r="22" spans="1:27">
      <c r="A22" s="77" t="s">
        <v>451</v>
      </c>
      <c r="B22" s="78">
        <v>36</v>
      </c>
      <c r="C22" s="79">
        <v>2.3118148148148145E-2</v>
      </c>
      <c r="D22" s="79">
        <v>0.21063899949335566</v>
      </c>
      <c r="E22" s="79">
        <v>0.37798197124632166</v>
      </c>
      <c r="F22" s="79">
        <v>0.146118607992441</v>
      </c>
      <c r="G22" s="80">
        <v>1.1003543807483607</v>
      </c>
      <c r="H22" s="80">
        <v>1.1329223650294353</v>
      </c>
      <c r="I22" s="79">
        <v>9.0914428791354029E-2</v>
      </c>
      <c r="J22" s="79">
        <v>0.38898164531276785</v>
      </c>
      <c r="K22" s="79">
        <v>5.0854999999999997E-2</v>
      </c>
      <c r="L22" s="79">
        <v>5.7417446747048767E-2</v>
      </c>
      <c r="M22" s="79">
        <v>8.7884327608428986E-2</v>
      </c>
      <c r="N22" s="80">
        <v>1.9227871093142761</v>
      </c>
      <c r="O22" s="80">
        <v>5.5117305732812101</v>
      </c>
      <c r="P22" s="80">
        <v>21.831632280697495</v>
      </c>
      <c r="Q22" s="80">
        <v>25.971419409717786</v>
      </c>
      <c r="R22" s="80">
        <v>30.982880033408666</v>
      </c>
      <c r="S22" s="80">
        <v>31.833390779893396</v>
      </c>
      <c r="T22" s="79">
        <v>-9.8693444874868835E-2</v>
      </c>
      <c r="U22" s="79">
        <v>3.0597659642645401E-2</v>
      </c>
      <c r="V22" s="79">
        <v>9.0047013395217704E-3</v>
      </c>
      <c r="W22" s="79">
        <v>9.2441186690531002E-2</v>
      </c>
      <c r="X22" s="79">
        <v>-1.2342890084991339E-5</v>
      </c>
      <c r="Y22" s="79">
        <v>0.17443899392066986</v>
      </c>
      <c r="Z22" s="79">
        <v>0.17443899392066986</v>
      </c>
      <c r="AA22" s="81">
        <v>0.21483117342726249</v>
      </c>
    </row>
    <row r="23" spans="1:27">
      <c r="A23" s="77" t="s">
        <v>452</v>
      </c>
      <c r="B23" s="78">
        <v>11</v>
      </c>
      <c r="C23" s="79">
        <v>9.3214285714285708E-2</v>
      </c>
      <c r="D23" s="79">
        <v>0.19042805922763226</v>
      </c>
      <c r="E23" s="79">
        <v>0.16917184600449708</v>
      </c>
      <c r="F23" s="79">
        <v>0.20587654716037279</v>
      </c>
      <c r="G23" s="80">
        <v>0.85045702070612572</v>
      </c>
      <c r="H23" s="80">
        <v>0.93781621828777395</v>
      </c>
      <c r="I23" s="79">
        <v>8.1939546041237599E-2</v>
      </c>
      <c r="J23" s="79">
        <v>0.30297083677405678</v>
      </c>
      <c r="K23" s="79">
        <v>5.0854999999999997E-2</v>
      </c>
      <c r="L23" s="79">
        <v>0.13984162501138236</v>
      </c>
      <c r="M23" s="79">
        <v>7.5814721150101336E-2</v>
      </c>
      <c r="N23" s="80">
        <v>1.0504344600135633</v>
      </c>
      <c r="O23" s="80">
        <v>4.0960651964189765</v>
      </c>
      <c r="P23" s="80">
        <v>14.937131868626217</v>
      </c>
      <c r="Q23" s="80">
        <v>21.867430131104488</v>
      </c>
      <c r="R23" s="80">
        <v>3.7678129120418093</v>
      </c>
      <c r="S23" s="80">
        <v>63.097848899177691</v>
      </c>
      <c r="T23" s="79">
        <v>0.22904316172646905</v>
      </c>
      <c r="U23" s="79">
        <v>9.466841831568E-2</v>
      </c>
      <c r="V23" s="79">
        <v>3.4544525640674763E-2</v>
      </c>
      <c r="W23" s="79">
        <v>0.39648111433244615</v>
      </c>
      <c r="X23" s="79">
        <v>0.1720397075859865</v>
      </c>
      <c r="Y23" s="79">
        <v>0.15193309779614278</v>
      </c>
      <c r="Z23" s="79">
        <v>0.15193309779614284</v>
      </c>
      <c r="AA23" s="81">
        <v>0.18714102189619572</v>
      </c>
    </row>
    <row r="24" spans="1:27">
      <c r="A24" s="77" t="s">
        <v>453</v>
      </c>
      <c r="B24" s="78">
        <v>23</v>
      </c>
      <c r="C24" s="79">
        <v>6.9406363636363641E-2</v>
      </c>
      <c r="D24" s="79">
        <v>0.22931748516386233</v>
      </c>
      <c r="E24" s="79">
        <v>0.20395197737613438</v>
      </c>
      <c r="F24" s="79">
        <v>0.17651836241260768</v>
      </c>
      <c r="G24" s="80">
        <v>1.0923486152033832</v>
      </c>
      <c r="H24" s="80">
        <v>1.1948544445210565</v>
      </c>
      <c r="I24" s="79">
        <v>9.3763304447968598E-2</v>
      </c>
      <c r="J24" s="79">
        <v>0.5225050340018127</v>
      </c>
      <c r="K24" s="79">
        <v>5.3524000000000002E-2</v>
      </c>
      <c r="L24" s="79">
        <v>0.1607420785589129</v>
      </c>
      <c r="M24" s="79">
        <v>8.5144265258040405E-2</v>
      </c>
      <c r="N24" s="80">
        <v>0.93313862274715875</v>
      </c>
      <c r="O24" s="80">
        <v>2.4285333531334716</v>
      </c>
      <c r="P24" s="80">
        <v>8.9346371681963657</v>
      </c>
      <c r="Q24" s="80">
        <v>10.510496860016763</v>
      </c>
      <c r="R24" s="80">
        <v>1.8732585871718974</v>
      </c>
      <c r="S24" s="80">
        <v>13.800008820068092</v>
      </c>
      <c r="T24" s="79">
        <v>5.0020771018464777E-2</v>
      </c>
      <c r="U24" s="79">
        <v>4.4830248929640291E-2</v>
      </c>
      <c r="V24" s="79">
        <v>4.6101030377602686E-2</v>
      </c>
      <c r="W24" s="79">
        <v>0.25080420620828026</v>
      </c>
      <c r="X24" s="79">
        <v>0.15867710900985088</v>
      </c>
      <c r="Y24" s="79">
        <v>8.1605407127575316E-2</v>
      </c>
      <c r="Z24" s="79">
        <v>8.1605407127575358E-2</v>
      </c>
      <c r="AA24" s="81">
        <v>0.23068357288812125</v>
      </c>
    </row>
    <row r="25" spans="1:27">
      <c r="A25" s="77" t="s">
        <v>454</v>
      </c>
      <c r="B25" s="78">
        <v>572</v>
      </c>
      <c r="C25" s="79">
        <v>0.18950851190476192</v>
      </c>
      <c r="D25" s="79">
        <v>1.0772125793898567E-2</v>
      </c>
      <c r="E25" s="79">
        <v>1.5551579144381567E-2</v>
      </c>
      <c r="F25" s="79">
        <v>0.16414119075344816</v>
      </c>
      <c r="G25" s="80">
        <v>1.0890964696256169</v>
      </c>
      <c r="H25" s="80">
        <v>1.1233547439492362</v>
      </c>
      <c r="I25" s="79">
        <v>9.0474318221664865E-2</v>
      </c>
      <c r="J25" s="79">
        <v>0.6198094773831897</v>
      </c>
      <c r="K25" s="79">
        <v>5.3524000000000002E-2</v>
      </c>
      <c r="L25" s="79">
        <v>0.14082267604024337</v>
      </c>
      <c r="M25" s="79">
        <v>8.3386527301056959E-2</v>
      </c>
      <c r="N25" s="80">
        <v>0.40681193428310364</v>
      </c>
      <c r="O25" s="80">
        <v>6.8880470352138108</v>
      </c>
      <c r="P25" s="80">
        <v>13.519816800069261</v>
      </c>
      <c r="Q25" s="80" t="s">
        <v>437</v>
      </c>
      <c r="R25" s="80">
        <v>6.135291677851848</v>
      </c>
      <c r="S25" s="80">
        <v>30.391605386786914</v>
      </c>
      <c r="T25" s="79">
        <v>9.9810417479148511E-2</v>
      </c>
      <c r="U25" s="79">
        <v>3.8231005472018041E-2</v>
      </c>
      <c r="V25" s="79">
        <v>3.468871974612317E-2</v>
      </c>
      <c r="W25" s="79" t="s">
        <v>437</v>
      </c>
      <c r="X25" s="79">
        <v>-0.11590040227481527</v>
      </c>
      <c r="Y25" s="79">
        <v>8.849667367975925E-4</v>
      </c>
      <c r="Z25" s="79">
        <v>8.8496673679760995E-4</v>
      </c>
      <c r="AA25" s="81">
        <v>3.8302994165288748E-2</v>
      </c>
    </row>
    <row r="26" spans="1:27">
      <c r="A26" s="77" t="s">
        <v>455</v>
      </c>
      <c r="B26" s="78">
        <v>245</v>
      </c>
      <c r="C26" s="79">
        <v>0.41537666666666667</v>
      </c>
      <c r="D26" s="79">
        <v>0.1816047184019137</v>
      </c>
      <c r="E26" s="79">
        <v>0.13375270622156929</v>
      </c>
      <c r="F26" s="79">
        <v>0.14924679402968208</v>
      </c>
      <c r="G26" s="80">
        <v>0.94399768677855111</v>
      </c>
      <c r="H26" s="80">
        <v>1.0269619624933468</v>
      </c>
      <c r="I26" s="79">
        <v>8.6040250274693947E-2</v>
      </c>
      <c r="J26" s="79">
        <v>0.6530341383257241</v>
      </c>
      <c r="K26" s="79">
        <v>6.0879000000000003E-2</v>
      </c>
      <c r="L26" s="79">
        <v>0.13828827500212321</v>
      </c>
      <c r="M26" s="79">
        <v>8.0456031403846245E-2</v>
      </c>
      <c r="N26" s="80">
        <v>0.64296181942943686</v>
      </c>
      <c r="O26" s="80">
        <v>5.0792398099384464</v>
      </c>
      <c r="P26" s="80">
        <v>16.617974116905632</v>
      </c>
      <c r="Q26" s="80">
        <v>27.428480363585575</v>
      </c>
      <c r="R26" s="80">
        <v>5.1951082931130115</v>
      </c>
      <c r="S26" s="80">
        <v>57.625877349549583</v>
      </c>
      <c r="T26" s="79">
        <v>0.22369121415285234</v>
      </c>
      <c r="U26" s="79">
        <v>5.3053463594413347E-2</v>
      </c>
      <c r="V26" s="79">
        <v>0.1297351632612678</v>
      </c>
      <c r="W26" s="79">
        <v>0.85392631754367632</v>
      </c>
      <c r="X26" s="79">
        <v>0.17320808107952249</v>
      </c>
      <c r="Y26" s="79">
        <v>0.69958361802549229</v>
      </c>
      <c r="Z26" s="79">
        <v>0.69958361802549229</v>
      </c>
      <c r="AA26" s="81">
        <v>0.21327300590991013</v>
      </c>
    </row>
    <row r="27" spans="1:27">
      <c r="A27" s="77" t="s">
        <v>456</v>
      </c>
      <c r="B27" s="78">
        <v>31</v>
      </c>
      <c r="C27" s="79">
        <v>4.1181874999999993E-2</v>
      </c>
      <c r="D27" s="79">
        <v>5.8152137730714419E-2</v>
      </c>
      <c r="E27" s="79">
        <v>5.9280308281626143E-2</v>
      </c>
      <c r="F27" s="79">
        <v>0.32156187378758871</v>
      </c>
      <c r="G27" s="80">
        <v>1.1467394309363781</v>
      </c>
      <c r="H27" s="80">
        <v>1.2251855531141391</v>
      </c>
      <c r="I27" s="79">
        <v>9.5158535443250397E-2</v>
      </c>
      <c r="J27" s="79">
        <v>0.43781301036597053</v>
      </c>
      <c r="K27" s="79">
        <v>5.0854999999999997E-2</v>
      </c>
      <c r="L27" s="79">
        <v>0.16383109786985448</v>
      </c>
      <c r="M27" s="79">
        <v>8.5817330971523803E-2</v>
      </c>
      <c r="N27" s="80">
        <v>1.2894168928698895</v>
      </c>
      <c r="O27" s="80">
        <v>2.3038717172014334</v>
      </c>
      <c r="P27" s="80">
        <v>10.79885515422891</v>
      </c>
      <c r="Q27" s="80">
        <v>31.741208061314889</v>
      </c>
      <c r="R27" s="80">
        <v>2.7160288491807298</v>
      </c>
      <c r="S27" s="80">
        <v>34.573469860937713</v>
      </c>
      <c r="T27" s="79">
        <v>9.0768336455339341E-2</v>
      </c>
      <c r="U27" s="79">
        <v>2.9240501681576912E-2</v>
      </c>
      <c r="V27" s="79">
        <v>3.3245288819538331E-3</v>
      </c>
      <c r="W27" s="79">
        <v>0.97503980207358554</v>
      </c>
      <c r="X27" s="79">
        <v>1.6746880536467494E-2</v>
      </c>
      <c r="Y27" s="79">
        <v>0.38078808076847676</v>
      </c>
      <c r="Z27" s="79">
        <v>0.3807880807684767</v>
      </c>
      <c r="AA27" s="81">
        <v>5.1629989846851708E-2</v>
      </c>
    </row>
    <row r="28" spans="1:27">
      <c r="A28" s="77" t="s">
        <v>457</v>
      </c>
      <c r="B28" s="78">
        <v>103</v>
      </c>
      <c r="C28" s="79">
        <v>0.14907829787234042</v>
      </c>
      <c r="D28" s="79">
        <v>9.0010627576211533E-2</v>
      </c>
      <c r="E28" s="79">
        <v>0.13265964322266596</v>
      </c>
      <c r="F28" s="79">
        <v>0.21670554463683422</v>
      </c>
      <c r="G28" s="80">
        <v>1.145843471951508</v>
      </c>
      <c r="H28" s="80">
        <v>1.2410543592858396</v>
      </c>
      <c r="I28" s="79">
        <v>9.5888500527148618E-2</v>
      </c>
      <c r="J28" s="79">
        <v>0.54423898938240323</v>
      </c>
      <c r="K28" s="79">
        <v>5.3524000000000002E-2</v>
      </c>
      <c r="L28" s="79">
        <v>0.17619594793469248</v>
      </c>
      <c r="M28" s="79">
        <v>8.6066369218673763E-2</v>
      </c>
      <c r="N28" s="80">
        <v>1.4659763013390332</v>
      </c>
      <c r="O28" s="80">
        <v>2.9757179784329062</v>
      </c>
      <c r="P28" s="80">
        <v>14.654554784871266</v>
      </c>
      <c r="Q28" s="80">
        <v>28.89201617695047</v>
      </c>
      <c r="R28" s="80">
        <v>2.9236490003601276</v>
      </c>
      <c r="S28" s="80">
        <v>24.688706144324069</v>
      </c>
      <c r="T28" s="79">
        <v>0.28273149237542999</v>
      </c>
      <c r="U28" s="79">
        <v>6.1632530290405142E-2</v>
      </c>
      <c r="V28" s="79">
        <v>9.8179239343670066E-2</v>
      </c>
      <c r="W28" s="79">
        <v>2.1463997544763114</v>
      </c>
      <c r="X28" s="79">
        <v>0.23703235618633814</v>
      </c>
      <c r="Y28" s="79">
        <v>0.17177866341194353</v>
      </c>
      <c r="Z28" s="79">
        <v>0.17177866341194359</v>
      </c>
      <c r="AA28" s="81">
        <v>9.5714676405284388E-2</v>
      </c>
    </row>
    <row r="29" spans="1:27">
      <c r="A29" s="77" t="s">
        <v>458</v>
      </c>
      <c r="B29" s="78">
        <v>13</v>
      </c>
      <c r="C29" s="79">
        <v>-6.3210000000000002E-2</v>
      </c>
      <c r="D29" s="79">
        <v>-7.643401586021315E-4</v>
      </c>
      <c r="E29" s="79">
        <v>9.5426355462240233E-3</v>
      </c>
      <c r="F29" s="79">
        <v>0.6944234404536862</v>
      </c>
      <c r="G29" s="80">
        <v>1.3029636093516688</v>
      </c>
      <c r="H29" s="80">
        <v>1.2951787766557901</v>
      </c>
      <c r="I29" s="79">
        <v>9.8378223726166336E-2</v>
      </c>
      <c r="J29" s="79">
        <v>0.39424154982087117</v>
      </c>
      <c r="K29" s="79">
        <v>5.0854999999999997E-2</v>
      </c>
      <c r="L29" s="79">
        <v>0.15486981955971799</v>
      </c>
      <c r="M29" s="79">
        <v>8.904933447437148E-2</v>
      </c>
      <c r="N29" s="80">
        <v>1.6732153737167332</v>
      </c>
      <c r="O29" s="80">
        <v>0.84607344479761215</v>
      </c>
      <c r="P29" s="80">
        <v>19.143941698748328</v>
      </c>
      <c r="Q29" s="80" t="s">
        <v>437</v>
      </c>
      <c r="R29" s="80">
        <v>1.9031490452094928</v>
      </c>
      <c r="S29" s="80">
        <v>38.632883209912393</v>
      </c>
      <c r="T29" s="79">
        <v>0.15533542696520905</v>
      </c>
      <c r="U29" s="79">
        <v>1.5568092728386464E-2</v>
      </c>
      <c r="V29" s="79">
        <v>-2.2079528200980025E-3</v>
      </c>
      <c r="W29" s="79" t="s">
        <v>437</v>
      </c>
      <c r="X29" s="79">
        <v>-6.6268001387247435E-2</v>
      </c>
      <c r="Y29" s="79">
        <v>0</v>
      </c>
      <c r="Z29" s="79">
        <v>0</v>
      </c>
      <c r="AA29" s="81">
        <v>5.6724354829463522E-3</v>
      </c>
    </row>
    <row r="30" spans="1:27">
      <c r="A30" s="77" t="s">
        <v>430</v>
      </c>
      <c r="B30" s="78">
        <v>129</v>
      </c>
      <c r="C30" s="79">
        <v>0.15823965116279071</v>
      </c>
      <c r="D30" s="79">
        <v>9.4816605584407423E-2</v>
      </c>
      <c r="E30" s="79">
        <v>0.15114383953059968</v>
      </c>
      <c r="F30" s="79">
        <v>0.22613287894821063</v>
      </c>
      <c r="G30" s="80">
        <v>0.8772051743933108</v>
      </c>
      <c r="H30" s="80">
        <v>0.93395459906726541</v>
      </c>
      <c r="I30" s="79">
        <v>8.1761911557094211E-2</v>
      </c>
      <c r="J30" s="79">
        <v>0.42942643620556031</v>
      </c>
      <c r="K30" s="79">
        <v>5.0854999999999997E-2</v>
      </c>
      <c r="L30" s="79">
        <v>0.14673840734826454</v>
      </c>
      <c r="M30" s="79">
        <v>7.5361085152728532E-2</v>
      </c>
      <c r="N30" s="80">
        <v>1.6768879249052682</v>
      </c>
      <c r="O30" s="80">
        <v>2.1770119295764263</v>
      </c>
      <c r="P30" s="80">
        <v>13.589599841576854</v>
      </c>
      <c r="Q30" s="80">
        <v>22.109356359942485</v>
      </c>
      <c r="R30" s="80">
        <v>3.2790176756415139</v>
      </c>
      <c r="S30" s="80">
        <v>102.2602762874735</v>
      </c>
      <c r="T30" s="79">
        <v>0.24013986599713918</v>
      </c>
      <c r="U30" s="79">
        <v>4.0634673225505777E-2</v>
      </c>
      <c r="V30" s="79">
        <v>4.116813973531535E-2</v>
      </c>
      <c r="W30" s="79">
        <v>0.70431641073104712</v>
      </c>
      <c r="X30" s="79">
        <v>8.797660106927524E-2</v>
      </c>
      <c r="Y30" s="79">
        <v>0.28526884031561212</v>
      </c>
      <c r="Z30" s="79">
        <v>0.28526884031561206</v>
      </c>
      <c r="AA30" s="81">
        <v>9.7970185070913832E-2</v>
      </c>
    </row>
    <row r="31" spans="1:27">
      <c r="A31" s="77" t="s">
        <v>459</v>
      </c>
      <c r="B31" s="78">
        <v>77</v>
      </c>
      <c r="C31" s="79">
        <v>6.5536666666666632E-2</v>
      </c>
      <c r="D31" s="79">
        <v>0.10360185076313747</v>
      </c>
      <c r="E31" s="79">
        <v>0.18528356431084828</v>
      </c>
      <c r="F31" s="79">
        <v>0.2368733194672781</v>
      </c>
      <c r="G31" s="80">
        <v>0.92403959370273336</v>
      </c>
      <c r="H31" s="80">
        <v>1.0580761393416174</v>
      </c>
      <c r="I31" s="79">
        <v>8.7471502409714408E-2</v>
      </c>
      <c r="J31" s="79">
        <v>0.36589093646977811</v>
      </c>
      <c r="K31" s="79">
        <v>5.0854999999999997E-2</v>
      </c>
      <c r="L31" s="79">
        <v>0.21102553579017477</v>
      </c>
      <c r="M31" s="79">
        <v>7.7061559464289858E-2</v>
      </c>
      <c r="N31" s="80">
        <v>2.037850068990315</v>
      </c>
      <c r="O31" s="80">
        <v>1.5719288338742232</v>
      </c>
      <c r="P31" s="80">
        <v>11.036891379802853</v>
      </c>
      <c r="Q31" s="80">
        <v>14.820564347673916</v>
      </c>
      <c r="R31" s="80">
        <v>3.7460429418716128</v>
      </c>
      <c r="S31" s="80">
        <v>36.142452668814599</v>
      </c>
      <c r="T31" s="79">
        <v>0.1894488945698595</v>
      </c>
      <c r="U31" s="79">
        <v>3.7420769095906761E-2</v>
      </c>
      <c r="V31" s="79">
        <v>2.8433401793941292E-2</v>
      </c>
      <c r="W31" s="79">
        <v>0.66623551016856597</v>
      </c>
      <c r="X31" s="79">
        <v>0.21241763392703947</v>
      </c>
      <c r="Y31" s="79">
        <v>0.2474936008483172</v>
      </c>
      <c r="Z31" s="79">
        <v>0.24749360084831717</v>
      </c>
      <c r="AA31" s="81">
        <v>0.10638181139347136</v>
      </c>
    </row>
    <row r="32" spans="1:27">
      <c r="A32" s="77" t="s">
        <v>460</v>
      </c>
      <c r="B32" s="78">
        <v>98</v>
      </c>
      <c r="C32" s="79">
        <v>0.15469137931034482</v>
      </c>
      <c r="D32" s="79">
        <v>7.0067935835321643E-2</v>
      </c>
      <c r="E32" s="79">
        <v>7.5578911739182089E-2</v>
      </c>
      <c r="F32" s="79">
        <v>0.19997160037162454</v>
      </c>
      <c r="G32" s="80">
        <v>0.86571919280395593</v>
      </c>
      <c r="H32" s="80">
        <v>0.99455942915170392</v>
      </c>
      <c r="I32" s="79">
        <v>8.4549733740978378E-2</v>
      </c>
      <c r="J32" s="79">
        <v>0.61185830172417144</v>
      </c>
      <c r="K32" s="79">
        <v>5.3524000000000002E-2</v>
      </c>
      <c r="L32" s="79">
        <v>0.22327359258810395</v>
      </c>
      <c r="M32" s="79">
        <v>7.4634882763526755E-2</v>
      </c>
      <c r="N32" s="80">
        <v>1.105934104413193</v>
      </c>
      <c r="O32" s="80">
        <v>3.0674272548861663</v>
      </c>
      <c r="P32" s="80">
        <v>16.372327269203399</v>
      </c>
      <c r="Q32" s="80">
        <v>42.533399418877075</v>
      </c>
      <c r="R32" s="80">
        <v>2.5929691561863222</v>
      </c>
      <c r="S32" s="80">
        <v>31.168325364687774</v>
      </c>
      <c r="T32" s="79">
        <v>3.8054347095575536E-2</v>
      </c>
      <c r="U32" s="79">
        <v>4.3745016460205635E-2</v>
      </c>
      <c r="V32" s="79">
        <v>-2.2575917320574641E-2</v>
      </c>
      <c r="W32" s="79">
        <v>-0.20650613209517016</v>
      </c>
      <c r="X32" s="79">
        <v>-2.7275543810870717E-3</v>
      </c>
      <c r="Y32" s="79">
        <v>3.4346522556140007E-3</v>
      </c>
      <c r="Z32" s="79">
        <v>3.4346522556140124E-3</v>
      </c>
      <c r="AA32" s="81">
        <v>7.0525654364218135E-2</v>
      </c>
    </row>
    <row r="33" spans="1:27">
      <c r="A33" s="77" t="s">
        <v>461</v>
      </c>
      <c r="B33" s="78">
        <v>57</v>
      </c>
      <c r="C33" s="79">
        <v>0.13381230769230767</v>
      </c>
      <c r="D33" s="79">
        <v>0.13553472241576553</v>
      </c>
      <c r="E33" s="79">
        <v>0.29942483961191058</v>
      </c>
      <c r="F33" s="79">
        <v>0.24029481031347999</v>
      </c>
      <c r="G33" s="80">
        <v>0.78573019548056033</v>
      </c>
      <c r="H33" s="80">
        <v>0.90699903446977015</v>
      </c>
      <c r="I33" s="79">
        <v>8.0521955585609428E-2</v>
      </c>
      <c r="J33" s="79">
        <v>0.4606641855124769</v>
      </c>
      <c r="K33" s="79">
        <v>5.0854999999999997E-2</v>
      </c>
      <c r="L33" s="79">
        <v>0.17996903176435833</v>
      </c>
      <c r="M33" s="79">
        <v>7.2894741035876967E-2</v>
      </c>
      <c r="N33" s="80">
        <v>2.2902044972728537</v>
      </c>
      <c r="O33" s="80">
        <v>3.3833883540504326</v>
      </c>
      <c r="P33" s="80">
        <v>15.00034560192311</v>
      </c>
      <c r="Q33" s="80">
        <v>24.256339038064446</v>
      </c>
      <c r="R33" s="80">
        <v>6.2476402280431014</v>
      </c>
      <c r="S33" s="80">
        <v>31.275191037772736</v>
      </c>
      <c r="T33" s="79">
        <v>0.10180591590590521</v>
      </c>
      <c r="U33" s="79">
        <v>7.8381742161797524E-2</v>
      </c>
      <c r="V33" s="79">
        <v>6.4845913725881957E-2</v>
      </c>
      <c r="W33" s="79">
        <v>0.70099824399013422</v>
      </c>
      <c r="X33" s="79">
        <v>0.2101163487107984</v>
      </c>
      <c r="Y33" s="79">
        <v>0.3634221878468773</v>
      </c>
      <c r="Z33" s="79">
        <v>0.3634221878468773</v>
      </c>
      <c r="AA33" s="81">
        <v>0.13822317401919318</v>
      </c>
    </row>
    <row r="34" spans="1:27">
      <c r="A34" s="77" t="s">
        <v>462</v>
      </c>
      <c r="B34" s="78">
        <v>42</v>
      </c>
      <c r="C34" s="79">
        <v>0.21383809523809522</v>
      </c>
      <c r="D34" s="79">
        <v>0.1017867183533354</v>
      </c>
      <c r="E34" s="79">
        <v>0.17930588293067248</v>
      </c>
      <c r="F34" s="79">
        <v>0.20906218860773967</v>
      </c>
      <c r="G34" s="80">
        <v>0.76921333535098557</v>
      </c>
      <c r="H34" s="80">
        <v>0.99162450807266023</v>
      </c>
      <c r="I34" s="79">
        <v>8.4414727371342368E-2</v>
      </c>
      <c r="J34" s="79">
        <v>0.54139722238781107</v>
      </c>
      <c r="K34" s="79">
        <v>5.3524000000000002E-2</v>
      </c>
      <c r="L34" s="79">
        <v>0.31178335075736729</v>
      </c>
      <c r="M34" s="79">
        <v>7.0611539867688589E-2</v>
      </c>
      <c r="N34" s="80">
        <v>1.8306605351728302</v>
      </c>
      <c r="O34" s="80">
        <v>1.1055363962241</v>
      </c>
      <c r="P34" s="80">
        <v>8.9728445584552468</v>
      </c>
      <c r="Q34" s="80">
        <v>10.564710180101258</v>
      </c>
      <c r="R34" s="80">
        <v>2.7330367548600969</v>
      </c>
      <c r="S34" s="80">
        <v>21.611875005333811</v>
      </c>
      <c r="T34" s="79">
        <v>0.14722500458801463</v>
      </c>
      <c r="U34" s="79">
        <v>3.3959385963758186E-2</v>
      </c>
      <c r="V34" s="79">
        <v>2.6989790167118995E-2</v>
      </c>
      <c r="W34" s="79">
        <v>0.53012035842397032</v>
      </c>
      <c r="X34" s="79">
        <v>0.27512096983755308</v>
      </c>
      <c r="Y34" s="79">
        <v>0.17330466660689933</v>
      </c>
      <c r="Z34" s="79">
        <v>0.17330466660689936</v>
      </c>
      <c r="AA34" s="81">
        <v>0.10487455135329483</v>
      </c>
    </row>
    <row r="35" spans="1:27">
      <c r="A35" s="77" t="s">
        <v>463</v>
      </c>
      <c r="B35" s="78">
        <v>192</v>
      </c>
      <c r="C35" s="79">
        <v>0.19123907563025216</v>
      </c>
      <c r="D35" s="79">
        <v>0.15992933926673833</v>
      </c>
      <c r="E35" s="79">
        <v>9.6330086209587031E-3</v>
      </c>
      <c r="F35" s="79">
        <v>0.18997827291193156</v>
      </c>
      <c r="G35" s="80">
        <v>0.32851469580529807</v>
      </c>
      <c r="H35" s="80">
        <v>1.1400490933846248</v>
      </c>
      <c r="I35" s="79">
        <v>9.1242258295692741E-2</v>
      </c>
      <c r="J35" s="79">
        <v>0.3810213497605191</v>
      </c>
      <c r="K35" s="79">
        <v>5.0854999999999997E-2</v>
      </c>
      <c r="L35" s="79">
        <v>0.77415085291115138</v>
      </c>
      <c r="M35" s="79">
        <v>5.0134067433140084E-2</v>
      </c>
      <c r="N35" s="80">
        <v>6.7119149808869766E-2</v>
      </c>
      <c r="O35" s="80">
        <v>18.642987157381903</v>
      </c>
      <c r="P35" s="80">
        <v>57.680538877058737</v>
      </c>
      <c r="Q35" s="80">
        <v>77.49458222836256</v>
      </c>
      <c r="R35" s="80">
        <v>3.380815208699703</v>
      </c>
      <c r="S35" s="80">
        <v>25.806044221433432</v>
      </c>
      <c r="T35" s="79">
        <v>12.604428612688091</v>
      </c>
      <c r="U35" s="79">
        <v>2.8409763229394477E-2</v>
      </c>
      <c r="V35" s="79">
        <v>2.7841238176068952E-2</v>
      </c>
      <c r="W35" s="79">
        <v>0.20105976764142242</v>
      </c>
      <c r="X35" s="79">
        <v>0.21311643829434393</v>
      </c>
      <c r="Y35" s="79">
        <v>0.31700384210797466</v>
      </c>
      <c r="Z35" s="79">
        <v>0.31700384210797461</v>
      </c>
      <c r="AA35" s="81">
        <v>0.16014177442862765</v>
      </c>
    </row>
    <row r="36" spans="1:27">
      <c r="A36" s="77" t="s">
        <v>464</v>
      </c>
      <c r="B36" s="78">
        <v>93</v>
      </c>
      <c r="C36" s="79">
        <v>6.4526666666666663E-2</v>
      </c>
      <c r="D36" s="79">
        <v>0.10491049844080848</v>
      </c>
      <c r="E36" s="79">
        <v>0.16632787981640612</v>
      </c>
      <c r="F36" s="79">
        <v>0.22335961513857117</v>
      </c>
      <c r="G36" s="80">
        <v>0.56908998002411471</v>
      </c>
      <c r="H36" s="80">
        <v>0.70750533667560889</v>
      </c>
      <c r="I36" s="79">
        <v>7.1345245487078018E-2</v>
      </c>
      <c r="J36" s="79">
        <v>0.35521016825252899</v>
      </c>
      <c r="K36" s="79">
        <v>5.0854999999999997E-2</v>
      </c>
      <c r="L36" s="79">
        <v>0.2689285723195291</v>
      </c>
      <c r="M36" s="79">
        <v>6.2415742385434035E-2</v>
      </c>
      <c r="N36" s="80">
        <v>1.7135538990520314</v>
      </c>
      <c r="O36" s="80">
        <v>1.7282134371080651</v>
      </c>
      <c r="P36" s="80">
        <v>11.437949138986205</v>
      </c>
      <c r="Q36" s="80">
        <v>16.118698126776067</v>
      </c>
      <c r="R36" s="80">
        <v>2.3044996770005595</v>
      </c>
      <c r="S36" s="80">
        <v>30.03172173237634</v>
      </c>
      <c r="T36" s="79">
        <v>7.7500137053759716E-2</v>
      </c>
      <c r="U36" s="79">
        <v>4.469492651895738E-2</v>
      </c>
      <c r="V36" s="79">
        <v>3.3044851127673275E-2</v>
      </c>
      <c r="W36" s="79">
        <v>0.46455600027816707</v>
      </c>
      <c r="X36" s="79">
        <v>8.9774903428867805E-2</v>
      </c>
      <c r="Y36" s="79">
        <v>0.76422137793570577</v>
      </c>
      <c r="Z36" s="79">
        <v>0.76422137793570577</v>
      </c>
      <c r="AA36" s="81">
        <v>0.10671025642607875</v>
      </c>
    </row>
    <row r="37" spans="1:27">
      <c r="A37" s="77" t="s">
        <v>465</v>
      </c>
      <c r="B37" s="78">
        <v>14</v>
      </c>
      <c r="C37" s="79">
        <v>0.18654000000000004</v>
      </c>
      <c r="D37" s="79">
        <v>2.2317777961135557E-2</v>
      </c>
      <c r="E37" s="79">
        <v>0.14961754390226162</v>
      </c>
      <c r="F37" s="79">
        <v>0.2440190000210877</v>
      </c>
      <c r="G37" s="80">
        <v>0.73507044655838505</v>
      </c>
      <c r="H37" s="80">
        <v>0.96571097077283663</v>
      </c>
      <c r="I37" s="79">
        <v>8.3222704655550483E-2</v>
      </c>
      <c r="J37" s="79">
        <v>0.27303412055804871</v>
      </c>
      <c r="K37" s="79">
        <v>5.0854999999999997E-2</v>
      </c>
      <c r="L37" s="79">
        <v>0.30860321409511282</v>
      </c>
      <c r="M37" s="79">
        <v>6.9310422852764508E-2</v>
      </c>
      <c r="N37" s="80">
        <v>8.0191460013825839</v>
      </c>
      <c r="O37" s="80">
        <v>0.40048850227638738</v>
      </c>
      <c r="P37" s="80">
        <v>11.256367425384894</v>
      </c>
      <c r="Q37" s="80">
        <v>18.0515417386402</v>
      </c>
      <c r="R37" s="80">
        <v>4.1027570359655128</v>
      </c>
      <c r="S37" s="80">
        <v>26.104224353465391</v>
      </c>
      <c r="T37" s="79">
        <v>5.7756762830022068E-2</v>
      </c>
      <c r="U37" s="79">
        <v>9.3056479659282213E-3</v>
      </c>
      <c r="V37" s="79">
        <v>8.9900828796691135E-3</v>
      </c>
      <c r="W37" s="79">
        <v>0.47194525861898456</v>
      </c>
      <c r="X37" s="79">
        <v>0.21114375328629606</v>
      </c>
      <c r="Y37" s="79">
        <v>0.38161390503630449</v>
      </c>
      <c r="Z37" s="79">
        <v>0.38161390503630455</v>
      </c>
      <c r="AA37" s="81">
        <v>2.2183644509181345E-2</v>
      </c>
    </row>
    <row r="38" spans="1:27">
      <c r="A38" s="77" t="s">
        <v>466</v>
      </c>
      <c r="B38" s="78">
        <v>31</v>
      </c>
      <c r="C38" s="79">
        <v>3.1330476190476186E-2</v>
      </c>
      <c r="D38" s="79">
        <v>5.8633420949189427E-2</v>
      </c>
      <c r="E38" s="79">
        <v>0.1031461588962982</v>
      </c>
      <c r="F38" s="79">
        <v>0.34491477746639632</v>
      </c>
      <c r="G38" s="80">
        <v>0.86118748521761213</v>
      </c>
      <c r="H38" s="80">
        <v>1.1071062452097284</v>
      </c>
      <c r="I38" s="79">
        <v>8.9726887279647505E-2</v>
      </c>
      <c r="J38" s="79">
        <v>0.46652480430214993</v>
      </c>
      <c r="K38" s="79">
        <v>5.0854999999999997E-2</v>
      </c>
      <c r="L38" s="79">
        <v>0.32226061623577029</v>
      </c>
      <c r="M38" s="79">
        <v>7.3102868020993375E-2</v>
      </c>
      <c r="N38" s="80">
        <v>1.9608741359470769</v>
      </c>
      <c r="O38" s="80">
        <v>1.0479459257763848</v>
      </c>
      <c r="P38" s="80">
        <v>9.3651533150560073</v>
      </c>
      <c r="Q38" s="80">
        <v>16.699225224322326</v>
      </c>
      <c r="R38" s="80">
        <v>2.2525462393242712</v>
      </c>
      <c r="S38" s="80">
        <v>19.580017118656851</v>
      </c>
      <c r="T38" s="79">
        <v>0.13973769506770378</v>
      </c>
      <c r="U38" s="79">
        <v>3.2449167583192058E-2</v>
      </c>
      <c r="V38" s="79">
        <v>7.2155187930717318E-2</v>
      </c>
      <c r="W38" s="79">
        <v>0.97314551193468091</v>
      </c>
      <c r="X38" s="79">
        <v>-6.5262790801996332E-2</v>
      </c>
      <c r="Y38" s="79">
        <v>8.5617107786026027E-3</v>
      </c>
      <c r="Z38" s="79">
        <v>8.5617107786025715E-3</v>
      </c>
      <c r="AA38" s="81">
        <v>6.1113859297196843E-2</v>
      </c>
    </row>
    <row r="39" spans="1:27">
      <c r="A39" s="77" t="s">
        <v>467</v>
      </c>
      <c r="B39" s="78">
        <v>17</v>
      </c>
      <c r="C39" s="79">
        <v>3.7350000000000001E-2</v>
      </c>
      <c r="D39" s="79">
        <v>0.23439691972396948</v>
      </c>
      <c r="E39" s="79">
        <v>4.1502730750869E-2</v>
      </c>
      <c r="F39" s="79">
        <v>7.0572558077555192E-2</v>
      </c>
      <c r="G39" s="80">
        <v>0.55608601915516875</v>
      </c>
      <c r="H39" s="80">
        <v>1.1067077196296322</v>
      </c>
      <c r="I39" s="79">
        <v>8.9708555102963078E-2</v>
      </c>
      <c r="J39" s="79">
        <v>0.5733620520250774</v>
      </c>
      <c r="K39" s="79">
        <v>5.3524000000000002E-2</v>
      </c>
      <c r="L39" s="79">
        <v>0.58576061978789462</v>
      </c>
      <c r="M39" s="79">
        <v>6.0675004825720386E-2</v>
      </c>
      <c r="N39" s="80">
        <v>0.19933188854202233</v>
      </c>
      <c r="O39" s="80">
        <v>7.4719645715662937</v>
      </c>
      <c r="P39" s="80">
        <v>12.631994561427968</v>
      </c>
      <c r="Q39" s="80">
        <v>33.578774668897871</v>
      </c>
      <c r="R39" s="80">
        <v>0.85442228941416143</v>
      </c>
      <c r="S39" s="80">
        <v>39.872418108542938</v>
      </c>
      <c r="T39" s="79">
        <v>-0.27981625458988918</v>
      </c>
      <c r="U39" s="79">
        <v>0.44316771676285083</v>
      </c>
      <c r="V39" s="79">
        <v>0.20460875674779533</v>
      </c>
      <c r="W39" s="79">
        <v>1.1590198207962661</v>
      </c>
      <c r="X39" s="79">
        <v>0.10675101428653834</v>
      </c>
      <c r="Y39" s="79">
        <v>0.2559530242443892</v>
      </c>
      <c r="Z39" s="79">
        <v>0.25595302424438926</v>
      </c>
      <c r="AA39" s="81">
        <v>0.21775570853782217</v>
      </c>
    </row>
    <row r="40" spans="1:27">
      <c r="A40" s="77" t="s">
        <v>301</v>
      </c>
      <c r="B40" s="78">
        <v>230</v>
      </c>
      <c r="C40" s="79">
        <v>0.17948400000000009</v>
      </c>
      <c r="D40" s="79">
        <v>0.13294967540797936</v>
      </c>
      <c r="E40" s="79">
        <v>0.13081181602888342</v>
      </c>
      <c r="F40" s="79">
        <v>0.20580162761975571</v>
      </c>
      <c r="G40" s="80">
        <v>1.0054180718910262</v>
      </c>
      <c r="H40" s="80">
        <v>1.0620798954428441</v>
      </c>
      <c r="I40" s="79">
        <v>8.7655675190370819E-2</v>
      </c>
      <c r="J40" s="79">
        <v>0.52205534504314732</v>
      </c>
      <c r="K40" s="79">
        <v>5.3524000000000002E-2</v>
      </c>
      <c r="L40" s="79">
        <v>0.11239729750559911</v>
      </c>
      <c r="M40" s="79">
        <v>8.2315378901711811E-2</v>
      </c>
      <c r="N40" s="80">
        <v>0.9916960692418304</v>
      </c>
      <c r="O40" s="80">
        <v>5.1610656647278397</v>
      </c>
      <c r="P40" s="80">
        <v>21.511372797591477</v>
      </c>
      <c r="Q40" s="80">
        <v>36.992220884124826</v>
      </c>
      <c r="R40" s="80">
        <v>4.6291469613257821</v>
      </c>
      <c r="S40" s="80">
        <v>61.891562138745677</v>
      </c>
      <c r="T40" s="79">
        <v>0.25574201971953897</v>
      </c>
      <c r="U40" s="79">
        <v>4.9018238448480196E-2</v>
      </c>
      <c r="V40" s="79">
        <v>2.0771729298397056E-2</v>
      </c>
      <c r="W40" s="79">
        <v>0.49512455251752285</v>
      </c>
      <c r="X40" s="79">
        <v>8.305797928561881E-2</v>
      </c>
      <c r="Y40" s="79">
        <v>0.41765478553209229</v>
      </c>
      <c r="Z40" s="79">
        <v>0.41765478553209223</v>
      </c>
      <c r="AA40" s="81">
        <v>0.13835739605834813</v>
      </c>
    </row>
    <row r="41" spans="1:27">
      <c r="A41" s="77" t="s">
        <v>468</v>
      </c>
      <c r="B41" s="78">
        <v>119</v>
      </c>
      <c r="C41" s="79">
        <v>0.12421877192982453</v>
      </c>
      <c r="D41" s="79">
        <v>3.9183419890367124E-2</v>
      </c>
      <c r="E41" s="79">
        <v>0.45741028306204884</v>
      </c>
      <c r="F41" s="79">
        <v>0.22529394737980976</v>
      </c>
      <c r="G41" s="80">
        <v>0.94030624894969284</v>
      </c>
      <c r="H41" s="80">
        <v>1.0326229061406076</v>
      </c>
      <c r="I41" s="79">
        <v>8.6300653682467948E-2</v>
      </c>
      <c r="J41" s="79">
        <v>0.49525733448964099</v>
      </c>
      <c r="K41" s="79">
        <v>5.0854999999999997E-2</v>
      </c>
      <c r="L41" s="79">
        <v>0.2117523051840508</v>
      </c>
      <c r="M41" s="79">
        <v>7.6102788936416088E-2</v>
      </c>
      <c r="N41" s="80">
        <v>12.880997802478152</v>
      </c>
      <c r="O41" s="80">
        <v>0.6094709713815003</v>
      </c>
      <c r="P41" s="80">
        <v>11.292454334901061</v>
      </c>
      <c r="Q41" s="80">
        <v>15.455594645482641</v>
      </c>
      <c r="R41" s="80">
        <v>3.3377128034800818</v>
      </c>
      <c r="S41" s="80">
        <v>80.168287304864251</v>
      </c>
      <c r="T41" s="79">
        <v>-6.5254137415651933E-2</v>
      </c>
      <c r="U41" s="79">
        <v>7.0548223798331212E-3</v>
      </c>
      <c r="V41" s="79">
        <v>1.9151402871181444E-2</v>
      </c>
      <c r="W41" s="79">
        <v>0.6275372045055494</v>
      </c>
      <c r="X41" s="79">
        <v>0.15620310034184115</v>
      </c>
      <c r="Y41" s="79">
        <v>0.29625921121923621</v>
      </c>
      <c r="Z41" s="79">
        <v>0.29625921121923615</v>
      </c>
      <c r="AA41" s="81">
        <v>3.8635101743000333E-2</v>
      </c>
    </row>
    <row r="42" spans="1:27">
      <c r="A42" s="77" t="s">
        <v>469</v>
      </c>
      <c r="B42" s="78">
        <v>128</v>
      </c>
      <c r="C42" s="79">
        <v>0.19666706896551731</v>
      </c>
      <c r="D42" s="79">
        <v>0.14008066391084326</v>
      </c>
      <c r="E42" s="79">
        <v>0.14281217248637942</v>
      </c>
      <c r="F42" s="79">
        <v>0.11691985958691149</v>
      </c>
      <c r="G42" s="80">
        <v>1.1875339477983193</v>
      </c>
      <c r="H42" s="80">
        <v>1.2747542568245518</v>
      </c>
      <c r="I42" s="79">
        <v>9.7438695813929388E-2</v>
      </c>
      <c r="J42" s="79">
        <v>0.54153165246921775</v>
      </c>
      <c r="K42" s="79">
        <v>5.3524000000000002E-2</v>
      </c>
      <c r="L42" s="79">
        <v>0.13845034763183783</v>
      </c>
      <c r="M42" s="79">
        <v>8.9506086810682825E-2</v>
      </c>
      <c r="N42" s="80">
        <v>1.0414718449585996</v>
      </c>
      <c r="O42" s="80">
        <v>5.2888957340712599</v>
      </c>
      <c r="P42" s="80">
        <v>21.435576546426841</v>
      </c>
      <c r="Q42" s="80">
        <v>36.529531221176818</v>
      </c>
      <c r="R42" s="80">
        <v>4.0887278277055206</v>
      </c>
      <c r="S42" s="80">
        <v>44.436443878627578</v>
      </c>
      <c r="T42" s="79">
        <v>0.22945875273735597</v>
      </c>
      <c r="U42" s="79">
        <v>4.5108188895623375E-2</v>
      </c>
      <c r="V42" s="79">
        <v>2.6677271844225636E-2</v>
      </c>
      <c r="W42" s="79">
        <v>0.31339455513224623</v>
      </c>
      <c r="X42" s="79">
        <v>5.17765805634577E-2</v>
      </c>
      <c r="Y42" s="79">
        <v>0.19727330771004128</v>
      </c>
      <c r="Z42" s="79">
        <v>0.19727330771004126</v>
      </c>
      <c r="AA42" s="81">
        <v>0.14149228552648924</v>
      </c>
    </row>
    <row r="43" spans="1:27">
      <c r="A43" s="77" t="s">
        <v>470</v>
      </c>
      <c r="B43" s="78">
        <v>32</v>
      </c>
      <c r="C43" s="79">
        <v>0.11040782608695648</v>
      </c>
      <c r="D43" s="79">
        <v>0.16243511385197026</v>
      </c>
      <c r="E43" s="79">
        <v>0.20906182388989658</v>
      </c>
      <c r="F43" s="79">
        <v>0.23441748751073238</v>
      </c>
      <c r="G43" s="80">
        <v>1.3535915929813263</v>
      </c>
      <c r="H43" s="80">
        <v>1.3695349346617718</v>
      </c>
      <c r="I43" s="79">
        <v>0.1017986069944415</v>
      </c>
      <c r="J43" s="79">
        <v>0.32313883781178943</v>
      </c>
      <c r="K43" s="79">
        <v>5.0854999999999997E-2</v>
      </c>
      <c r="L43" s="79">
        <v>0.14104057563334713</v>
      </c>
      <c r="M43" s="79">
        <v>9.2820336720647989E-2</v>
      </c>
      <c r="N43" s="80">
        <v>1.5490492448976174</v>
      </c>
      <c r="O43" s="80">
        <v>1.3227511565241321</v>
      </c>
      <c r="P43" s="80">
        <v>7.7926513257951306</v>
      </c>
      <c r="Q43" s="80">
        <v>8.1068864527413051</v>
      </c>
      <c r="R43" s="80">
        <v>2.0034988997912557</v>
      </c>
      <c r="S43" s="80">
        <v>10.663226208304753</v>
      </c>
      <c r="T43" s="79">
        <v>0.58510809678996634</v>
      </c>
      <c r="U43" s="79">
        <v>5.1362234787959054E-3</v>
      </c>
      <c r="V43" s="79">
        <v>3.6279568408271621E-3</v>
      </c>
      <c r="W43" s="79">
        <v>-4.9962200704110622E-2</v>
      </c>
      <c r="X43" s="79">
        <v>0.2288315257494398</v>
      </c>
      <c r="Y43" s="79">
        <v>6.4331005164984509E-2</v>
      </c>
      <c r="Z43" s="79">
        <v>6.4331005164984467E-2</v>
      </c>
      <c r="AA43" s="81">
        <v>0.16303748138534604</v>
      </c>
    </row>
    <row r="44" spans="1:27">
      <c r="A44" s="77" t="s">
        <v>471</v>
      </c>
      <c r="B44" s="78">
        <v>32</v>
      </c>
      <c r="C44" s="79">
        <v>0.18106894736842105</v>
      </c>
      <c r="D44" s="79">
        <v>0.11569354150132667</v>
      </c>
      <c r="E44" s="79">
        <v>0.20156640226109454</v>
      </c>
      <c r="F44" s="79">
        <v>0.20295530643789431</v>
      </c>
      <c r="G44" s="80">
        <v>0.55999610695192847</v>
      </c>
      <c r="H44" s="80">
        <v>0.87957632490356097</v>
      </c>
      <c r="I44" s="79">
        <v>7.92605109455638E-2</v>
      </c>
      <c r="J44" s="79">
        <v>0.46328064944317854</v>
      </c>
      <c r="K44" s="79">
        <v>5.0854999999999997E-2</v>
      </c>
      <c r="L44" s="79">
        <v>0.44365037194401546</v>
      </c>
      <c r="M44" s="79">
        <v>6.1017935533001388E-2</v>
      </c>
      <c r="N44" s="80">
        <v>1.8739472690562888</v>
      </c>
      <c r="O44" s="80">
        <v>1.5597693131250068</v>
      </c>
      <c r="P44" s="80">
        <v>8.7526157560373488</v>
      </c>
      <c r="Q44" s="80">
        <v>13.412731417361721</v>
      </c>
      <c r="R44" s="80">
        <v>5.1168203803504957</v>
      </c>
      <c r="S44" s="80">
        <v>22.866077429053238</v>
      </c>
      <c r="T44" s="79">
        <v>0.11173413334158254</v>
      </c>
      <c r="U44" s="79">
        <v>6.2482428184781058E-2</v>
      </c>
      <c r="V44" s="79">
        <v>2.2041129079390705E-2</v>
      </c>
      <c r="W44" s="79">
        <v>0.34919798188250589</v>
      </c>
      <c r="X44" s="79">
        <v>0.61965679511239247</v>
      </c>
      <c r="Y44" s="79">
        <v>0.12781126030710444</v>
      </c>
      <c r="Z44" s="79">
        <v>0.12781126030710444</v>
      </c>
      <c r="AA44" s="81">
        <v>0.11548052103864387</v>
      </c>
    </row>
    <row r="45" spans="1:27">
      <c r="A45" s="77" t="s">
        <v>472</v>
      </c>
      <c r="B45" s="78">
        <v>68</v>
      </c>
      <c r="C45" s="79">
        <v>0.10244649999999998</v>
      </c>
      <c r="D45" s="79">
        <v>0.17139569325713905</v>
      </c>
      <c r="E45" s="79">
        <v>9.9886217562338883E-2</v>
      </c>
      <c r="F45" s="79">
        <v>0.19265003883365289</v>
      </c>
      <c r="G45" s="80">
        <v>1.0481897733536769</v>
      </c>
      <c r="H45" s="80">
        <v>1.3434280675321946</v>
      </c>
      <c r="I45" s="79">
        <v>0.10059769110648095</v>
      </c>
      <c r="J45" s="79">
        <v>0.40799721064073169</v>
      </c>
      <c r="K45" s="79">
        <v>5.0854999999999997E-2</v>
      </c>
      <c r="L45" s="79">
        <v>0.32736720549245807</v>
      </c>
      <c r="M45" s="79">
        <v>8.0151500516447996E-2</v>
      </c>
      <c r="N45" s="80">
        <v>0.80682265774953521</v>
      </c>
      <c r="O45" s="80">
        <v>4.2252788004104538</v>
      </c>
      <c r="P45" s="80">
        <v>14.975440441167427</v>
      </c>
      <c r="Q45" s="80">
        <v>30.72977186409063</v>
      </c>
      <c r="R45" s="80">
        <v>11.056315096413167</v>
      </c>
      <c r="S45" s="80">
        <v>32.221437920653571</v>
      </c>
      <c r="T45" s="79">
        <v>2.9915132671853681E-2</v>
      </c>
      <c r="U45" s="79">
        <v>6.7121787001380398E-2</v>
      </c>
      <c r="V45" s="79">
        <v>1.1171667233667715E-2</v>
      </c>
      <c r="W45" s="79">
        <v>0.21810072641597461</v>
      </c>
      <c r="X45" s="79">
        <v>0.35869098916068981</v>
      </c>
      <c r="Y45" s="79">
        <v>8.4312715869453519E-2</v>
      </c>
      <c r="Z45" s="79">
        <v>8.4312715869453547E-2</v>
      </c>
      <c r="AA45" s="81">
        <v>0.13535100750457585</v>
      </c>
    </row>
    <row r="46" spans="1:27">
      <c r="A46" s="77" t="s">
        <v>473</v>
      </c>
      <c r="B46" s="78">
        <v>19</v>
      </c>
      <c r="C46" s="79">
        <v>1.2966000000000004E-2</v>
      </c>
      <c r="D46" s="79">
        <v>0.18741354888420905</v>
      </c>
      <c r="E46" s="79">
        <v>0.34643044644482202</v>
      </c>
      <c r="F46" s="79">
        <v>0.21275453790671961</v>
      </c>
      <c r="G46" s="80">
        <v>0.72017362703721888</v>
      </c>
      <c r="H46" s="80">
        <v>0.78003056940732951</v>
      </c>
      <c r="I46" s="79">
        <v>7.4681406192737165E-2</v>
      </c>
      <c r="J46" s="79">
        <v>0.30174609465978208</v>
      </c>
      <c r="K46" s="79">
        <v>5.0854999999999997E-2</v>
      </c>
      <c r="L46" s="79">
        <v>0.12885250541972054</v>
      </c>
      <c r="M46" s="79">
        <v>6.9973115518875056E-2</v>
      </c>
      <c r="N46" s="80">
        <v>2.0853364698894605</v>
      </c>
      <c r="O46" s="80">
        <v>3.5947530981601123</v>
      </c>
      <c r="P46" s="80">
        <v>15.882966794732814</v>
      </c>
      <c r="Q46" s="80">
        <v>19.029316891424514</v>
      </c>
      <c r="R46" s="80">
        <v>8.1778697175979076</v>
      </c>
      <c r="S46" s="80">
        <v>42.516743245220731</v>
      </c>
      <c r="T46" s="79">
        <v>5.1144494166001073E-2</v>
      </c>
      <c r="U46" s="79">
        <v>3.5230919372632036E-2</v>
      </c>
      <c r="V46" s="79">
        <v>1.1090429343845635E-2</v>
      </c>
      <c r="W46" s="79">
        <v>2.0432115095575496E-2</v>
      </c>
      <c r="X46" s="79">
        <v>0.3641117785082732</v>
      </c>
      <c r="Y46" s="79">
        <v>0.66555865382705948</v>
      </c>
      <c r="Z46" s="79">
        <v>0.66555865382705948</v>
      </c>
      <c r="AA46" s="81">
        <v>0.18897485799818362</v>
      </c>
    </row>
    <row r="47" spans="1:27">
      <c r="A47" s="77" t="s">
        <v>474</v>
      </c>
      <c r="B47" s="78">
        <v>18</v>
      </c>
      <c r="C47" s="79">
        <v>4.7169999999999997E-2</v>
      </c>
      <c r="D47" s="79">
        <v>0.11632760029506121</v>
      </c>
      <c r="E47" s="79">
        <v>0.22740740434639165</v>
      </c>
      <c r="F47" s="79">
        <v>0.25775980471928395</v>
      </c>
      <c r="G47" s="80">
        <v>0.77238249143783833</v>
      </c>
      <c r="H47" s="80">
        <v>0.93074336988492989</v>
      </c>
      <c r="I47" s="79">
        <v>8.1614195014706778E-2</v>
      </c>
      <c r="J47" s="79">
        <v>0.33828737962659511</v>
      </c>
      <c r="K47" s="79">
        <v>5.0854999999999997E-2</v>
      </c>
      <c r="L47" s="79">
        <v>0.26289829475513876</v>
      </c>
      <c r="M47" s="79">
        <v>7.0185231902356454E-2</v>
      </c>
      <c r="N47" s="80">
        <v>2.1851130805639345</v>
      </c>
      <c r="O47" s="80">
        <v>2.3329330913412769</v>
      </c>
      <c r="P47" s="80">
        <v>12.153718575448424</v>
      </c>
      <c r="Q47" s="80">
        <v>19.061250080564882</v>
      </c>
      <c r="R47" s="80">
        <v>4.0576322144266381</v>
      </c>
      <c r="S47" s="80">
        <v>24.757228147387533</v>
      </c>
      <c r="T47" s="79">
        <v>0.15732336315134232</v>
      </c>
      <c r="U47" s="79">
        <v>1.9033801691390826E-2</v>
      </c>
      <c r="V47" s="79">
        <v>-3.6251195768292693E-2</v>
      </c>
      <c r="W47" s="79">
        <v>-0.26314035240567679</v>
      </c>
      <c r="X47" s="79">
        <v>8.4289167807033175E-2</v>
      </c>
      <c r="Y47" s="79">
        <v>0.60703971407145041</v>
      </c>
      <c r="Z47" s="79">
        <v>0.60703971407145041</v>
      </c>
      <c r="AA47" s="81">
        <v>0.1233982054939375</v>
      </c>
    </row>
    <row r="48" spans="1:27">
      <c r="A48" s="77" t="s">
        <v>475</v>
      </c>
      <c r="B48" s="78">
        <v>21</v>
      </c>
      <c r="C48" s="79">
        <v>7.7637272727272721E-2</v>
      </c>
      <c r="D48" s="79">
        <v>0.15227330392370475</v>
      </c>
      <c r="E48" s="79">
        <v>0.15653546538570912</v>
      </c>
      <c r="F48" s="79">
        <v>0.20671990280364713</v>
      </c>
      <c r="G48" s="80">
        <v>0.8946178159376359</v>
      </c>
      <c r="H48" s="80">
        <v>1.0331486323510635</v>
      </c>
      <c r="I48" s="79">
        <v>8.632483708814892E-2</v>
      </c>
      <c r="J48" s="79">
        <v>0.40381703602170393</v>
      </c>
      <c r="K48" s="79">
        <v>5.0854999999999997E-2</v>
      </c>
      <c r="L48" s="79">
        <v>0.20592429100406523</v>
      </c>
      <c r="M48" s="79">
        <v>7.6402666078989212E-2</v>
      </c>
      <c r="N48" s="80">
        <v>1.187979918303592</v>
      </c>
      <c r="O48" s="80">
        <v>2.6563933238175803</v>
      </c>
      <c r="P48" s="80">
        <v>11.479314259662191</v>
      </c>
      <c r="Q48" s="80">
        <v>17.340883842855348</v>
      </c>
      <c r="R48" s="80">
        <v>2.855054505130747</v>
      </c>
      <c r="S48" s="80">
        <v>92.17728773965159</v>
      </c>
      <c r="T48" s="79">
        <v>-9.3256253318981707E-5</v>
      </c>
      <c r="U48" s="79">
        <v>9.2788698704108791E-3</v>
      </c>
      <c r="V48" s="79">
        <v>-2.5998498392279908E-2</v>
      </c>
      <c r="W48" s="79">
        <v>0.3789687523388437</v>
      </c>
      <c r="X48" s="79">
        <v>0.13524697097521135</v>
      </c>
      <c r="Y48" s="79">
        <v>0.32753059692538994</v>
      </c>
      <c r="Z48" s="79">
        <v>0.32753059692538988</v>
      </c>
      <c r="AA48" s="81">
        <v>0.15267058429114069</v>
      </c>
    </row>
    <row r="49" spans="1:27">
      <c r="A49" s="77" t="s">
        <v>476</v>
      </c>
      <c r="B49" s="78">
        <v>23</v>
      </c>
      <c r="C49" s="79">
        <v>-6.2500000000000121E-4</v>
      </c>
      <c r="D49" s="79">
        <v>6.5616738438321659E-4</v>
      </c>
      <c r="E49" s="79">
        <v>1.0816809572142688E-3</v>
      </c>
      <c r="F49" s="79">
        <v>0.17734932983816021</v>
      </c>
      <c r="G49" s="80">
        <v>0.53983111888386293</v>
      </c>
      <c r="H49" s="80">
        <v>0.76576086532748944</v>
      </c>
      <c r="I49" s="79">
        <v>7.4024999805064523E-2</v>
      </c>
      <c r="J49" s="79">
        <v>0.30849684925039994</v>
      </c>
      <c r="K49" s="79">
        <v>5.0854999999999997E-2</v>
      </c>
      <c r="L49" s="79">
        <v>0.47983380623416055</v>
      </c>
      <c r="M49" s="79">
        <v>5.68067635541461E-2</v>
      </c>
      <c r="N49" s="80">
        <v>0.93697128407023411</v>
      </c>
      <c r="O49" s="80">
        <v>1.5653336469693586</v>
      </c>
      <c r="P49" s="80">
        <v>17.24492070332478</v>
      </c>
      <c r="Q49" s="80" t="s">
        <v>437</v>
      </c>
      <c r="R49" s="80">
        <v>1.6173451473258358</v>
      </c>
      <c r="S49" s="80">
        <v>176.37863200216751</v>
      </c>
      <c r="T49" s="79">
        <v>0.28615881247116098</v>
      </c>
      <c r="U49" s="79">
        <v>1.8122427617276609E-3</v>
      </c>
      <c r="V49" s="79">
        <v>-2.5614435950617652E-2</v>
      </c>
      <c r="W49" s="79" t="s">
        <v>437</v>
      </c>
      <c r="X49" s="79">
        <v>1.3240127450855269E-2</v>
      </c>
      <c r="Y49" s="79">
        <v>3.812072472103254</v>
      </c>
      <c r="Z49" s="79">
        <v>3.812072472103254</v>
      </c>
      <c r="AA49" s="81">
        <v>1.2852923105425914E-3</v>
      </c>
    </row>
    <row r="50" spans="1:27">
      <c r="A50" s="77" t="s">
        <v>477</v>
      </c>
      <c r="B50" s="78">
        <v>50</v>
      </c>
      <c r="C50" s="79">
        <v>6.1676590909090896E-2</v>
      </c>
      <c r="D50" s="79">
        <v>7.4121043407829504E-2</v>
      </c>
      <c r="E50" s="79">
        <v>0.11118635097908262</v>
      </c>
      <c r="F50" s="79">
        <v>0.18944213157737264</v>
      </c>
      <c r="G50" s="80">
        <v>0.67520761727476519</v>
      </c>
      <c r="H50" s="80">
        <v>0.73875776033737084</v>
      </c>
      <c r="I50" s="79">
        <v>7.2782856975519061E-2</v>
      </c>
      <c r="J50" s="79">
        <v>0.27404177841998512</v>
      </c>
      <c r="K50" s="79">
        <v>5.0854999999999997E-2</v>
      </c>
      <c r="L50" s="79">
        <v>0.16235416986823059</v>
      </c>
      <c r="M50" s="79">
        <v>6.715864763210716E-2</v>
      </c>
      <c r="N50" s="80">
        <v>1.6945936593477595</v>
      </c>
      <c r="O50" s="80">
        <v>1.3577625752259637</v>
      </c>
      <c r="P50" s="80">
        <v>11.773604889791214</v>
      </c>
      <c r="Q50" s="80">
        <v>15.658885816047809</v>
      </c>
      <c r="R50" s="80">
        <v>2.2989008715036703</v>
      </c>
      <c r="S50" s="80">
        <v>20.722521356503638</v>
      </c>
      <c r="T50" s="79">
        <v>-0.40937489754024503</v>
      </c>
      <c r="U50" s="79">
        <v>7.7982820927461833E-3</v>
      </c>
      <c r="V50" s="79">
        <v>-1.3016926116446899E-3</v>
      </c>
      <c r="W50" s="79">
        <v>0.28662293809310668</v>
      </c>
      <c r="X50" s="79">
        <v>0.10356883343367865</v>
      </c>
      <c r="Y50" s="79">
        <v>0.35133432350759741</v>
      </c>
      <c r="Z50" s="79">
        <v>0.35133432350759741</v>
      </c>
      <c r="AA50" s="81">
        <v>7.4917280524282939E-2</v>
      </c>
    </row>
    <row r="51" spans="1:27">
      <c r="A51" s="77" t="s">
        <v>478</v>
      </c>
      <c r="B51" s="78">
        <v>334</v>
      </c>
      <c r="C51" s="79">
        <v>4.6036862745098023E-2</v>
      </c>
      <c r="D51" s="79">
        <v>0.14999164034895529</v>
      </c>
      <c r="E51" s="79">
        <v>6.1639717527291187E-2</v>
      </c>
      <c r="F51" s="79">
        <v>0.18978292304498715</v>
      </c>
      <c r="G51" s="80">
        <v>0.39129392968006665</v>
      </c>
      <c r="H51" s="80">
        <v>0.45700546948270204</v>
      </c>
      <c r="I51" s="79">
        <v>5.9822251596204294E-2</v>
      </c>
      <c r="J51" s="79">
        <v>0.15150889761067693</v>
      </c>
      <c r="K51" s="79">
        <v>4.5043E-2</v>
      </c>
      <c r="L51" s="79">
        <v>0.28742573556682555</v>
      </c>
      <c r="M51" s="79">
        <v>5.2337684983253967E-2</v>
      </c>
      <c r="N51" s="80">
        <v>0.47398717524974837</v>
      </c>
      <c r="O51" s="80">
        <v>5.415454683531844</v>
      </c>
      <c r="P51" s="80">
        <v>34.845251313805413</v>
      </c>
      <c r="Q51" s="80">
        <v>34.896040662166058</v>
      </c>
      <c r="R51" s="80">
        <v>2.0039088032674184</v>
      </c>
      <c r="S51" s="80">
        <v>69.378833078564355</v>
      </c>
      <c r="T51" s="79" t="s">
        <v>437</v>
      </c>
      <c r="U51" s="79">
        <v>2.9725746882996038E-2</v>
      </c>
      <c r="V51" s="79">
        <v>6.1361471889236401E-2</v>
      </c>
      <c r="W51" s="79">
        <v>0.54669683230965871</v>
      </c>
      <c r="X51" s="79">
        <v>0.13783634813168708</v>
      </c>
      <c r="Y51" s="79">
        <v>0.42105650684678592</v>
      </c>
      <c r="Z51" s="79">
        <v>0.42105650684678597</v>
      </c>
      <c r="AA51" s="81">
        <v>0.14670723243602463</v>
      </c>
    </row>
    <row r="52" spans="1:27">
      <c r="A52" s="77" t="s">
        <v>479</v>
      </c>
      <c r="B52" s="78">
        <v>103</v>
      </c>
      <c r="C52" s="79">
        <v>4.712599999999998E-2</v>
      </c>
      <c r="D52" s="79">
        <v>0.14779213072591901</v>
      </c>
      <c r="E52" s="79">
        <v>0.24909385325604075</v>
      </c>
      <c r="F52" s="79">
        <v>0.21716795174857764</v>
      </c>
      <c r="G52" s="80">
        <v>0.9376095544061418</v>
      </c>
      <c r="H52" s="80">
        <v>1.0260564286029479</v>
      </c>
      <c r="I52" s="79">
        <v>8.5998595715735593E-2</v>
      </c>
      <c r="J52" s="79">
        <v>0.33444214078623241</v>
      </c>
      <c r="K52" s="79">
        <v>5.0854999999999997E-2</v>
      </c>
      <c r="L52" s="79">
        <v>0.14430985657050793</v>
      </c>
      <c r="M52" s="79">
        <v>7.9092309019652585E-2</v>
      </c>
      <c r="N52" s="80">
        <v>1.8716132403381998</v>
      </c>
      <c r="O52" s="80">
        <v>3.0699195050801884</v>
      </c>
      <c r="P52" s="80">
        <v>15.461408447841649</v>
      </c>
      <c r="Q52" s="80">
        <v>20.31238382156512</v>
      </c>
      <c r="R52" s="80">
        <v>4.3438247500417724</v>
      </c>
      <c r="S52" s="80">
        <v>26.951754964203868</v>
      </c>
      <c r="T52" s="79">
        <v>0.25173396431408457</v>
      </c>
      <c r="U52" s="79">
        <v>2.4425884717957834E-2</v>
      </c>
      <c r="V52" s="79">
        <v>6.4279580722076277E-2</v>
      </c>
      <c r="W52" s="79">
        <v>0.66768064881451694</v>
      </c>
      <c r="X52" s="79">
        <v>0.19022656097823037</v>
      </c>
      <c r="Y52" s="79">
        <v>0.3626998107382271</v>
      </c>
      <c r="Z52" s="79">
        <v>0.3626998107382271</v>
      </c>
      <c r="AA52" s="81">
        <v>0.15061465678939701</v>
      </c>
    </row>
    <row r="53" spans="1:27">
      <c r="A53" s="77" t="s">
        <v>480</v>
      </c>
      <c r="B53" s="78">
        <v>68</v>
      </c>
      <c r="C53" s="79">
        <v>-1.3133333333333325E-2</v>
      </c>
      <c r="D53" s="79">
        <v>0.19621084093017843</v>
      </c>
      <c r="E53" s="79">
        <v>0.2402669710602103</v>
      </c>
      <c r="F53" s="79">
        <v>0.35286412829106101</v>
      </c>
      <c r="G53" s="80">
        <v>0.91212435483261867</v>
      </c>
      <c r="H53" s="80">
        <v>0.96247840953991504</v>
      </c>
      <c r="I53" s="79">
        <v>8.307400683883609E-2</v>
      </c>
      <c r="J53" s="79">
        <v>0.605593652790272</v>
      </c>
      <c r="K53" s="79">
        <v>5.3524000000000002E-2</v>
      </c>
      <c r="L53" s="79">
        <v>0.13659352614226641</v>
      </c>
      <c r="M53" s="79">
        <v>7.7209909233881727E-2</v>
      </c>
      <c r="N53" s="80">
        <v>1.2535014116480827</v>
      </c>
      <c r="O53" s="80">
        <v>2.937914549631262</v>
      </c>
      <c r="P53" s="80">
        <v>10.355846578641355</v>
      </c>
      <c r="Q53" s="80">
        <v>14.873774197012049</v>
      </c>
      <c r="R53" s="80">
        <v>3.2224919928098128</v>
      </c>
      <c r="S53" s="80">
        <v>33.132597557421676</v>
      </c>
      <c r="T53" s="79">
        <v>0.1532155838029568</v>
      </c>
      <c r="U53" s="79">
        <v>0.13030144622632117</v>
      </c>
      <c r="V53" s="79">
        <v>5.9114049217197283E-2</v>
      </c>
      <c r="W53" s="79">
        <v>0.63149629307441901</v>
      </c>
      <c r="X53" s="79">
        <v>0.12165895420384185</v>
      </c>
      <c r="Y53" s="79">
        <v>0.95470595148672233</v>
      </c>
      <c r="Z53" s="79">
        <v>0.95470595148672233</v>
      </c>
      <c r="AA53" s="81">
        <v>0.19557867619586258</v>
      </c>
    </row>
    <row r="54" spans="1:27">
      <c r="A54" s="77" t="s">
        <v>481</v>
      </c>
      <c r="B54" s="78">
        <v>17</v>
      </c>
      <c r="C54" s="79">
        <v>0.15850384615384616</v>
      </c>
      <c r="D54" s="79">
        <v>7.2923117575051641E-2</v>
      </c>
      <c r="E54" s="79">
        <v>0.12926389341779917</v>
      </c>
      <c r="F54" s="79">
        <v>0.44322557458970102</v>
      </c>
      <c r="G54" s="80">
        <v>0.87643280799530487</v>
      </c>
      <c r="H54" s="80">
        <v>1.1394185236914496</v>
      </c>
      <c r="I54" s="79">
        <v>9.1213252089806685E-2</v>
      </c>
      <c r="J54" s="79">
        <v>0.30280062793938978</v>
      </c>
      <c r="K54" s="79">
        <v>5.0854999999999997E-2</v>
      </c>
      <c r="L54" s="79">
        <v>0.34456840647253745</v>
      </c>
      <c r="M54" s="79">
        <v>7.2926316901414823E-2</v>
      </c>
      <c r="N54" s="80">
        <v>2.0704085648273138</v>
      </c>
      <c r="O54" s="80">
        <v>1.1711022809028628</v>
      </c>
      <c r="P54" s="80">
        <v>9.3426486012209295</v>
      </c>
      <c r="Q54" s="80">
        <v>15.610563143808655</v>
      </c>
      <c r="R54" s="80">
        <v>2.5364199127790323</v>
      </c>
      <c r="S54" s="80">
        <v>249.15655023807091</v>
      </c>
      <c r="T54" s="79">
        <v>9.126079195854167E-2</v>
      </c>
      <c r="U54" s="79">
        <v>2.2936760875543978E-2</v>
      </c>
      <c r="V54" s="79">
        <v>1.9833530163557829E-2</v>
      </c>
      <c r="W54" s="79">
        <v>0.16580160140452149</v>
      </c>
      <c r="X54" s="79">
        <v>2.6638000470444002E-2</v>
      </c>
      <c r="Y54" s="79">
        <v>2.2516908050975011</v>
      </c>
      <c r="Z54" s="79">
        <v>2.2516908050975011</v>
      </c>
      <c r="AA54" s="81">
        <v>7.5269931494080691E-2</v>
      </c>
    </row>
    <row r="55" spans="1:27">
      <c r="A55" s="77" t="s">
        <v>482</v>
      </c>
      <c r="B55" s="78">
        <v>4</v>
      </c>
      <c r="C55" s="79">
        <v>1.7600000000000001E-2</v>
      </c>
      <c r="D55" s="79">
        <v>0.15595793751029599</v>
      </c>
      <c r="E55" s="79">
        <v>0.17039770081786265</v>
      </c>
      <c r="F55" s="79">
        <v>0.29512418516063021</v>
      </c>
      <c r="G55" s="80">
        <v>0.64404501383935209</v>
      </c>
      <c r="H55" s="80">
        <v>0.67065158444684592</v>
      </c>
      <c r="I55" s="79">
        <v>6.9649972884554906E-2</v>
      </c>
      <c r="J55" s="79">
        <v>0.26444809223182186</v>
      </c>
      <c r="K55" s="79">
        <v>5.0854999999999997E-2</v>
      </c>
      <c r="L55" s="79">
        <v>0.11113222576377609</v>
      </c>
      <c r="M55" s="79">
        <v>6.6148338379420288E-2</v>
      </c>
      <c r="N55" s="80">
        <v>1.3700896826288935</v>
      </c>
      <c r="O55" s="80">
        <v>1.3474820849008362</v>
      </c>
      <c r="P55" s="80">
        <v>6.2381265148709089</v>
      </c>
      <c r="Q55" s="80">
        <v>8.5388407205521357</v>
      </c>
      <c r="R55" s="80">
        <v>1.816944677335053</v>
      </c>
      <c r="S55" s="80">
        <v>8.0182128970163014</v>
      </c>
      <c r="T55" s="79">
        <v>3.3696495250123547E-2</v>
      </c>
      <c r="U55" s="79">
        <v>7.3867785953544554E-2</v>
      </c>
      <c r="V55" s="79">
        <v>-2.148426775026158E-4</v>
      </c>
      <c r="W55" s="79">
        <v>-1.671215236463339E-2</v>
      </c>
      <c r="X55" s="79">
        <v>0.19851813516763073</v>
      </c>
      <c r="Y55" s="79">
        <v>0.37142296537371583</v>
      </c>
      <c r="Z55" s="79">
        <v>0.37142296537371577</v>
      </c>
      <c r="AA55" s="81">
        <v>0.15779316761156298</v>
      </c>
    </row>
    <row r="56" spans="1:27">
      <c r="A56" s="77" t="s">
        <v>483</v>
      </c>
      <c r="B56" s="78">
        <v>166</v>
      </c>
      <c r="C56" s="79">
        <v>0.2328005882352942</v>
      </c>
      <c r="D56" s="79">
        <v>0.37265839691067637</v>
      </c>
      <c r="E56" s="79">
        <v>0.28405709355869363</v>
      </c>
      <c r="F56" s="79">
        <v>0.20342463510697406</v>
      </c>
      <c r="G56" s="80">
        <v>0.82142049675943762</v>
      </c>
      <c r="H56" s="80">
        <v>0.92989873869595874</v>
      </c>
      <c r="I56" s="79">
        <v>8.1575341980014093E-2</v>
      </c>
      <c r="J56" s="79">
        <v>0.46310335310672146</v>
      </c>
      <c r="K56" s="79">
        <v>5.0854999999999997E-2</v>
      </c>
      <c r="L56" s="79">
        <v>0.18884246603997282</v>
      </c>
      <c r="M56" s="79">
        <v>7.3373140940301229E-2</v>
      </c>
      <c r="N56" s="80">
        <v>0.79856329783464552</v>
      </c>
      <c r="O56" s="80">
        <v>2.6500043086455731</v>
      </c>
      <c r="P56" s="80">
        <v>4.6683778175149708</v>
      </c>
      <c r="Q56" s="80">
        <v>6.9825673409011877</v>
      </c>
      <c r="R56" s="80">
        <v>1.9431230096211636</v>
      </c>
      <c r="S56" s="80">
        <v>16.325943214833998</v>
      </c>
      <c r="T56" s="79">
        <v>9.9951288617362785E-3</v>
      </c>
      <c r="U56" s="79">
        <v>0.30047596852821296</v>
      </c>
      <c r="V56" s="79">
        <v>0.16046402665504775</v>
      </c>
      <c r="W56" s="79">
        <v>0.50395048936072928</v>
      </c>
      <c r="X56" s="79">
        <v>0.31094799857184063</v>
      </c>
      <c r="Y56" s="79">
        <v>0.31272316107697362</v>
      </c>
      <c r="Z56" s="79">
        <v>0.31272316107697362</v>
      </c>
      <c r="AA56" s="81">
        <v>0.37686234244190675</v>
      </c>
    </row>
    <row r="57" spans="1:27">
      <c r="A57" s="77" t="s">
        <v>484</v>
      </c>
      <c r="B57" s="78">
        <v>24</v>
      </c>
      <c r="C57" s="79">
        <v>0.27451533333333339</v>
      </c>
      <c r="D57" s="79">
        <v>0.37953024273539593</v>
      </c>
      <c r="E57" s="79">
        <v>0.20602082553480802</v>
      </c>
      <c r="F57" s="79">
        <v>0.18244447623517368</v>
      </c>
      <c r="G57" s="80">
        <v>0.52912157126984105</v>
      </c>
      <c r="H57" s="80">
        <v>0.79075215100878704</v>
      </c>
      <c r="I57" s="79">
        <v>7.5174598946404214E-2</v>
      </c>
      <c r="J57" s="79">
        <v>0.32547547332498222</v>
      </c>
      <c r="K57" s="79">
        <v>5.0854999999999997E-2</v>
      </c>
      <c r="L57" s="79">
        <v>0.4125209705549901</v>
      </c>
      <c r="M57" s="79">
        <v>5.9897565896131919E-2</v>
      </c>
      <c r="N57" s="80">
        <v>0.59413677185269997</v>
      </c>
      <c r="O57" s="80">
        <v>3.5771916018946355</v>
      </c>
      <c r="P57" s="80">
        <v>7.3117668440851462</v>
      </c>
      <c r="Q57" s="80">
        <v>9.2923197649384655</v>
      </c>
      <c r="R57" s="80">
        <v>2.3169738478309978</v>
      </c>
      <c r="S57" s="80">
        <v>18.412840120237689</v>
      </c>
      <c r="T57" s="79">
        <v>2.5338522415672818E-2</v>
      </c>
      <c r="U57" s="79">
        <v>0.16531343804567911</v>
      </c>
      <c r="V57" s="79">
        <v>0.13121071073961837</v>
      </c>
      <c r="W57" s="79">
        <v>0.40284567963839019</v>
      </c>
      <c r="X57" s="79">
        <v>0.42406084058617804</v>
      </c>
      <c r="Y57" s="79">
        <v>0.39844096378722926</v>
      </c>
      <c r="Z57" s="79">
        <v>0.39844096378722926</v>
      </c>
      <c r="AA57" s="81">
        <v>0.38210569457340066</v>
      </c>
    </row>
    <row r="58" spans="1:27">
      <c r="A58" s="77" t="s">
        <v>485</v>
      </c>
      <c r="B58" s="78">
        <v>100</v>
      </c>
      <c r="C58" s="79">
        <v>7.7372121212121239E-2</v>
      </c>
      <c r="D58" s="79">
        <v>8.7209149027514102E-2</v>
      </c>
      <c r="E58" s="79">
        <v>0.28021406956927292</v>
      </c>
      <c r="F58" s="79">
        <v>0.2183798745548326</v>
      </c>
      <c r="G58" s="80">
        <v>0.85290173814940118</v>
      </c>
      <c r="H58" s="80">
        <v>0.9795500315745983</v>
      </c>
      <c r="I58" s="79">
        <v>8.385930145243152E-2</v>
      </c>
      <c r="J58" s="79">
        <v>0.43728736432048126</v>
      </c>
      <c r="K58" s="79">
        <v>5.0854999999999997E-2</v>
      </c>
      <c r="L58" s="79">
        <v>0.24322695079309051</v>
      </c>
      <c r="M58" s="79">
        <v>7.2739439201454981E-2</v>
      </c>
      <c r="N58" s="80">
        <v>3.553462668606814</v>
      </c>
      <c r="O58" s="80">
        <v>0.62823830145194459</v>
      </c>
      <c r="P58" s="80">
        <v>5.4241303880351577</v>
      </c>
      <c r="Q58" s="80">
        <v>7.0794352962597635</v>
      </c>
      <c r="R58" s="80">
        <v>1.9840962070304522</v>
      </c>
      <c r="S58" s="80">
        <v>70.298228177707173</v>
      </c>
      <c r="T58" s="79">
        <v>6.3418447061245012E-2</v>
      </c>
      <c r="U58" s="79">
        <v>2.3634819010543238E-2</v>
      </c>
      <c r="V58" s="79">
        <v>5.7629495091217316E-3</v>
      </c>
      <c r="W58" s="79">
        <v>0.15485672710250106</v>
      </c>
      <c r="X58" s="79">
        <v>0.29646913716435203</v>
      </c>
      <c r="Y58" s="79">
        <v>0.18808725311152891</v>
      </c>
      <c r="Z58" s="79">
        <v>0.18808725311152896</v>
      </c>
      <c r="AA58" s="81">
        <v>8.846245675775162E-2</v>
      </c>
    </row>
    <row r="59" spans="1:27">
      <c r="A59" s="77" t="s">
        <v>486</v>
      </c>
      <c r="B59" s="78">
        <v>11</v>
      </c>
      <c r="C59" s="79">
        <v>4.6280999999999996E-2</v>
      </c>
      <c r="D59" s="79">
        <v>0.10136344113969289</v>
      </c>
      <c r="E59" s="79">
        <v>0.14468950470501363</v>
      </c>
      <c r="F59" s="79">
        <v>0.2143667790493376</v>
      </c>
      <c r="G59" s="80">
        <v>0.59401445549826037</v>
      </c>
      <c r="H59" s="80">
        <v>0.86758967833953515</v>
      </c>
      <c r="I59" s="79">
        <v>7.8709125203618613E-2</v>
      </c>
      <c r="J59" s="79">
        <v>0.22797402634512051</v>
      </c>
      <c r="K59" s="79">
        <v>4.5043E-2</v>
      </c>
      <c r="L59" s="79">
        <v>0.41684587791945077</v>
      </c>
      <c r="M59" s="79">
        <v>5.9981542467188606E-2</v>
      </c>
      <c r="N59" s="80">
        <v>1.8070981130643691</v>
      </c>
      <c r="O59" s="80">
        <v>1.4851151918346988</v>
      </c>
      <c r="P59" s="80">
        <v>9.2815278201038112</v>
      </c>
      <c r="Q59" s="80">
        <v>14.548466635999445</v>
      </c>
      <c r="R59" s="80">
        <v>2.9619162642561543</v>
      </c>
      <c r="S59" s="80">
        <v>17.370818385055024</v>
      </c>
      <c r="T59" s="79">
        <v>7.6715870784513529E-2</v>
      </c>
      <c r="U59" s="79">
        <v>6.7633210085312132E-2</v>
      </c>
      <c r="V59" s="79">
        <v>3.8600392724298972E-2</v>
      </c>
      <c r="W59" s="79">
        <v>0.70321264532913874</v>
      </c>
      <c r="X59" s="79">
        <v>0.19622775667533635</v>
      </c>
      <c r="Y59" s="79">
        <v>0.25848828708559801</v>
      </c>
      <c r="Z59" s="79">
        <v>0.25848828708559801</v>
      </c>
      <c r="AA59" s="81">
        <v>0.10208646007753597</v>
      </c>
    </row>
    <row r="60" spans="1:27">
      <c r="A60" s="77" t="s">
        <v>487</v>
      </c>
      <c r="B60" s="78">
        <v>7</v>
      </c>
      <c r="C60" s="79">
        <v>3.8425000000000001E-2</v>
      </c>
      <c r="D60" s="79">
        <v>9.9619899214932001E-2</v>
      </c>
      <c r="E60" s="79">
        <v>0.18901373691463047</v>
      </c>
      <c r="F60" s="79">
        <v>0.30911701363962674</v>
      </c>
      <c r="G60" s="80">
        <v>1.5902925666995296</v>
      </c>
      <c r="H60" s="80">
        <v>1.9382231536190784</v>
      </c>
      <c r="I60" s="79">
        <v>0.12795826506647762</v>
      </c>
      <c r="J60" s="79">
        <v>0.43036486711913036</v>
      </c>
      <c r="K60" s="79">
        <v>5.0854999999999997E-2</v>
      </c>
      <c r="L60" s="79">
        <v>0.27203680189153673</v>
      </c>
      <c r="M60" s="79">
        <v>0.10352473153234908</v>
      </c>
      <c r="N60" s="80">
        <v>2.1382237014668712</v>
      </c>
      <c r="O60" s="80">
        <v>1.039978868393705</v>
      </c>
      <c r="P60" s="80">
        <v>7.0633686570128136</v>
      </c>
      <c r="Q60" s="80">
        <v>10.309929699692999</v>
      </c>
      <c r="R60" s="80">
        <v>2.420835985244048</v>
      </c>
      <c r="S60" s="80">
        <v>19.990268135629133</v>
      </c>
      <c r="T60" s="79">
        <v>0.12896672468828177</v>
      </c>
      <c r="U60" s="79">
        <v>7.5908105941041221E-2</v>
      </c>
      <c r="V60" s="79">
        <v>5.0747159393665635E-2</v>
      </c>
      <c r="W60" s="79">
        <v>0.99702940057992662</v>
      </c>
      <c r="X60" s="79">
        <v>0.15165444471442061</v>
      </c>
      <c r="Y60" s="79">
        <v>0.27578599007170435</v>
      </c>
      <c r="Z60" s="79">
        <v>0.27578599007170435</v>
      </c>
      <c r="AA60" s="81">
        <v>0.10140987860769964</v>
      </c>
    </row>
    <row r="61" spans="1:27">
      <c r="A61" s="77" t="s">
        <v>488</v>
      </c>
      <c r="B61" s="78">
        <v>50</v>
      </c>
      <c r="C61" s="79">
        <v>5.3279999999999987E-2</v>
      </c>
      <c r="D61" s="79">
        <v>0.16292988851641926</v>
      </c>
      <c r="E61" s="79">
        <v>5.7838808795451627E-2</v>
      </c>
      <c r="F61" s="79">
        <v>0.16140322753814085</v>
      </c>
      <c r="G61" s="80">
        <v>0.3885061927976376</v>
      </c>
      <c r="H61" s="80">
        <v>0.65062741829817849</v>
      </c>
      <c r="I61" s="79">
        <v>6.8728861241716205E-2</v>
      </c>
      <c r="J61" s="79">
        <v>0.20394370124554315</v>
      </c>
      <c r="K61" s="79">
        <v>4.5043E-2</v>
      </c>
      <c r="L61" s="79">
        <v>0.48166097793207796</v>
      </c>
      <c r="M61" s="79">
        <v>5.189644229561903E-2</v>
      </c>
      <c r="N61" s="80">
        <v>0.4114319764618295</v>
      </c>
      <c r="O61" s="80">
        <v>3.7153854274683433</v>
      </c>
      <c r="P61" s="80">
        <v>11.691846058595218</v>
      </c>
      <c r="Q61" s="80">
        <v>22.339910401761529</v>
      </c>
      <c r="R61" s="80">
        <v>1.7113225687107074</v>
      </c>
      <c r="S61" s="80">
        <v>23.19158205893271</v>
      </c>
      <c r="T61" s="79">
        <v>8.2551593545111768E-2</v>
      </c>
      <c r="U61" s="79">
        <v>0.33954089511344704</v>
      </c>
      <c r="V61" s="79">
        <v>0.22702951827873996</v>
      </c>
      <c r="W61" s="79">
        <v>1.7342755771524554</v>
      </c>
      <c r="X61" s="79">
        <v>8.6033634105900814E-2</v>
      </c>
      <c r="Y61" s="79">
        <v>0.76674406940227546</v>
      </c>
      <c r="Z61" s="79">
        <v>0.76674406940227546</v>
      </c>
      <c r="AA61" s="81">
        <v>0.16287010099737925</v>
      </c>
    </row>
    <row r="62" spans="1:27">
      <c r="A62" s="77" t="s">
        <v>489</v>
      </c>
      <c r="B62" s="78">
        <v>61</v>
      </c>
      <c r="C62" s="79">
        <v>0.116358</v>
      </c>
      <c r="D62" s="79">
        <v>9.4815347859160626E-2</v>
      </c>
      <c r="E62" s="79">
        <v>4.6929693296862557E-2</v>
      </c>
      <c r="F62" s="79">
        <v>0.22878493646304626</v>
      </c>
      <c r="G62" s="80">
        <v>0.83008391475465471</v>
      </c>
      <c r="H62" s="80">
        <v>0.86895093981506022</v>
      </c>
      <c r="I62" s="79">
        <v>7.8771743231492775E-2</v>
      </c>
      <c r="J62" s="79">
        <v>0.63609473927989657</v>
      </c>
      <c r="K62" s="79">
        <v>5.3524000000000002E-2</v>
      </c>
      <c r="L62" s="79">
        <v>0.13198988940179562</v>
      </c>
      <c r="M62" s="79">
        <v>7.3673139684637678E-2</v>
      </c>
      <c r="N62" s="80">
        <v>0.50505304327330192</v>
      </c>
      <c r="O62" s="80">
        <v>3.955802095084481</v>
      </c>
      <c r="P62" s="80">
        <v>13.009572620028603</v>
      </c>
      <c r="Q62" s="80">
        <v>40.056477737396648</v>
      </c>
      <c r="R62" s="80">
        <v>2.0363465513114485</v>
      </c>
      <c r="S62" s="80">
        <v>34.232639448888236</v>
      </c>
      <c r="T62" s="79">
        <v>9.8325052009865355E-2</v>
      </c>
      <c r="U62" s="79">
        <v>0.25407970239525501</v>
      </c>
      <c r="V62" s="79">
        <v>9.5405975749894428E-2</v>
      </c>
      <c r="W62" s="79">
        <v>1.4626231735473461</v>
      </c>
      <c r="X62" s="79">
        <v>-2.3341970007055318E-2</v>
      </c>
      <c r="Y62" s="79">
        <v>8.8351216929083726E-3</v>
      </c>
      <c r="Z62" s="79">
        <v>8.8351216929083431E-3</v>
      </c>
      <c r="AA62" s="81">
        <v>9.4817432437201393E-2</v>
      </c>
    </row>
    <row r="63" spans="1:27">
      <c r="A63" s="77" t="s">
        <v>490</v>
      </c>
      <c r="B63" s="78">
        <v>13</v>
      </c>
      <c r="C63" s="79">
        <v>1.886888888888889E-2</v>
      </c>
      <c r="D63" s="79">
        <v>7.586053639846746E-2</v>
      </c>
      <c r="E63" s="79">
        <v>0.11743909189085758</v>
      </c>
      <c r="F63" s="79">
        <v>0.33496727251475661</v>
      </c>
      <c r="G63" s="80">
        <v>0.80705437488394349</v>
      </c>
      <c r="H63" s="80">
        <v>0.91822392434292299</v>
      </c>
      <c r="I63" s="79">
        <v>8.1038300519774453E-2</v>
      </c>
      <c r="J63" s="79">
        <v>0.31017152439390305</v>
      </c>
      <c r="K63" s="79">
        <v>5.0854999999999997E-2</v>
      </c>
      <c r="L63" s="79">
        <v>0.22320484003526761</v>
      </c>
      <c r="M63" s="79">
        <v>7.1463471220523392E-2</v>
      </c>
      <c r="N63" s="80">
        <v>1.8067191265961897</v>
      </c>
      <c r="O63" s="80">
        <v>1.6155964877241813</v>
      </c>
      <c r="P63" s="80">
        <v>11.874911514750378</v>
      </c>
      <c r="Q63" s="80">
        <v>22.460692247101811</v>
      </c>
      <c r="R63" s="80">
        <v>2.0327328801923263</v>
      </c>
      <c r="S63" s="80">
        <v>33.966609637973768</v>
      </c>
      <c r="T63" s="79">
        <v>0.11799856960408685</v>
      </c>
      <c r="U63" s="79">
        <v>3.7843627075351223E-2</v>
      </c>
      <c r="V63" s="79">
        <v>-1.4497011494252865E-2</v>
      </c>
      <c r="W63" s="79">
        <v>-0.12400404330731554</v>
      </c>
      <c r="X63" s="79">
        <v>2.5384759683220643E-2</v>
      </c>
      <c r="Y63" s="79">
        <v>0.96086621256907867</v>
      </c>
      <c r="Z63" s="79">
        <v>0.96086621256907867</v>
      </c>
      <c r="AA63" s="81">
        <v>7.2628247793605716E-2</v>
      </c>
    </row>
    <row r="64" spans="1:27">
      <c r="A64" s="77" t="s">
        <v>491</v>
      </c>
      <c r="B64" s="78">
        <v>181</v>
      </c>
      <c r="C64" s="79">
        <v>7.9506184210526312E-2</v>
      </c>
      <c r="D64" s="79">
        <v>0.22306419369090053</v>
      </c>
      <c r="E64" s="79">
        <v>2.604602253380742E-2</v>
      </c>
      <c r="F64" s="79">
        <v>3.423555993824276E-2</v>
      </c>
      <c r="G64" s="80">
        <v>0.65364907272884065</v>
      </c>
      <c r="H64" s="80">
        <v>1.0241702628809981</v>
      </c>
      <c r="I64" s="79">
        <v>8.5911832092525911E-2</v>
      </c>
      <c r="J64" s="79">
        <v>0.23590766129106594</v>
      </c>
      <c r="K64" s="79">
        <v>4.5043E-2</v>
      </c>
      <c r="L64" s="79">
        <v>0.4437436539441254</v>
      </c>
      <c r="M64" s="79">
        <v>6.2779660856208216E-2</v>
      </c>
      <c r="N64" s="80">
        <v>0.13519492153145526</v>
      </c>
      <c r="O64" s="80">
        <v>11.736514441111494</v>
      </c>
      <c r="P64" s="80">
        <v>21.912087518157193</v>
      </c>
      <c r="Q64" s="80">
        <v>53.479159627199742</v>
      </c>
      <c r="R64" s="80">
        <v>1.9827496103359104</v>
      </c>
      <c r="S64" s="80">
        <v>123.35864097594961</v>
      </c>
      <c r="T64" s="79">
        <v>1.1777065426859592</v>
      </c>
      <c r="U64" s="79">
        <v>2.0877749230665748E-2</v>
      </c>
      <c r="V64" s="79">
        <v>-0.16888406313044227</v>
      </c>
      <c r="W64" s="79">
        <v>-0.82957560768677063</v>
      </c>
      <c r="X64" s="79">
        <v>4.1547193007393492E-2</v>
      </c>
      <c r="Y64" s="79">
        <v>2.320757535648835</v>
      </c>
      <c r="Z64" s="79">
        <v>2.320757535648835</v>
      </c>
      <c r="AA64" s="81">
        <v>0.19653209531683402</v>
      </c>
    </row>
    <row r="65" spans="1:27">
      <c r="A65" s="77" t="s">
        <v>492</v>
      </c>
      <c r="B65" s="78">
        <v>17</v>
      </c>
      <c r="C65" s="79">
        <v>0.55561666666666665</v>
      </c>
      <c r="D65" s="79">
        <v>0.1260895802230371</v>
      </c>
      <c r="E65" s="79">
        <v>2.9287042485061747E-2</v>
      </c>
      <c r="F65" s="79">
        <v>0.24259357814440308</v>
      </c>
      <c r="G65" s="80">
        <v>0.4314363177605709</v>
      </c>
      <c r="H65" s="80">
        <v>0.66859406140799615</v>
      </c>
      <c r="I65" s="79">
        <v>6.9555326824767824E-2</v>
      </c>
      <c r="J65" s="79">
        <v>0.34240037014717128</v>
      </c>
      <c r="K65" s="79">
        <v>5.0854999999999997E-2</v>
      </c>
      <c r="L65" s="79">
        <v>0.48479507760579099</v>
      </c>
      <c r="M65" s="79">
        <v>5.4325937012590225E-2</v>
      </c>
      <c r="N65" s="80">
        <v>0.26632691318970303</v>
      </c>
      <c r="O65" s="80">
        <v>4.3826293726146881</v>
      </c>
      <c r="P65" s="80">
        <v>17.93205737756681</v>
      </c>
      <c r="Q65" s="80">
        <v>36.271131152719285</v>
      </c>
      <c r="R65" s="80">
        <v>1.3514347597641898</v>
      </c>
      <c r="S65" s="80">
        <v>8.0221176983239513</v>
      </c>
      <c r="T65" s="79">
        <v>4.0784818863112492E-2</v>
      </c>
      <c r="U65" s="79">
        <v>2.5419140294122532E-2</v>
      </c>
      <c r="V65" s="79">
        <v>-5.9288075101082707E-2</v>
      </c>
      <c r="W65" s="79">
        <v>-0.97271208117751418</v>
      </c>
      <c r="X65" s="79">
        <v>-8.5380378934187581E-2</v>
      </c>
      <c r="Y65" s="79">
        <v>0</v>
      </c>
      <c r="Z65" s="79">
        <v>0</v>
      </c>
      <c r="AA65" s="81">
        <v>0.11158676233778687</v>
      </c>
    </row>
    <row r="66" spans="1:27">
      <c r="A66" s="77" t="s">
        <v>493</v>
      </c>
      <c r="B66" s="78">
        <v>11</v>
      </c>
      <c r="C66" s="79">
        <v>9.080400000000001E-2</v>
      </c>
      <c r="D66" s="79">
        <v>0.16131826431281968</v>
      </c>
      <c r="E66" s="79">
        <v>5.3122203722769448E-2</v>
      </c>
      <c r="F66" s="79">
        <v>0.17400095021907827</v>
      </c>
      <c r="G66" s="80">
        <v>0.51252675181814633</v>
      </c>
      <c r="H66" s="80">
        <v>0.56357223766363951</v>
      </c>
      <c r="I66" s="79">
        <v>6.4724322932527417E-2</v>
      </c>
      <c r="J66" s="79">
        <v>0.35907096541478567</v>
      </c>
      <c r="K66" s="79">
        <v>5.0854999999999997E-2</v>
      </c>
      <c r="L66" s="79">
        <v>0.24171470192446345</v>
      </c>
      <c r="M66" s="79">
        <v>5.8298803382405277E-2</v>
      </c>
      <c r="N66" s="80">
        <v>0.37242041233481304</v>
      </c>
      <c r="O66" s="80">
        <v>4.7788406442155482</v>
      </c>
      <c r="P66" s="80">
        <v>18.009159397595386</v>
      </c>
      <c r="Q66" s="80">
        <v>28.438668024742345</v>
      </c>
      <c r="R66" s="80">
        <v>1.2470691827068427</v>
      </c>
      <c r="S66" s="80">
        <v>33.226230825792904</v>
      </c>
      <c r="T66" s="79">
        <v>2.0129995050321732</v>
      </c>
      <c r="U66" s="79">
        <v>2.8403728757630749E-2</v>
      </c>
      <c r="V66" s="79">
        <v>-5.1359511631743945E-2</v>
      </c>
      <c r="W66" s="79">
        <v>-0.59412378257803355</v>
      </c>
      <c r="X66" s="79">
        <v>9.1092056157810561E-2</v>
      </c>
      <c r="Y66" s="79">
        <v>0.24923181973369751</v>
      </c>
      <c r="Z66" s="79">
        <v>0.24923181973369757</v>
      </c>
      <c r="AA66" s="81">
        <v>0.1643542931994576</v>
      </c>
    </row>
    <row r="67" spans="1:27">
      <c r="A67" s="77" t="s">
        <v>494</v>
      </c>
      <c r="B67" s="78">
        <v>60</v>
      </c>
      <c r="C67" s="79">
        <v>5.4392666666666666E-2</v>
      </c>
      <c r="D67" s="79">
        <v>-2.8357035717595817E-3</v>
      </c>
      <c r="E67" s="79">
        <v>6.7119159647465029E-4</v>
      </c>
      <c r="F67" s="79">
        <v>0.18035278243626368</v>
      </c>
      <c r="G67" s="80">
        <v>0.88284638532075765</v>
      </c>
      <c r="H67" s="80">
        <v>1.0801188936162607</v>
      </c>
      <c r="I67" s="79">
        <v>8.8485469106347997E-2</v>
      </c>
      <c r="J67" s="79">
        <v>0.44192228893495522</v>
      </c>
      <c r="K67" s="79">
        <v>5.0854999999999997E-2</v>
      </c>
      <c r="L67" s="79">
        <v>0.30827148132425231</v>
      </c>
      <c r="M67" s="79">
        <v>7.2965782106321375E-2</v>
      </c>
      <c r="N67" s="80">
        <v>1.44524314073108</v>
      </c>
      <c r="O67" s="80">
        <v>1.5074220348746605</v>
      </c>
      <c r="P67" s="80">
        <v>14.981930532197556</v>
      </c>
      <c r="Q67" s="80" t="s">
        <v>437</v>
      </c>
      <c r="R67" s="80">
        <v>2.8721502379113324</v>
      </c>
      <c r="S67" s="80">
        <v>104.23604792269977</v>
      </c>
      <c r="T67" s="79">
        <v>9.6938280068516611E-2</v>
      </c>
      <c r="U67" s="79">
        <v>1.3030956034781528E-2</v>
      </c>
      <c r="V67" s="79">
        <v>-1.1660648443319731E-2</v>
      </c>
      <c r="W67" s="79" t="s">
        <v>437</v>
      </c>
      <c r="X67" s="79">
        <v>-8.2699453594316241E-2</v>
      </c>
      <c r="Y67" s="79">
        <v>7.6188461338059024E-3</v>
      </c>
      <c r="Z67" s="79">
        <v>7.6188461338059232E-3</v>
      </c>
      <c r="AA67" s="81">
        <v>4.8652777182227547E-4</v>
      </c>
    </row>
    <row r="68" spans="1:27">
      <c r="A68" s="77" t="s">
        <v>495</v>
      </c>
      <c r="B68" s="78">
        <v>55</v>
      </c>
      <c r="C68" s="79">
        <v>0.10951862068965518</v>
      </c>
      <c r="D68" s="79">
        <v>9.6590436589090084E-2</v>
      </c>
      <c r="E68" s="79">
        <v>9.5367541711306333E-2</v>
      </c>
      <c r="F68" s="79">
        <v>0.27908973850786251</v>
      </c>
      <c r="G68" s="80">
        <v>0.84887800605574826</v>
      </c>
      <c r="H68" s="80">
        <v>1.17128693009822</v>
      </c>
      <c r="I68" s="79">
        <v>9.2679198784518121E-2</v>
      </c>
      <c r="J68" s="79">
        <v>0.44295221149390968</v>
      </c>
      <c r="K68" s="79">
        <v>5.0854999999999997E-2</v>
      </c>
      <c r="L68" s="79">
        <v>0.36938218119030658</v>
      </c>
      <c r="M68" s="79">
        <v>7.2533852304847587E-2</v>
      </c>
      <c r="N68" s="80">
        <v>1.28318501683349</v>
      </c>
      <c r="O68" s="80">
        <v>1.8421118883204324</v>
      </c>
      <c r="P68" s="80">
        <v>9.9873894498440308</v>
      </c>
      <c r="Q68" s="80">
        <v>21.71796210872423</v>
      </c>
      <c r="R68" s="80">
        <v>3.4596231451635577</v>
      </c>
      <c r="S68" s="80">
        <v>27.700115574206265</v>
      </c>
      <c r="T68" s="79">
        <v>0.18037794033907653</v>
      </c>
      <c r="U68" s="79">
        <v>7.1115609943383618E-2</v>
      </c>
      <c r="V68" s="79">
        <v>3.2100923079553575E-2</v>
      </c>
      <c r="W68" s="79">
        <v>0.56158342782299575</v>
      </c>
      <c r="X68" s="79">
        <v>2.5626629604530146E-2</v>
      </c>
      <c r="Y68" s="79">
        <v>1.9958513365724233</v>
      </c>
      <c r="Z68" s="79">
        <v>1.9958513365724233</v>
      </c>
      <c r="AA68" s="81">
        <v>8.10090946051851E-2</v>
      </c>
    </row>
    <row r="69" spans="1:27">
      <c r="A69" s="77" t="s">
        <v>496</v>
      </c>
      <c r="B69" s="78">
        <v>1</v>
      </c>
      <c r="C69" s="79">
        <v>6.9500000000000006E-2</v>
      </c>
      <c r="D69" s="79">
        <v>9.6556719411633601E-2</v>
      </c>
      <c r="E69" s="79">
        <v>0.30116910073399067</v>
      </c>
      <c r="F69" s="79">
        <v>0.22953020134228189</v>
      </c>
      <c r="G69" s="80">
        <v>0.60985091839783168</v>
      </c>
      <c r="H69" s="80">
        <v>0.65514402605202471</v>
      </c>
      <c r="I69" s="79">
        <v>6.8936625198393137E-2</v>
      </c>
      <c r="J69" s="79">
        <v>0.17094029032718663</v>
      </c>
      <c r="K69" s="79">
        <v>4.5043E-2</v>
      </c>
      <c r="L69" s="79">
        <v>0.29842458571273739</v>
      </c>
      <c r="M69" s="79">
        <v>5.8445695343822532E-2</v>
      </c>
      <c r="N69" s="80">
        <v>4.0484415459074663</v>
      </c>
      <c r="O69" s="80">
        <v>0.68963176352401712</v>
      </c>
      <c r="P69" s="80">
        <v>7.2830308277311326</v>
      </c>
      <c r="Q69" s="80">
        <v>7.1425014429623443</v>
      </c>
      <c r="R69" s="80">
        <v>1.3077640132466577</v>
      </c>
      <c r="S69" s="80">
        <v>9.3446099912357585</v>
      </c>
      <c r="T69" s="79">
        <v>0.17093826610207266</v>
      </c>
      <c r="U69" s="79">
        <v>1.4486293737463784E-3</v>
      </c>
      <c r="V69" s="79">
        <v>4.3263873412079337E-2</v>
      </c>
      <c r="W69" s="79">
        <v>0.75607995316740739</v>
      </c>
      <c r="X69" s="79">
        <v>0.31234601697235148</v>
      </c>
      <c r="Y69" s="79">
        <v>0.18930762489044697</v>
      </c>
      <c r="Z69" s="79">
        <v>0.18930762489044695</v>
      </c>
      <c r="AA69" s="81">
        <v>9.6553255050935372E-2</v>
      </c>
    </row>
    <row r="70" spans="1:27">
      <c r="A70" s="77" t="s">
        <v>497</v>
      </c>
      <c r="B70" s="78">
        <v>64</v>
      </c>
      <c r="C70" s="79">
        <v>6.7960000000000007E-2</v>
      </c>
      <c r="D70" s="79">
        <v>0.15800225916236191</v>
      </c>
      <c r="E70" s="79">
        <v>0.19557552942837814</v>
      </c>
      <c r="F70" s="79">
        <v>0.19967846424718289</v>
      </c>
      <c r="G70" s="80">
        <v>1.0243276951296387</v>
      </c>
      <c r="H70" s="80">
        <v>1.194577320424228</v>
      </c>
      <c r="I70" s="79">
        <v>9.375055673951449E-2</v>
      </c>
      <c r="J70" s="79">
        <v>0.35372310643077254</v>
      </c>
      <c r="K70" s="79">
        <v>5.0854999999999997E-2</v>
      </c>
      <c r="L70" s="79">
        <v>0.20462608516509845</v>
      </c>
      <c r="M70" s="79">
        <v>8.2371442002662512E-2</v>
      </c>
      <c r="N70" s="80">
        <v>1.6196890156518917</v>
      </c>
      <c r="O70" s="80">
        <v>4.1943615958584566</v>
      </c>
      <c r="P70" s="80">
        <v>16.598910443571427</v>
      </c>
      <c r="Q70" s="80">
        <v>29.333020694460565</v>
      </c>
      <c r="R70" s="80" t="s">
        <v>437</v>
      </c>
      <c r="S70" s="80">
        <v>94.189098132402151</v>
      </c>
      <c r="T70" s="79">
        <v>8.6042887900802303E-3</v>
      </c>
      <c r="U70" s="79">
        <v>5.7944026102845256E-2</v>
      </c>
      <c r="V70" s="79">
        <v>3.5722685370995058E-2</v>
      </c>
      <c r="W70" s="79">
        <v>0.34511083241843721</v>
      </c>
      <c r="X70" s="79" t="s">
        <v>437</v>
      </c>
      <c r="Y70" s="79">
        <v>0.53075598955740277</v>
      </c>
      <c r="Z70" s="79">
        <v>0.53075598955740277</v>
      </c>
      <c r="AA70" s="81">
        <v>0.13614064338279905</v>
      </c>
    </row>
    <row r="71" spans="1:27">
      <c r="A71" s="77" t="s">
        <v>498</v>
      </c>
      <c r="B71" s="78">
        <v>30</v>
      </c>
      <c r="C71" s="79">
        <v>0.17498636363636366</v>
      </c>
      <c r="D71" s="79">
        <v>6.1756206429810209E-2</v>
      </c>
      <c r="E71" s="79">
        <v>0.13195481158300898</v>
      </c>
      <c r="F71" s="79">
        <v>0.23751485780163534</v>
      </c>
      <c r="G71" s="80">
        <v>1.0587643053346871</v>
      </c>
      <c r="H71" s="80">
        <v>1.4944959500823904</v>
      </c>
      <c r="I71" s="79">
        <v>0.10754681370378996</v>
      </c>
      <c r="J71" s="79">
        <v>0.46787574959813977</v>
      </c>
      <c r="K71" s="79">
        <v>5.0854999999999997E-2</v>
      </c>
      <c r="L71" s="79">
        <v>0.36513247499984208</v>
      </c>
      <c r="M71" s="79">
        <v>8.2204588449865917E-2</v>
      </c>
      <c r="N71" s="80">
        <v>2.6698337874045341</v>
      </c>
      <c r="O71" s="80">
        <v>1.0494760169508079</v>
      </c>
      <c r="P71" s="80">
        <v>11.625721407059311</v>
      </c>
      <c r="Q71" s="80">
        <v>17.424466432833757</v>
      </c>
      <c r="R71" s="80">
        <v>6.9701147308624885</v>
      </c>
      <c r="S71" s="80">
        <v>17.888727923754509</v>
      </c>
      <c r="T71" s="79">
        <v>9.9833697994084286E-2</v>
      </c>
      <c r="U71" s="79">
        <v>1.9066371040589995E-2</v>
      </c>
      <c r="V71" s="79">
        <v>2.1762603098834987E-2</v>
      </c>
      <c r="W71" s="79">
        <v>0.71346116785558666</v>
      </c>
      <c r="X71" s="79">
        <v>0.47328545526154348</v>
      </c>
      <c r="Y71" s="79">
        <v>5.7941597498037609E-2</v>
      </c>
      <c r="Z71" s="79">
        <v>5.7941597498037622E-2</v>
      </c>
      <c r="AA71" s="81">
        <v>5.7130049786012285E-2</v>
      </c>
    </row>
    <row r="72" spans="1:27">
      <c r="A72" s="77" t="s">
        <v>499</v>
      </c>
      <c r="B72" s="78">
        <v>16</v>
      </c>
      <c r="C72" s="79">
        <v>8.9053846153846164E-2</v>
      </c>
      <c r="D72" s="79">
        <v>0.12513815577176424</v>
      </c>
      <c r="E72" s="79">
        <v>0.39426101011063314</v>
      </c>
      <c r="F72" s="79">
        <v>0.24040748843756385</v>
      </c>
      <c r="G72" s="80">
        <v>1.704153179546406</v>
      </c>
      <c r="H72" s="80">
        <v>1.9381785697071496</v>
      </c>
      <c r="I72" s="79">
        <v>0.12795621420652886</v>
      </c>
      <c r="J72" s="79">
        <v>0.45210582664645632</v>
      </c>
      <c r="K72" s="79">
        <v>5.0854999999999997E-2</v>
      </c>
      <c r="L72" s="79">
        <v>0.16613035370375878</v>
      </c>
      <c r="M72" s="79">
        <v>0.11303522243500778</v>
      </c>
      <c r="N72" s="80">
        <v>3.6418165867455921</v>
      </c>
      <c r="O72" s="80">
        <v>2.1699324764427979</v>
      </c>
      <c r="P72" s="80">
        <v>13.331901910729169</v>
      </c>
      <c r="Q72" s="80">
        <v>17.190761080323021</v>
      </c>
      <c r="R72" s="80" t="s">
        <v>437</v>
      </c>
      <c r="S72" s="80">
        <v>27.87080707923468</v>
      </c>
      <c r="T72" s="79">
        <v>8.4696827644573189E-2</v>
      </c>
      <c r="U72" s="79">
        <v>2.4278467792407967E-2</v>
      </c>
      <c r="V72" s="79">
        <v>8.4849635897816383E-3</v>
      </c>
      <c r="W72" s="79">
        <v>2.3337337560001278E-2</v>
      </c>
      <c r="X72" s="79" t="s">
        <v>437</v>
      </c>
      <c r="Y72" s="79">
        <v>0.46644741818218693</v>
      </c>
      <c r="Z72" s="79">
        <v>0.46644741818218693</v>
      </c>
      <c r="AA72" s="81">
        <v>0.1238432505090802</v>
      </c>
    </row>
    <row r="73" spans="1:27">
      <c r="A73" s="77" t="s">
        <v>500</v>
      </c>
      <c r="B73" s="78">
        <v>62</v>
      </c>
      <c r="C73" s="79">
        <v>5.8054594594594583E-2</v>
      </c>
      <c r="D73" s="79">
        <v>0.11953213688630857</v>
      </c>
      <c r="E73" s="79">
        <v>0.18608587925495401</v>
      </c>
      <c r="F73" s="79">
        <v>0.23449866940082945</v>
      </c>
      <c r="G73" s="80">
        <v>0.90932555384051728</v>
      </c>
      <c r="H73" s="80">
        <v>1.106042693037566</v>
      </c>
      <c r="I73" s="79">
        <v>8.967796387972804E-2</v>
      </c>
      <c r="J73" s="79">
        <v>0.37735750438183585</v>
      </c>
      <c r="K73" s="79">
        <v>5.0854999999999997E-2</v>
      </c>
      <c r="L73" s="79">
        <v>0.24408909195893314</v>
      </c>
      <c r="M73" s="79">
        <v>7.7098414186277886E-2</v>
      </c>
      <c r="N73" s="80">
        <v>1.8156573835628624</v>
      </c>
      <c r="O73" s="80">
        <v>1.8130781123729549</v>
      </c>
      <c r="P73" s="80">
        <v>11.632873296385332</v>
      </c>
      <c r="Q73" s="80">
        <v>13.822749735595126</v>
      </c>
      <c r="R73" s="80">
        <v>4.0303872285760063</v>
      </c>
      <c r="S73" s="80">
        <v>28.908314358128138</v>
      </c>
      <c r="T73" s="79">
        <v>0.17415504658831088</v>
      </c>
      <c r="U73" s="79">
        <v>6.25565357934217E-2</v>
      </c>
      <c r="V73" s="79">
        <v>9.2151064103531105E-2</v>
      </c>
      <c r="W73" s="79">
        <v>1.0375036244575058</v>
      </c>
      <c r="X73" s="79">
        <v>0.25451622985825711</v>
      </c>
      <c r="Y73" s="79">
        <v>0.25220531066727753</v>
      </c>
      <c r="Z73" s="79">
        <v>0.25220531066727747</v>
      </c>
      <c r="AA73" s="81">
        <v>0.121685531334811</v>
      </c>
    </row>
    <row r="74" spans="1:27">
      <c r="A74" s="77" t="s">
        <v>501</v>
      </c>
      <c r="B74" s="78">
        <v>26</v>
      </c>
      <c r="C74" s="79">
        <v>0.18063052631578944</v>
      </c>
      <c r="D74" s="79">
        <v>4.4133968058007046E-2</v>
      </c>
      <c r="E74" s="79">
        <v>9.8929938052508604E-2</v>
      </c>
      <c r="F74" s="79">
        <v>0.21721237165566823</v>
      </c>
      <c r="G74" s="80">
        <v>1.1710629087177289</v>
      </c>
      <c r="H74" s="80">
        <v>1.2466770513434235</v>
      </c>
      <c r="I74" s="79">
        <v>9.6147144361797485E-2</v>
      </c>
      <c r="J74" s="79">
        <v>0.38283198873816127</v>
      </c>
      <c r="K74" s="79">
        <v>5.0854999999999997E-2</v>
      </c>
      <c r="L74" s="79">
        <v>0.1183525185747442</v>
      </c>
      <c r="M74" s="79">
        <v>8.9282000671898204E-2</v>
      </c>
      <c r="N74" s="80">
        <v>2.411559428998697</v>
      </c>
      <c r="O74" s="80">
        <v>1.5688483400026725</v>
      </c>
      <c r="P74" s="80">
        <v>16.631295752592539</v>
      </c>
      <c r="Q74" s="80">
        <v>38.46582980994355</v>
      </c>
      <c r="R74" s="80">
        <v>7.2422855039301099</v>
      </c>
      <c r="S74" s="80">
        <v>29.844016342968811</v>
      </c>
      <c r="T74" s="79">
        <v>7.6876136239185482E-3</v>
      </c>
      <c r="U74" s="79">
        <v>5.2009664806773569E-2</v>
      </c>
      <c r="V74" s="79">
        <v>2.2820227937652104E-2</v>
      </c>
      <c r="W74" s="79">
        <v>0.79447833647214905</v>
      </c>
      <c r="X74" s="79">
        <v>0.1955014547502191</v>
      </c>
      <c r="Y74" s="79">
        <v>0.21744723060022958</v>
      </c>
      <c r="Z74" s="79">
        <v>0.21744723060022952</v>
      </c>
      <c r="AA74" s="81">
        <v>4.6967034911053938E-2</v>
      </c>
    </row>
    <row r="75" spans="1:27">
      <c r="A75" s="77" t="s">
        <v>502</v>
      </c>
      <c r="B75" s="78">
        <v>14</v>
      </c>
      <c r="C75" s="79">
        <v>6.5912499999999999E-2</v>
      </c>
      <c r="D75" s="79">
        <v>2.4225596853965255E-2</v>
      </c>
      <c r="E75" s="79">
        <v>0.10989245466725754</v>
      </c>
      <c r="F75" s="79">
        <v>0.22911929074099627</v>
      </c>
      <c r="G75" s="80">
        <v>0.36476114906597701</v>
      </c>
      <c r="H75" s="80">
        <v>0.49360805956180459</v>
      </c>
      <c r="I75" s="79">
        <v>6.1505970739843013E-2</v>
      </c>
      <c r="J75" s="79">
        <v>0.25647926947712857</v>
      </c>
      <c r="K75" s="79">
        <v>5.0854999999999997E-2</v>
      </c>
      <c r="L75" s="79">
        <v>0.35831710070912415</v>
      </c>
      <c r="M75" s="79">
        <v>5.3133991745464119E-2</v>
      </c>
      <c r="N75" s="80">
        <v>4.7564463793562597</v>
      </c>
      <c r="O75" s="80">
        <v>0.41252131113329121</v>
      </c>
      <c r="P75" s="80">
        <v>6.3798048221013888</v>
      </c>
      <c r="Q75" s="80">
        <v>19.804920951092498</v>
      </c>
      <c r="R75" s="80">
        <v>2.903171334143174</v>
      </c>
      <c r="S75" s="80">
        <v>16.757683247241964</v>
      </c>
      <c r="T75" s="79">
        <v>-2.4323899281002599E-3</v>
      </c>
      <c r="U75" s="79">
        <v>2.6633515324994268E-2</v>
      </c>
      <c r="V75" s="79">
        <v>1.326060238245387E-2</v>
      </c>
      <c r="W75" s="79">
        <v>1.1428223096616057</v>
      </c>
      <c r="X75" s="79">
        <v>0.14777603490447422</v>
      </c>
      <c r="Y75" s="79">
        <v>0.36924015550657879</v>
      </c>
      <c r="Z75" s="79">
        <v>0.36924015550657874</v>
      </c>
      <c r="AA75" s="81">
        <v>2.6473632076435664E-2</v>
      </c>
    </row>
    <row r="76" spans="1:27">
      <c r="A76" s="77" t="s">
        <v>503</v>
      </c>
      <c r="B76" s="78">
        <v>28</v>
      </c>
      <c r="C76" s="79">
        <v>4.1101851851851841E-2</v>
      </c>
      <c r="D76" s="79">
        <v>0.36745097043843167</v>
      </c>
      <c r="E76" s="79">
        <v>4.458562834006221E-2</v>
      </c>
      <c r="F76" s="79">
        <v>4.2019303588884428E-2</v>
      </c>
      <c r="G76" s="80">
        <v>0.78667470190348754</v>
      </c>
      <c r="H76" s="80">
        <v>1.1208677660313939</v>
      </c>
      <c r="I76" s="79">
        <v>9.0359917237444118E-2</v>
      </c>
      <c r="J76" s="79">
        <v>0.20718002005434216</v>
      </c>
      <c r="K76" s="79">
        <v>4.5043E-2</v>
      </c>
      <c r="L76" s="79">
        <v>0.37042376508860575</v>
      </c>
      <c r="M76" s="79">
        <v>6.9402204719419811E-2</v>
      </c>
      <c r="N76" s="80">
        <v>0.13065981426778428</v>
      </c>
      <c r="O76" s="80">
        <v>12.151988991799444</v>
      </c>
      <c r="P76" s="80">
        <v>17.431873861346652</v>
      </c>
      <c r="Q76" s="80">
        <v>34.711010000762485</v>
      </c>
      <c r="R76" s="80">
        <v>1.9356719923817578</v>
      </c>
      <c r="S76" s="80">
        <v>74.090504225084899</v>
      </c>
      <c r="T76" s="79">
        <v>-9.8708986919809769E-2</v>
      </c>
      <c r="U76" s="79">
        <v>5.1678638509569011E-2</v>
      </c>
      <c r="V76" s="79">
        <v>-0.26525961554732042</v>
      </c>
      <c r="W76" s="79">
        <v>-0.81803643279498717</v>
      </c>
      <c r="X76" s="79">
        <v>6.523063162826355E-2</v>
      </c>
      <c r="Y76" s="79">
        <v>1.5557235045106812</v>
      </c>
      <c r="Z76" s="79">
        <v>1.5557235045106812</v>
      </c>
      <c r="AA76" s="81">
        <v>0.35009709985829468</v>
      </c>
    </row>
    <row r="77" spans="1:27">
      <c r="A77" s="77" t="s">
        <v>504</v>
      </c>
      <c r="B77" s="78">
        <v>105</v>
      </c>
      <c r="C77" s="79">
        <v>0.12071967741935487</v>
      </c>
      <c r="D77" s="79">
        <v>4.6172630818204483E-2</v>
      </c>
      <c r="E77" s="79">
        <v>0.13499345989584943</v>
      </c>
      <c r="F77" s="79">
        <v>0.24714983147031147</v>
      </c>
      <c r="G77" s="80">
        <v>0.97306921831208426</v>
      </c>
      <c r="H77" s="80">
        <v>1.1814057462278666</v>
      </c>
      <c r="I77" s="79">
        <v>9.3144664326481857E-2</v>
      </c>
      <c r="J77" s="79">
        <v>0.44007853687551313</v>
      </c>
      <c r="K77" s="79">
        <v>5.0854999999999997E-2</v>
      </c>
      <c r="L77" s="79">
        <v>0.26552004840016741</v>
      </c>
      <c r="M77" s="79">
        <v>7.8540155092339942E-2</v>
      </c>
      <c r="N77" s="80">
        <v>3.1090000638677036</v>
      </c>
      <c r="O77" s="80">
        <v>0.98357084492498503</v>
      </c>
      <c r="P77" s="80">
        <v>9.3415485589048952</v>
      </c>
      <c r="Q77" s="80">
        <v>20.317569846397642</v>
      </c>
      <c r="R77" s="80">
        <v>4.7786065628780694</v>
      </c>
      <c r="S77" s="80">
        <v>48.788376528460567</v>
      </c>
      <c r="T77" s="79">
        <v>5.0599261894710514E-2</v>
      </c>
      <c r="U77" s="79">
        <v>2.5889269223510269E-2</v>
      </c>
      <c r="V77" s="79">
        <v>2.6622349307585433E-2</v>
      </c>
      <c r="W77" s="79">
        <v>0.55230156249920015</v>
      </c>
      <c r="X77" s="79">
        <v>9.6438784183108986E-2</v>
      </c>
      <c r="Y77" s="79">
        <v>0.8704265485497078</v>
      </c>
      <c r="Z77" s="79">
        <v>0.8704265485497078</v>
      </c>
      <c r="AA77" s="81">
        <v>4.7981611326379597E-2</v>
      </c>
    </row>
    <row r="78" spans="1:27">
      <c r="A78" s="77" t="s">
        <v>505</v>
      </c>
      <c r="B78" s="78">
        <v>3</v>
      </c>
      <c r="C78" s="79">
        <v>9.0200000000000002E-2</v>
      </c>
      <c r="D78" s="79">
        <v>1.8445123448906007E-2</v>
      </c>
      <c r="E78" s="79">
        <v>3.124092719979871E-2</v>
      </c>
      <c r="F78" s="79" t="e">
        <v>#DIV/0!</v>
      </c>
      <c r="G78" s="80">
        <v>0.26316933125019143</v>
      </c>
      <c r="H78" s="80">
        <v>0.67451976956750803</v>
      </c>
      <c r="I78" s="79">
        <v>6.9827909400105373E-2</v>
      </c>
      <c r="J78" s="79">
        <v>0.40772526552560179</v>
      </c>
      <c r="K78" s="79">
        <v>5.0854999999999997E-2</v>
      </c>
      <c r="L78" s="79">
        <v>0.70174055335879415</v>
      </c>
      <c r="M78" s="79">
        <v>4.7592095498583793E-2</v>
      </c>
      <c r="N78" s="80">
        <v>1.4484047693844369</v>
      </c>
      <c r="O78" s="80">
        <v>0.62828691748081245</v>
      </c>
      <c r="P78" s="80">
        <v>7.9475865714228098</v>
      </c>
      <c r="Q78" s="80">
        <v>29.777572649378406</v>
      </c>
      <c r="R78" s="80">
        <v>0.78946449471402003</v>
      </c>
      <c r="S78" s="80" t="e">
        <v>#DIV/0!</v>
      </c>
      <c r="T78" s="79">
        <v>0.10694212196535768</v>
      </c>
      <c r="U78" s="79">
        <v>5.4186799367281373E-2</v>
      </c>
      <c r="V78" s="79">
        <v>7.0628985193991103E-3</v>
      </c>
      <c r="W78" s="79">
        <v>-0.32002680606024081</v>
      </c>
      <c r="X78" s="79">
        <v>-9.9980552314274607E-2</v>
      </c>
      <c r="Y78" s="79" t="e">
        <v>#DIV/0!</v>
      </c>
      <c r="Z78" s="79" t="e">
        <v>#DIV/0!</v>
      </c>
      <c r="AA78" s="81">
        <v>2.1569196581060632E-2</v>
      </c>
    </row>
    <row r="79" spans="1:27">
      <c r="A79" s="77" t="s">
        <v>506</v>
      </c>
      <c r="B79" s="78">
        <v>63</v>
      </c>
      <c r="C79" s="79">
        <v>6.4411627906976743E-2</v>
      </c>
      <c r="D79" s="79">
        <v>0.19711975635060902</v>
      </c>
      <c r="E79" s="79">
        <v>0.11368358391768708</v>
      </c>
      <c r="F79" s="79">
        <v>9.3092670508339401E-2</v>
      </c>
      <c r="G79" s="80">
        <v>1.460244593924559</v>
      </c>
      <c r="H79" s="80">
        <v>1.4952411850835359</v>
      </c>
      <c r="I79" s="79">
        <v>0.10758109451384265</v>
      </c>
      <c r="J79" s="79">
        <v>0.4147143445700453</v>
      </c>
      <c r="K79" s="79">
        <v>5.0854999999999997E-2</v>
      </c>
      <c r="L79" s="79">
        <v>5.7008102947212459E-2</v>
      </c>
      <c r="M79" s="79">
        <v>0.10362246070915908</v>
      </c>
      <c r="N79" s="80">
        <v>0.58072920923018134</v>
      </c>
      <c r="O79" s="80">
        <v>10.596722932093094</v>
      </c>
      <c r="P79" s="80">
        <v>31.594447138361602</v>
      </c>
      <c r="Q79" s="80">
        <v>53.315004182229046</v>
      </c>
      <c r="R79" s="80">
        <v>7.38179145503603</v>
      </c>
      <c r="S79" s="80">
        <v>82.75051639049542</v>
      </c>
      <c r="T79" s="79">
        <v>0.22403022878237655</v>
      </c>
      <c r="U79" s="79">
        <v>0.1700086447636025</v>
      </c>
      <c r="V79" s="79">
        <v>6.8986975778472778E-2</v>
      </c>
      <c r="W79" s="79">
        <v>0.49863224477303802</v>
      </c>
      <c r="X79" s="79">
        <v>0.12611876313091647</v>
      </c>
      <c r="Y79" s="79">
        <v>0.48873979408723345</v>
      </c>
      <c r="Z79" s="79">
        <v>0.48873979408723345</v>
      </c>
      <c r="AA79" s="81">
        <v>0.2053985135441381</v>
      </c>
    </row>
    <row r="80" spans="1:27">
      <c r="A80" s="77" t="s">
        <v>507</v>
      </c>
      <c r="B80" s="78">
        <v>30</v>
      </c>
      <c r="C80" s="79">
        <v>9.9257499999999985E-2</v>
      </c>
      <c r="D80" s="79">
        <v>0.24186751386172409</v>
      </c>
      <c r="E80" s="79">
        <v>0.25683632466511935</v>
      </c>
      <c r="F80" s="79">
        <v>0.12268560712932465</v>
      </c>
      <c r="G80" s="80">
        <v>1.5077650793777069</v>
      </c>
      <c r="H80" s="80">
        <v>1.5279822074255314</v>
      </c>
      <c r="I80" s="79">
        <v>0.10908718154157444</v>
      </c>
      <c r="J80" s="79">
        <v>0.37040142988651292</v>
      </c>
      <c r="K80" s="79">
        <v>5.0854999999999997E-2</v>
      </c>
      <c r="L80" s="79">
        <v>7.2165763925439705E-2</v>
      </c>
      <c r="M80" s="79">
        <v>0.10396731419447477</v>
      </c>
      <c r="N80" s="80">
        <v>1.1649954029158387</v>
      </c>
      <c r="O80" s="80">
        <v>5.2442581732157283</v>
      </c>
      <c r="P80" s="80">
        <v>18.178195157648474</v>
      </c>
      <c r="Q80" s="80">
        <v>21.529732735448246</v>
      </c>
      <c r="R80" s="80">
        <v>8.1009758909034115</v>
      </c>
      <c r="S80" s="80">
        <v>163.51842013025154</v>
      </c>
      <c r="T80" s="79">
        <v>0.34562808268522127</v>
      </c>
      <c r="U80" s="79">
        <v>5.0796555474868554E-2</v>
      </c>
      <c r="V80" s="79">
        <v>2.6035463292282256E-2</v>
      </c>
      <c r="W80" s="79">
        <v>0.13881169088914808</v>
      </c>
      <c r="X80" s="79">
        <v>0.3289066823779071</v>
      </c>
      <c r="Y80" s="79">
        <v>0.20089988720666727</v>
      </c>
      <c r="Z80" s="79">
        <v>0.20089988720666729</v>
      </c>
      <c r="AA80" s="81">
        <v>0.25001236423819828</v>
      </c>
    </row>
    <row r="81" spans="1:27">
      <c r="A81" s="77" t="s">
        <v>508</v>
      </c>
      <c r="B81" s="78">
        <v>8</v>
      </c>
      <c r="C81" s="79">
        <v>-6.8033333333333348E-3</v>
      </c>
      <c r="D81" s="79">
        <v>0.10650740465993001</v>
      </c>
      <c r="E81" s="79">
        <v>9.2351394997663441E-2</v>
      </c>
      <c r="F81" s="79">
        <v>0.18850960892353175</v>
      </c>
      <c r="G81" s="80">
        <v>0.68659497205240805</v>
      </c>
      <c r="H81" s="80">
        <v>0.81083614181090768</v>
      </c>
      <c r="I81" s="79">
        <v>7.6098462523301755E-2</v>
      </c>
      <c r="J81" s="79">
        <v>0.45074724706930092</v>
      </c>
      <c r="K81" s="79">
        <v>5.0854999999999997E-2</v>
      </c>
      <c r="L81" s="79">
        <v>0.22942151889413903</v>
      </c>
      <c r="M81" s="79">
        <v>6.7390261173218224E-2</v>
      </c>
      <c r="N81" s="80">
        <v>0.82933963708877079</v>
      </c>
      <c r="O81" s="80">
        <v>1.7047396816839095</v>
      </c>
      <c r="P81" s="80">
        <v>8.384720595362964</v>
      </c>
      <c r="Q81" s="80">
        <v>14.228088437354392</v>
      </c>
      <c r="R81" s="80">
        <v>1.3642629613319885</v>
      </c>
      <c r="S81" s="80">
        <v>24.757087703228514</v>
      </c>
      <c r="T81" s="79">
        <v>0.11299865486721869</v>
      </c>
      <c r="U81" s="79">
        <v>0.10241614888029281</v>
      </c>
      <c r="V81" s="79">
        <v>4.0299197608605203E-2</v>
      </c>
      <c r="W81" s="79">
        <v>0.50270712026329756</v>
      </c>
      <c r="X81" s="79">
        <v>7.817317702121597E-2</v>
      </c>
      <c r="Y81" s="79">
        <v>0.29337528524998274</v>
      </c>
      <c r="Z81" s="79">
        <v>0.29337528524998269</v>
      </c>
      <c r="AA81" s="81">
        <v>0.11940027650657051</v>
      </c>
    </row>
    <row r="82" spans="1:27">
      <c r="A82" s="77" t="s">
        <v>509</v>
      </c>
      <c r="B82" s="78">
        <v>13</v>
      </c>
      <c r="C82" s="79">
        <v>0.11491250000000001</v>
      </c>
      <c r="D82" s="79">
        <v>0.12199139215361694</v>
      </c>
      <c r="E82" s="79">
        <v>0.24043080830071734</v>
      </c>
      <c r="F82" s="79">
        <v>0.1746054567339842</v>
      </c>
      <c r="G82" s="80">
        <v>1.2730955389810585</v>
      </c>
      <c r="H82" s="80">
        <v>1.2915789442240697</v>
      </c>
      <c r="I82" s="79">
        <v>9.821263143430721E-2</v>
      </c>
      <c r="J82" s="79">
        <v>0.36279908890119261</v>
      </c>
      <c r="K82" s="79">
        <v>5.0854999999999997E-2</v>
      </c>
      <c r="L82" s="79">
        <v>8.0114408003915991E-2</v>
      </c>
      <c r="M82" s="79">
        <v>9.3400048272720262E-2</v>
      </c>
      <c r="N82" s="80">
        <v>2.2253944893651223</v>
      </c>
      <c r="O82" s="80">
        <v>2.8863044842694969</v>
      </c>
      <c r="P82" s="80">
        <v>18.953733947779405</v>
      </c>
      <c r="Q82" s="80">
        <v>23.682872304836216</v>
      </c>
      <c r="R82" s="80">
        <v>8.7107690650024558</v>
      </c>
      <c r="S82" s="80">
        <v>19.768872194714948</v>
      </c>
      <c r="T82" s="79">
        <v>0.19614445731942837</v>
      </c>
      <c r="U82" s="79">
        <v>8.5762704850190375E-3</v>
      </c>
      <c r="V82" s="79">
        <v>-5.2012497930805967E-3</v>
      </c>
      <c r="W82" s="79">
        <v>-0.20182594713277416</v>
      </c>
      <c r="X82" s="79">
        <v>0.29903214866474775</v>
      </c>
      <c r="Y82" s="79">
        <v>0.32261310697398488</v>
      </c>
      <c r="Z82" s="79">
        <v>0.32261310697398482</v>
      </c>
      <c r="AA82" s="81">
        <v>0.12180719617705567</v>
      </c>
    </row>
    <row r="83" spans="1:27">
      <c r="A83" s="77" t="s">
        <v>510</v>
      </c>
      <c r="B83" s="78">
        <v>84</v>
      </c>
      <c r="C83" s="79">
        <v>0.17412533333333333</v>
      </c>
      <c r="D83" s="79">
        <v>0.2680484859792075</v>
      </c>
      <c r="E83" s="79">
        <v>0.19944873406255512</v>
      </c>
      <c r="F83" s="79">
        <v>0.16568125122952723</v>
      </c>
      <c r="G83" s="80">
        <v>1.1136804709373258</v>
      </c>
      <c r="H83" s="80">
        <v>1.1083305740238332</v>
      </c>
      <c r="I83" s="79">
        <v>8.9783206405096322E-2</v>
      </c>
      <c r="J83" s="79">
        <v>0.52789322078229139</v>
      </c>
      <c r="K83" s="79">
        <v>5.3524000000000002E-2</v>
      </c>
      <c r="L83" s="79">
        <v>3.0561494934367585E-2</v>
      </c>
      <c r="M83" s="79">
        <v>8.8266127488506013E-2</v>
      </c>
      <c r="N83" s="80">
        <v>0.74384849848531331</v>
      </c>
      <c r="O83" s="80">
        <v>6.0250177191083116</v>
      </c>
      <c r="P83" s="80">
        <v>17.157815859353224</v>
      </c>
      <c r="Q83" s="80">
        <v>22.221744412094619</v>
      </c>
      <c r="R83" s="80">
        <v>6.2430547316243272</v>
      </c>
      <c r="S83" s="80">
        <v>30.818070198150206</v>
      </c>
      <c r="T83" s="79">
        <v>4.7763247678820571E-2</v>
      </c>
      <c r="U83" s="79">
        <v>0.12672459193901217</v>
      </c>
      <c r="V83" s="79">
        <v>8.7039144070400018E-2</v>
      </c>
      <c r="W83" s="79">
        <v>0.46794430766934031</v>
      </c>
      <c r="X83" s="79">
        <v>0.2325593855621183</v>
      </c>
      <c r="Y83" s="79">
        <v>2.5063968697220758E-3</v>
      </c>
      <c r="Z83" s="79">
        <v>2.506396869722094E-3</v>
      </c>
      <c r="AA83" s="81">
        <v>0.28167769393149628</v>
      </c>
    </row>
    <row r="84" spans="1:27">
      <c r="A84" s="77" t="s">
        <v>511</v>
      </c>
      <c r="B84" s="78">
        <v>35</v>
      </c>
      <c r="C84" s="79">
        <v>0.22244545454545456</v>
      </c>
      <c r="D84" s="79">
        <v>-3.3594816570468533E-2</v>
      </c>
      <c r="E84" s="79">
        <v>-4.8109532624457758E-3</v>
      </c>
      <c r="F84" s="79">
        <v>0.17878408264897386</v>
      </c>
      <c r="G84" s="80">
        <v>1.5117563379021286</v>
      </c>
      <c r="H84" s="80">
        <v>1.6160843271745926</v>
      </c>
      <c r="I84" s="79">
        <v>0.11313987905003126</v>
      </c>
      <c r="J84" s="79">
        <v>0.65221602599035</v>
      </c>
      <c r="K84" s="79">
        <v>6.0879000000000003E-2</v>
      </c>
      <c r="L84" s="79">
        <v>0.10698653549795539</v>
      </c>
      <c r="M84" s="79">
        <v>0.10592036033474572</v>
      </c>
      <c r="N84" s="80">
        <v>0.63612335565638134</v>
      </c>
      <c r="O84" s="80">
        <v>8.3828736851725534</v>
      </c>
      <c r="P84" s="80">
        <v>19.329878727497675</v>
      </c>
      <c r="Q84" s="80" t="s">
        <v>437</v>
      </c>
      <c r="R84" s="80">
        <v>9.0021141302291596</v>
      </c>
      <c r="S84" s="80">
        <v>35.177442964143594</v>
      </c>
      <c r="T84" s="79">
        <v>9.6695754393934422E-2</v>
      </c>
      <c r="U84" s="79">
        <v>5.5778077921357368E-2</v>
      </c>
      <c r="V84" s="79">
        <v>2.8310083379424048E-2</v>
      </c>
      <c r="W84" s="79" t="s">
        <v>437</v>
      </c>
      <c r="X84" s="79">
        <v>-0.14540651129197349</v>
      </c>
      <c r="Y84" s="79">
        <v>0</v>
      </c>
      <c r="Z84" s="79">
        <v>0</v>
      </c>
      <c r="AA84" s="81">
        <v>-8.317507436808912E-3</v>
      </c>
    </row>
    <row r="85" spans="1:27">
      <c r="A85" s="77" t="s">
        <v>512</v>
      </c>
      <c r="B85" s="78">
        <v>351</v>
      </c>
      <c r="C85" s="79">
        <v>0.15903337837837828</v>
      </c>
      <c r="D85" s="79">
        <v>0.25298655593299035</v>
      </c>
      <c r="E85" s="79">
        <v>0.23224389866710615</v>
      </c>
      <c r="F85" s="79">
        <v>0.17853261761729111</v>
      </c>
      <c r="G85" s="80">
        <v>1.2724589938133573</v>
      </c>
      <c r="H85" s="80">
        <v>1.2939647291542515</v>
      </c>
      <c r="I85" s="79">
        <v>9.8322377541095574E-2</v>
      </c>
      <c r="J85" s="79">
        <v>0.52086489824807281</v>
      </c>
      <c r="K85" s="79">
        <v>5.3524000000000002E-2</v>
      </c>
      <c r="L85" s="79">
        <v>5.8413380196434328E-2</v>
      </c>
      <c r="M85" s="79">
        <v>9.4923923441195657E-2</v>
      </c>
      <c r="N85" s="80">
        <v>0.920355645703261</v>
      </c>
      <c r="O85" s="80">
        <v>10.72155166283089</v>
      </c>
      <c r="P85" s="80">
        <v>28.433138742544646</v>
      </c>
      <c r="Q85" s="80">
        <v>39.481990904188763</v>
      </c>
      <c r="R85" s="80">
        <v>11.028707841031288</v>
      </c>
      <c r="S85" s="80">
        <v>88.724572948822384</v>
      </c>
      <c r="T85" s="79">
        <v>0.11204452658660199</v>
      </c>
      <c r="U85" s="79">
        <v>8.6746410149798295E-2</v>
      </c>
      <c r="V85" s="79">
        <v>5.9162106791780016E-2</v>
      </c>
      <c r="W85" s="79">
        <v>0.36380231425923271</v>
      </c>
      <c r="X85" s="79">
        <v>0.24441835382299518</v>
      </c>
      <c r="Y85" s="79">
        <v>0.27220590606666156</v>
      </c>
      <c r="Z85" s="79">
        <v>0.27220590606666151</v>
      </c>
      <c r="AA85" s="81">
        <v>0.26295961897308368</v>
      </c>
    </row>
    <row r="86" spans="1:27">
      <c r="A86" s="77" t="s">
        <v>513</v>
      </c>
      <c r="B86" s="78">
        <v>29</v>
      </c>
      <c r="C86" s="79">
        <v>7.8733200000000003E-2</v>
      </c>
      <c r="D86" s="79">
        <v>0.12104448776971048</v>
      </c>
      <c r="E86" s="79">
        <v>0.22180836333570431</v>
      </c>
      <c r="F86" s="79">
        <v>0.19962963225553462</v>
      </c>
      <c r="G86" s="80">
        <v>1.0774711199709137</v>
      </c>
      <c r="H86" s="80">
        <v>1.126371725263511</v>
      </c>
      <c r="I86" s="79">
        <v>9.0613099362121502E-2</v>
      </c>
      <c r="J86" s="79">
        <v>0.38102205031992209</v>
      </c>
      <c r="K86" s="79">
        <v>5.0854999999999997E-2</v>
      </c>
      <c r="L86" s="79">
        <v>0.16794349418739729</v>
      </c>
      <c r="M86" s="79">
        <v>8.1800793633772059E-2</v>
      </c>
      <c r="N86" s="80">
        <v>2.1668462373578015</v>
      </c>
      <c r="O86" s="80">
        <v>0.94134699426736168</v>
      </c>
      <c r="P86" s="80">
        <v>5.9315455318515609</v>
      </c>
      <c r="Q86" s="80">
        <v>7.7262015562222341</v>
      </c>
      <c r="R86" s="80">
        <v>1.7639737558457758</v>
      </c>
      <c r="S86" s="80">
        <v>14.541699757518971</v>
      </c>
      <c r="T86" s="79">
        <v>0.19023869959969508</v>
      </c>
      <c r="U86" s="79">
        <v>6.2015491060735908E-2</v>
      </c>
      <c r="V86" s="79">
        <v>4.2105106814159125E-2</v>
      </c>
      <c r="W86" s="79">
        <v>0.15698783414294129</v>
      </c>
      <c r="X86" s="79">
        <v>0.22194709191501236</v>
      </c>
      <c r="Y86" s="79">
        <v>0.12471207785733139</v>
      </c>
      <c r="Z86" s="79">
        <v>0.1247120778573314</v>
      </c>
      <c r="AA86" s="81">
        <v>0.12145781664117886</v>
      </c>
    </row>
    <row r="87" spans="1:27">
      <c r="A87" s="77" t="s">
        <v>514</v>
      </c>
      <c r="B87" s="78">
        <v>13</v>
      </c>
      <c r="C87" s="79">
        <v>9.2977142857142869E-2</v>
      </c>
      <c r="D87" s="79">
        <v>0.16792801039724245</v>
      </c>
      <c r="E87" s="79">
        <v>6.5483784250289209E-2</v>
      </c>
      <c r="F87" s="79">
        <v>0.24652434855276151</v>
      </c>
      <c r="G87" s="80">
        <v>0.74731171905548888</v>
      </c>
      <c r="H87" s="80">
        <v>1.087361359035153</v>
      </c>
      <c r="I87" s="79">
        <v>8.8818622515617035E-2</v>
      </c>
      <c r="J87" s="79">
        <v>0.60305869412683921</v>
      </c>
      <c r="K87" s="79">
        <v>5.3524000000000002E-2</v>
      </c>
      <c r="L87" s="79">
        <v>0.39084318118198752</v>
      </c>
      <c r="M87" s="79">
        <v>6.9794087365599694E-2</v>
      </c>
      <c r="N87" s="80">
        <v>0.48441213485617451</v>
      </c>
      <c r="O87" s="80">
        <v>3.5147101609842721</v>
      </c>
      <c r="P87" s="80">
        <v>9.0095138936051899</v>
      </c>
      <c r="Q87" s="80">
        <v>23.512660928635778</v>
      </c>
      <c r="R87" s="80">
        <v>2.5322480033466408</v>
      </c>
      <c r="S87" s="80">
        <v>67.853832930042557</v>
      </c>
      <c r="T87" s="79">
        <v>6.2680578629146194E-2</v>
      </c>
      <c r="U87" s="79">
        <v>0.15310947618240378</v>
      </c>
      <c r="V87" s="79">
        <v>-2.9960671300220164E-3</v>
      </c>
      <c r="W87" s="79">
        <v>0.5510450483030811</v>
      </c>
      <c r="X87" s="79">
        <v>9.7395977513905455E-2</v>
      </c>
      <c r="Y87" s="79">
        <v>0.1104528008925427</v>
      </c>
      <c r="Z87" s="79">
        <v>0.11045280089254272</v>
      </c>
      <c r="AA87" s="81">
        <v>0.14947762311195489</v>
      </c>
    </row>
    <row r="88" spans="1:27">
      <c r="A88" s="77" t="s">
        <v>515</v>
      </c>
      <c r="B88" s="78">
        <v>66</v>
      </c>
      <c r="C88" s="79">
        <v>9.6164489795918393E-2</v>
      </c>
      <c r="D88" s="79">
        <v>0.19578373512751376</v>
      </c>
      <c r="E88" s="79">
        <v>0.28182161892742891</v>
      </c>
      <c r="F88" s="79">
        <v>0.16906478200018579</v>
      </c>
      <c r="G88" s="80">
        <v>1.0456479852653771</v>
      </c>
      <c r="H88" s="80">
        <v>1.0805072059156025</v>
      </c>
      <c r="I88" s="79">
        <v>8.8503331472117711E-2</v>
      </c>
      <c r="J88" s="79">
        <v>0.46622145090064521</v>
      </c>
      <c r="K88" s="79">
        <v>5.0854999999999997E-2</v>
      </c>
      <c r="L88" s="79">
        <v>0.10245104955940504</v>
      </c>
      <c r="M88" s="79">
        <v>8.3343683367302981E-2</v>
      </c>
      <c r="N88" s="80">
        <v>1.4464269754607526</v>
      </c>
      <c r="O88" s="80">
        <v>3.6067814997742809</v>
      </c>
      <c r="P88" s="80">
        <v>13.979069158223247</v>
      </c>
      <c r="Q88" s="80">
        <v>17.645248189217565</v>
      </c>
      <c r="R88" s="80">
        <v>5.1449679404665405</v>
      </c>
      <c r="S88" s="80">
        <v>70.491276901112826</v>
      </c>
      <c r="T88" s="79">
        <v>0.23092380701323104</v>
      </c>
      <c r="U88" s="79">
        <v>2.7789568604778662E-2</v>
      </c>
      <c r="V88" s="79">
        <v>3.9799623411255383E-2</v>
      </c>
      <c r="W88" s="79">
        <v>0.36669384113949066</v>
      </c>
      <c r="X88" s="79">
        <v>0.24550541459231559</v>
      </c>
      <c r="Y88" s="79">
        <v>0.46084832909856577</v>
      </c>
      <c r="Z88" s="79">
        <v>0.46084832909856577</v>
      </c>
      <c r="AA88" s="81">
        <v>0.2071352516666671</v>
      </c>
    </row>
    <row r="89" spans="1:27">
      <c r="A89" s="77" t="s">
        <v>516</v>
      </c>
      <c r="B89" s="78">
        <v>42</v>
      </c>
      <c r="C89" s="79">
        <v>0.13169956521739129</v>
      </c>
      <c r="D89" s="79">
        <v>0.20861578998360361</v>
      </c>
      <c r="E89" s="79">
        <v>0.11796482606061286</v>
      </c>
      <c r="F89" s="79">
        <v>0.21774220884735582</v>
      </c>
      <c r="G89" s="80">
        <v>0.4141115560097563</v>
      </c>
      <c r="H89" s="80">
        <v>0.78450471128722188</v>
      </c>
      <c r="I89" s="79">
        <v>7.488721671921221E-2</v>
      </c>
      <c r="J89" s="79">
        <v>0.50416714350221437</v>
      </c>
      <c r="K89" s="79">
        <v>5.3524000000000002E-2</v>
      </c>
      <c r="L89" s="79">
        <v>0.55538379015988704</v>
      </c>
      <c r="M89" s="79">
        <v>5.5590841951559611E-2</v>
      </c>
      <c r="N89" s="80">
        <v>0.60200337910623192</v>
      </c>
      <c r="O89" s="80">
        <v>2.3574881101650598</v>
      </c>
      <c r="P89" s="80">
        <v>6.178012041794295</v>
      </c>
      <c r="Q89" s="80">
        <v>11.212869716340027</v>
      </c>
      <c r="R89" s="80">
        <v>1.2986532244972615</v>
      </c>
      <c r="S89" s="80">
        <v>77.102401245701245</v>
      </c>
      <c r="T89" s="79">
        <v>-3.2235361652479422E-2</v>
      </c>
      <c r="U89" s="79">
        <v>0.16715169820304818</v>
      </c>
      <c r="V89" s="79">
        <v>2.4292121675182632E-2</v>
      </c>
      <c r="W89" s="79">
        <v>0.20122305244722491</v>
      </c>
      <c r="X89" s="79">
        <v>-3.4470942023052953E-3</v>
      </c>
      <c r="Y89" s="79">
        <v>1.6337690728598522E-3</v>
      </c>
      <c r="Z89" s="79">
        <v>1.6337690728598364E-3</v>
      </c>
      <c r="AA89" s="81">
        <v>0.20983808679246463</v>
      </c>
    </row>
    <row r="90" spans="1:27">
      <c r="A90" s="77" t="s">
        <v>517</v>
      </c>
      <c r="B90" s="78">
        <v>16</v>
      </c>
      <c r="C90" s="79">
        <v>0.34968888888888894</v>
      </c>
      <c r="D90" s="79">
        <v>0.40818350646510609</v>
      </c>
      <c r="E90" s="79">
        <v>0.80360559936791442</v>
      </c>
      <c r="F90" s="79">
        <v>0.21139682210925856</v>
      </c>
      <c r="G90" s="80">
        <v>0.98708022501489956</v>
      </c>
      <c r="H90" s="80">
        <v>1.2232908278447494</v>
      </c>
      <c r="I90" s="79">
        <v>9.5071378080858471E-2</v>
      </c>
      <c r="J90" s="79">
        <v>0.4800026780389306</v>
      </c>
      <c r="K90" s="79">
        <v>5.0854999999999997E-2</v>
      </c>
      <c r="L90" s="79">
        <v>0.25873063108247973</v>
      </c>
      <c r="M90" s="79">
        <v>8.0341810114891568E-2</v>
      </c>
      <c r="N90" s="80">
        <v>2.1763696274457001</v>
      </c>
      <c r="O90" s="80">
        <v>4.7953049451194598</v>
      </c>
      <c r="P90" s="80">
        <v>10.84266449583115</v>
      </c>
      <c r="Q90" s="80">
        <v>11.674129778938338</v>
      </c>
      <c r="R90" s="80" t="s">
        <v>437</v>
      </c>
      <c r="S90" s="80">
        <v>17.746085416091766</v>
      </c>
      <c r="T90" s="79">
        <v>0.15300181101471985</v>
      </c>
      <c r="U90" s="79">
        <v>2.7084958732519204E-2</v>
      </c>
      <c r="V90" s="79">
        <v>0.33428394436606595</v>
      </c>
      <c r="W90" s="79">
        <v>1.17639869037906</v>
      </c>
      <c r="X90" s="79" t="s">
        <v>437</v>
      </c>
      <c r="Y90" s="79">
        <v>0.87984059610405407</v>
      </c>
      <c r="Z90" s="79">
        <v>0.87984059610405407</v>
      </c>
      <c r="AA90" s="81">
        <v>0.41002251990580058</v>
      </c>
    </row>
    <row r="91" spans="1:27">
      <c r="A91" s="77" t="s">
        <v>518</v>
      </c>
      <c r="B91" s="78">
        <v>110</v>
      </c>
      <c r="C91" s="79">
        <v>7.3925853658536572E-2</v>
      </c>
      <c r="D91" s="79">
        <v>8.5076188418627172E-2</v>
      </c>
      <c r="E91" s="79">
        <v>0.16088390207704553</v>
      </c>
      <c r="F91" s="79">
        <v>0.22120376468677894</v>
      </c>
      <c r="G91" s="80">
        <v>0.84463870252318918</v>
      </c>
      <c r="H91" s="80">
        <v>0.99780729032089066</v>
      </c>
      <c r="I91" s="79">
        <v>8.4699135354760979E-2</v>
      </c>
      <c r="J91" s="79">
        <v>0.5620392839791557</v>
      </c>
      <c r="K91" s="79">
        <v>5.3524000000000002E-2</v>
      </c>
      <c r="L91" s="79">
        <v>0.2357445340104283</v>
      </c>
      <c r="M91" s="79">
        <v>7.4195269988247284E-2</v>
      </c>
      <c r="N91" s="80">
        <v>2.0142048675663617</v>
      </c>
      <c r="O91" s="80">
        <v>1.8733601251795011</v>
      </c>
      <c r="P91" s="80">
        <v>12.825656312770354</v>
      </c>
      <c r="Q91" s="80">
        <v>21.70709502050369</v>
      </c>
      <c r="R91" s="80">
        <v>5.3511884203819298</v>
      </c>
      <c r="S91" s="80">
        <v>26.994751512111506</v>
      </c>
      <c r="T91" s="79">
        <v>7.7146823442012111E-2</v>
      </c>
      <c r="U91" s="79">
        <v>7.9332477764687812E-2</v>
      </c>
      <c r="V91" s="79">
        <v>4.7919479861607203E-2</v>
      </c>
      <c r="W91" s="79">
        <v>0.72064765595835767</v>
      </c>
      <c r="X91" s="79">
        <v>0.22056294610433705</v>
      </c>
      <c r="Y91" s="79">
        <v>1.0930209138910143</v>
      </c>
      <c r="Z91" s="79">
        <v>1.0930209138910143</v>
      </c>
      <c r="AA91" s="81">
        <v>8.5810766770976807E-2</v>
      </c>
    </row>
    <row r="92" spans="1:27">
      <c r="A92" s="77" t="s">
        <v>519</v>
      </c>
      <c r="B92" s="78">
        <v>4</v>
      </c>
      <c r="C92" s="79">
        <v>2.4899999999999999E-2</v>
      </c>
      <c r="D92" s="79">
        <v>0.35113467269131693</v>
      </c>
      <c r="E92" s="79">
        <v>0.14261953361631199</v>
      </c>
      <c r="F92" s="79">
        <v>0.22982533024478807</v>
      </c>
      <c r="G92" s="80">
        <v>0.85599780593154451</v>
      </c>
      <c r="H92" s="80">
        <v>1.0172723923008653</v>
      </c>
      <c r="I92" s="79">
        <v>8.5594530045839806E-2</v>
      </c>
      <c r="J92" s="79">
        <v>0.2227735820416239</v>
      </c>
      <c r="K92" s="79">
        <v>4.5043E-2</v>
      </c>
      <c r="L92" s="79">
        <v>0.21142467310039645</v>
      </c>
      <c r="M92" s="79">
        <v>7.464013567456193E-2</v>
      </c>
      <c r="N92" s="80">
        <v>0.49324628388749064</v>
      </c>
      <c r="O92" s="80">
        <v>6.6295596972904312</v>
      </c>
      <c r="P92" s="80">
        <v>14.3196804838998</v>
      </c>
      <c r="Q92" s="80">
        <v>18.966125677741278</v>
      </c>
      <c r="R92" s="80">
        <v>6.9113810829422233</v>
      </c>
      <c r="S92" s="80">
        <v>22.28825335650561</v>
      </c>
      <c r="T92" s="79">
        <v>2.2557471822586217E-2</v>
      </c>
      <c r="U92" s="79">
        <v>0.1570320179340837</v>
      </c>
      <c r="V92" s="79">
        <v>5.5988647445286678E-2</v>
      </c>
      <c r="W92" s="79">
        <v>0.22178443078565843</v>
      </c>
      <c r="X92" s="79">
        <v>0.31677945078582531</v>
      </c>
      <c r="Y92" s="79">
        <v>0.43519528152260112</v>
      </c>
      <c r="Z92" s="79">
        <v>0.43519528152260112</v>
      </c>
      <c r="AA92" s="81">
        <v>0.34954738832459115</v>
      </c>
    </row>
    <row r="93" spans="1:27">
      <c r="A93" s="77" t="s">
        <v>520</v>
      </c>
      <c r="B93" s="78">
        <v>22</v>
      </c>
      <c r="C93" s="79">
        <v>6.1907222222222238E-2</v>
      </c>
      <c r="D93" s="79">
        <v>8.4934052293898013E-2</v>
      </c>
      <c r="E93" s="79">
        <v>0.12748742307030905</v>
      </c>
      <c r="F93" s="79">
        <v>0.25564934061767058</v>
      </c>
      <c r="G93" s="80">
        <v>1.0291549427451241</v>
      </c>
      <c r="H93" s="80">
        <v>1.1484074577647394</v>
      </c>
      <c r="I93" s="79">
        <v>9.1626743057178023E-2</v>
      </c>
      <c r="J93" s="79">
        <v>0.28328548955431604</v>
      </c>
      <c r="K93" s="79">
        <v>5.0854999999999997E-2</v>
      </c>
      <c r="L93" s="79">
        <v>0.16632304812803944</v>
      </c>
      <c r="M93" s="79">
        <v>8.2730872821277085E-2</v>
      </c>
      <c r="N93" s="80">
        <v>1.8424099749470806</v>
      </c>
      <c r="O93" s="80">
        <v>1.8055802361025481</v>
      </c>
      <c r="P93" s="80">
        <v>10.57224029827716</v>
      </c>
      <c r="Q93" s="80">
        <v>20.589002549993637</v>
      </c>
      <c r="R93" s="80">
        <v>3.5846942504030093</v>
      </c>
      <c r="S93" s="80">
        <v>36.07946277619434</v>
      </c>
      <c r="T93" s="79">
        <v>6.7480207496526626E-2</v>
      </c>
      <c r="U93" s="79">
        <v>0.14934250443095923</v>
      </c>
      <c r="V93" s="79">
        <v>9.0980370277753131E-2</v>
      </c>
      <c r="W93" s="79">
        <v>1.2178075170479361</v>
      </c>
      <c r="X93" s="79">
        <v>0.12974692001389668</v>
      </c>
      <c r="Y93" s="79">
        <v>0.17362718846549949</v>
      </c>
      <c r="Z93" s="79">
        <v>0.17362718846549952</v>
      </c>
      <c r="AA93" s="81">
        <v>8.6910837308432798E-2</v>
      </c>
    </row>
    <row r="94" spans="1:27">
      <c r="A94" s="77" t="s">
        <v>521</v>
      </c>
      <c r="B94" s="78">
        <v>14</v>
      </c>
      <c r="C94" s="79">
        <v>4.3404999999999999E-2</v>
      </c>
      <c r="D94" s="79">
        <v>0.2180508078273298</v>
      </c>
      <c r="E94" s="79">
        <v>6.4731399544339846E-2</v>
      </c>
      <c r="F94" s="79">
        <v>0.1601620397950673</v>
      </c>
      <c r="G94" s="80">
        <v>0.35679519291097572</v>
      </c>
      <c r="H94" s="80">
        <v>0.58043230816873881</v>
      </c>
      <c r="I94" s="79">
        <v>6.5499886175761982E-2</v>
      </c>
      <c r="J94" s="79">
        <v>0.14927275095736059</v>
      </c>
      <c r="K94" s="79">
        <v>4.5043E-2</v>
      </c>
      <c r="L94" s="79">
        <v>0.45897703320023459</v>
      </c>
      <c r="M94" s="79">
        <v>5.0942219623686315E-2</v>
      </c>
      <c r="N94" s="80">
        <v>0.34799061084345168</v>
      </c>
      <c r="O94" s="80">
        <v>4.128817283340104</v>
      </c>
      <c r="P94" s="80">
        <v>11.69639755876778</v>
      </c>
      <c r="Q94" s="80">
        <v>19.078266611364857</v>
      </c>
      <c r="R94" s="80">
        <v>1.6473566371259394</v>
      </c>
      <c r="S94" s="80">
        <v>17.483750732416834</v>
      </c>
      <c r="T94" s="79">
        <v>0.13370151554071408</v>
      </c>
      <c r="U94" s="79">
        <v>0.38606604885824003</v>
      </c>
      <c r="V94" s="79">
        <v>0.25906870978152774</v>
      </c>
      <c r="W94" s="79">
        <v>1.5052569708950143</v>
      </c>
      <c r="X94" s="79">
        <v>0.11153676746474966</v>
      </c>
      <c r="Y94" s="79">
        <v>0.58882821831655419</v>
      </c>
      <c r="Z94" s="79">
        <v>0.58882821831655419</v>
      </c>
      <c r="AA94" s="81">
        <v>0.21642128320038204</v>
      </c>
    </row>
    <row r="95" spans="1:27">
      <c r="A95" s="77" t="s">
        <v>522</v>
      </c>
      <c r="B95" s="78">
        <v>13</v>
      </c>
      <c r="C95" s="79">
        <v>0.1084909090909091</v>
      </c>
      <c r="D95" s="79">
        <v>0.30791615796208249</v>
      </c>
      <c r="E95" s="79">
        <v>6.7989566122651446E-2</v>
      </c>
      <c r="F95" s="79">
        <v>0.1491899144854105</v>
      </c>
      <c r="G95" s="80">
        <v>0.52231147198629224</v>
      </c>
      <c r="H95" s="80">
        <v>0.71396343407949392</v>
      </c>
      <c r="I95" s="79">
        <v>7.1642317967656716E-2</v>
      </c>
      <c r="J95" s="79">
        <v>0.28198719816416001</v>
      </c>
      <c r="K95" s="79">
        <v>5.0854999999999997E-2</v>
      </c>
      <c r="L95" s="79">
        <v>0.33727313092901634</v>
      </c>
      <c r="M95" s="79">
        <v>6.0343307884739357E-2</v>
      </c>
      <c r="N95" s="80">
        <v>0.24924739614341856</v>
      </c>
      <c r="O95" s="80">
        <v>7.895573764246353</v>
      </c>
      <c r="P95" s="80">
        <v>16.861059231983642</v>
      </c>
      <c r="Q95" s="80">
        <v>25.637409477526273</v>
      </c>
      <c r="R95" s="80">
        <v>2.3031518241417506</v>
      </c>
      <c r="S95" s="80">
        <v>34.884505444212166</v>
      </c>
      <c r="T95" s="79">
        <v>0.11350573999309437</v>
      </c>
      <c r="U95" s="79">
        <v>0.53908430918105532</v>
      </c>
      <c r="V95" s="79">
        <v>0.40175099691053662</v>
      </c>
      <c r="W95" s="79">
        <v>1.4950509635847589</v>
      </c>
      <c r="X95" s="79">
        <v>0.15979158800682633</v>
      </c>
      <c r="Y95" s="79">
        <v>0.60585496218840451</v>
      </c>
      <c r="Z95" s="79">
        <v>0.39244972646773968</v>
      </c>
      <c r="AA95" s="81">
        <v>0.30680997617385836</v>
      </c>
    </row>
  </sheetData>
  <phoneticPr fontId="21"/>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10"/>
  <sheetViews>
    <sheetView workbookViewId="0">
      <selection activeCell="B2" sqref="B2"/>
    </sheetView>
  </sheetViews>
  <sheetFormatPr baseColWidth="10" defaultRowHeight="14"/>
  <cols>
    <col min="1" max="1" width="23.5703125" bestFit="1" customWidth="1"/>
    <col min="2" max="2" width="12.85546875" bestFit="1" customWidth="1"/>
    <col min="3" max="3" width="15.85546875" bestFit="1" customWidth="1"/>
    <col min="4" max="4" width="18" bestFit="1" customWidth="1"/>
    <col min="5" max="5" width="17.140625" bestFit="1" customWidth="1"/>
    <col min="6" max="6" width="15.140625" bestFit="1" customWidth="1"/>
  </cols>
  <sheetData>
    <row r="1" spans="1:6">
      <c r="A1" t="s">
        <v>391</v>
      </c>
      <c r="B1" s="76">
        <v>4.2999999999999997E-2</v>
      </c>
      <c r="C1" s="118" t="s">
        <v>527</v>
      </c>
    </row>
    <row r="2" spans="1:6" s="7" customFormat="1">
      <c r="A2" s="7" t="s">
        <v>404</v>
      </c>
    </row>
    <row r="4" spans="1:6" ht="16">
      <c r="A4" s="99" t="s">
        <v>167</v>
      </c>
      <c r="B4" s="100" t="s">
        <v>344</v>
      </c>
      <c r="C4" s="101" t="s">
        <v>168</v>
      </c>
      <c r="D4" s="101" t="s">
        <v>299</v>
      </c>
      <c r="E4" s="101" t="s">
        <v>169</v>
      </c>
      <c r="F4" s="101" t="s">
        <v>339</v>
      </c>
    </row>
    <row r="5" spans="1:6" ht="16">
      <c r="A5" s="102" t="s">
        <v>302</v>
      </c>
      <c r="B5" s="103" t="s">
        <v>345</v>
      </c>
      <c r="C5" s="104">
        <v>5.3778762707661788E-3</v>
      </c>
      <c r="D5" s="104">
        <f>$B$1+E5</f>
        <v>5.0219473999336781E-2</v>
      </c>
      <c r="E5" s="104">
        <v>7.219473999336784E-3</v>
      </c>
      <c r="F5" s="104">
        <v>0.15</v>
      </c>
    </row>
    <row r="6" spans="1:6" ht="16">
      <c r="A6" s="102" t="s">
        <v>171</v>
      </c>
      <c r="B6" s="103" t="s">
        <v>346</v>
      </c>
      <c r="C6" s="104">
        <v>4.9041109802463012E-2</v>
      </c>
      <c r="D6" s="104">
        <f t="shared" ref="D6:D69" si="0">$B$1+E6</f>
        <v>0.10883472718442828</v>
      </c>
      <c r="E6" s="104">
        <v>6.5834727184428288E-2</v>
      </c>
      <c r="F6" s="104">
        <v>0.15</v>
      </c>
    </row>
    <row r="7" spans="1:6" ht="16">
      <c r="A7" s="105" t="s">
        <v>347</v>
      </c>
      <c r="B7" s="103" t="s">
        <v>405</v>
      </c>
      <c r="C7" s="104">
        <v>4.9041109802463012E-2</v>
      </c>
      <c r="D7" s="104">
        <f t="shared" si="0"/>
        <v>0.10883472718442828</v>
      </c>
      <c r="E7" s="104">
        <v>6.5834727184428288E-2</v>
      </c>
      <c r="F7" s="104">
        <v>0.26</v>
      </c>
    </row>
    <row r="8" spans="1:6" ht="16">
      <c r="A8" s="102" t="s">
        <v>332</v>
      </c>
      <c r="B8" s="103" t="s">
        <v>348</v>
      </c>
      <c r="C8" s="104">
        <v>2.0743237044383835E-2</v>
      </c>
      <c r="D8" s="104">
        <f t="shared" si="0"/>
        <v>7.0846542568870449E-2</v>
      </c>
      <c r="E8" s="104">
        <v>2.7846542568870453E-2</v>
      </c>
      <c r="F8" s="104">
        <v>0.1898</v>
      </c>
    </row>
    <row r="9" spans="1:6" ht="16">
      <c r="A9" s="102" t="s">
        <v>173</v>
      </c>
      <c r="B9" s="103" t="s">
        <v>358</v>
      </c>
      <c r="C9" s="104">
        <v>7.0808704231754685E-2</v>
      </c>
      <c r="D9" s="104">
        <f t="shared" si="0"/>
        <v>0.13805640765793431</v>
      </c>
      <c r="E9" s="104">
        <v>9.5056407657934314E-2</v>
      </c>
      <c r="F9" s="104">
        <v>0.25</v>
      </c>
    </row>
    <row r="10" spans="1:6" ht="16">
      <c r="A10" s="102" t="s">
        <v>409</v>
      </c>
      <c r="B10" s="106" t="s">
        <v>405</v>
      </c>
      <c r="C10" s="107">
        <v>0.1054310997313879</v>
      </c>
      <c r="D10" s="104">
        <f t="shared" si="0"/>
        <v>0.23053488197001548</v>
      </c>
      <c r="E10" s="107">
        <v>0.1875348819700155</v>
      </c>
      <c r="F10" s="107">
        <v>0.2724561140242252</v>
      </c>
    </row>
    <row r="11" spans="1:6" ht="16">
      <c r="A11" s="102" t="s">
        <v>410</v>
      </c>
      <c r="B11" s="106" t="s">
        <v>405</v>
      </c>
      <c r="C11" s="107">
        <v>0.1054310997313879</v>
      </c>
      <c r="D11" s="104">
        <f t="shared" si="0"/>
        <v>0.23053488197001548</v>
      </c>
      <c r="E11" s="107">
        <v>0.1875348819700155</v>
      </c>
      <c r="F11" s="107">
        <v>0.2724561140242252</v>
      </c>
    </row>
    <row r="12" spans="1:6" ht="16">
      <c r="A12" s="102" t="s">
        <v>175</v>
      </c>
      <c r="B12" s="103" t="s">
        <v>396</v>
      </c>
      <c r="C12" s="104">
        <v>0.13073361124886354</v>
      </c>
      <c r="D12" s="104">
        <f t="shared" si="0"/>
        <v>0.21850197507911562</v>
      </c>
      <c r="E12" s="104">
        <v>0.17550197507911564</v>
      </c>
      <c r="F12" s="104">
        <v>0.35</v>
      </c>
    </row>
    <row r="13" spans="1:6" ht="16">
      <c r="A13" s="102" t="s">
        <v>177</v>
      </c>
      <c r="B13" s="103" t="s">
        <v>355</v>
      </c>
      <c r="C13" s="104">
        <v>3.9181669972725021E-2</v>
      </c>
      <c r="D13" s="104">
        <f t="shared" si="0"/>
        <v>9.5599024852310852E-2</v>
      </c>
      <c r="E13" s="104">
        <v>5.2599024852310855E-2</v>
      </c>
      <c r="F13" s="104">
        <v>0.18</v>
      </c>
    </row>
    <row r="14" spans="1:6" ht="16">
      <c r="A14" s="102" t="s">
        <v>303</v>
      </c>
      <c r="B14" s="103" t="s">
        <v>348</v>
      </c>
      <c r="C14" s="104">
        <v>2.0743237044383835E-2</v>
      </c>
      <c r="D14" s="104">
        <f t="shared" si="0"/>
        <v>7.0846542568870449E-2</v>
      </c>
      <c r="E14" s="104">
        <v>2.7846542568870453E-2</v>
      </c>
      <c r="F14" s="104">
        <v>0.25</v>
      </c>
    </row>
    <row r="15" spans="1:6" ht="16">
      <c r="A15" s="102" t="s">
        <v>178</v>
      </c>
      <c r="B15" s="103" t="s">
        <v>351</v>
      </c>
      <c r="C15" s="104">
        <v>0</v>
      </c>
      <c r="D15" s="104">
        <f t="shared" si="0"/>
        <v>4.2999999999999997E-2</v>
      </c>
      <c r="E15" s="104">
        <v>0</v>
      </c>
      <c r="F15" s="104">
        <v>0.3</v>
      </c>
    </row>
    <row r="16" spans="1:6" ht="16">
      <c r="A16" s="102" t="s">
        <v>280</v>
      </c>
      <c r="B16" s="103" t="s">
        <v>352</v>
      </c>
      <c r="C16" s="104">
        <v>4.3535188858583353E-3</v>
      </c>
      <c r="D16" s="104">
        <f t="shared" si="0"/>
        <v>4.88443360947012E-2</v>
      </c>
      <c r="E16" s="104">
        <v>5.8443360947012038E-3</v>
      </c>
      <c r="F16" s="104">
        <v>0.24</v>
      </c>
    </row>
    <row r="17" spans="1:6" ht="16">
      <c r="A17" s="102" t="s">
        <v>181</v>
      </c>
      <c r="B17" s="103" t="s">
        <v>366</v>
      </c>
      <c r="C17" s="104">
        <v>2.7273515373171343E-2</v>
      </c>
      <c r="D17" s="104">
        <f t="shared" si="0"/>
        <v>7.9613046710922258E-2</v>
      </c>
      <c r="E17" s="104">
        <v>3.6613046710922262E-2</v>
      </c>
      <c r="F17" s="104">
        <v>0.2</v>
      </c>
    </row>
    <row r="18" spans="1:6" ht="16">
      <c r="A18" s="102" t="s">
        <v>182</v>
      </c>
      <c r="B18" s="103" t="s">
        <v>346</v>
      </c>
      <c r="C18" s="104">
        <v>4.9041109802463012E-2</v>
      </c>
      <c r="D18" s="104">
        <f t="shared" si="0"/>
        <v>0.10883472718442828</v>
      </c>
      <c r="E18" s="104">
        <v>6.5834727184428288E-2</v>
      </c>
      <c r="F18" s="104">
        <v>0</v>
      </c>
    </row>
    <row r="19" spans="1:6" ht="16">
      <c r="A19" s="102" t="s">
        <v>184</v>
      </c>
      <c r="B19" s="103" t="s">
        <v>349</v>
      </c>
      <c r="C19" s="104">
        <v>5.9924907017108855E-2</v>
      </c>
      <c r="D19" s="104">
        <f t="shared" si="0"/>
        <v>0.12344556742118129</v>
      </c>
      <c r="E19" s="104">
        <v>8.0445567421181294E-2</v>
      </c>
      <c r="F19" s="104">
        <v>0</v>
      </c>
    </row>
    <row r="20" spans="1:6" ht="16">
      <c r="A20" s="102" t="s">
        <v>186</v>
      </c>
      <c r="B20" s="103" t="s">
        <v>346</v>
      </c>
      <c r="C20" s="104">
        <v>4.9041109802463012E-2</v>
      </c>
      <c r="D20" s="104">
        <f t="shared" si="0"/>
        <v>0.10883472718442828</v>
      </c>
      <c r="E20" s="104">
        <v>6.5834727184428288E-2</v>
      </c>
      <c r="F20" s="104">
        <v>0.3</v>
      </c>
    </row>
    <row r="21" spans="1:6" ht="16">
      <c r="A21" s="102" t="s">
        <v>187</v>
      </c>
      <c r="B21" s="103" t="s">
        <v>358</v>
      </c>
      <c r="C21" s="104">
        <v>7.0808704231754685E-2</v>
      </c>
      <c r="D21" s="104">
        <f t="shared" si="0"/>
        <v>0.13805640765793431</v>
      </c>
      <c r="E21" s="104">
        <v>9.5056407657934314E-2</v>
      </c>
      <c r="F21" s="104">
        <v>5.5E-2</v>
      </c>
    </row>
    <row r="22" spans="1:6" ht="16">
      <c r="A22" s="102" t="s">
        <v>188</v>
      </c>
      <c r="B22" s="103" t="s">
        <v>392</v>
      </c>
      <c r="C22" s="104">
        <v>0.17499999999999999</v>
      </c>
      <c r="D22" s="104">
        <f t="shared" si="0"/>
        <v>0.27792692770782934</v>
      </c>
      <c r="E22" s="104">
        <v>0.23492692770782936</v>
      </c>
      <c r="F22" s="104">
        <v>0.18</v>
      </c>
    </row>
    <row r="23" spans="1:6" ht="16">
      <c r="A23" s="102" t="s">
        <v>282</v>
      </c>
      <c r="B23" s="103" t="s">
        <v>357</v>
      </c>
      <c r="C23" s="104">
        <v>6.5302783287875029E-3</v>
      </c>
      <c r="D23" s="104">
        <f t="shared" si="0"/>
        <v>5.1766504142051806E-2</v>
      </c>
      <c r="E23" s="104">
        <v>8.7665041420518092E-3</v>
      </c>
      <c r="F23" s="104">
        <v>0.25</v>
      </c>
    </row>
    <row r="24" spans="1:6" ht="16">
      <c r="A24" s="102" t="s">
        <v>189</v>
      </c>
      <c r="B24" s="103" t="s">
        <v>363</v>
      </c>
      <c r="C24" s="104">
        <v>9.8082219604926024E-2</v>
      </c>
      <c r="D24" s="104">
        <f t="shared" si="0"/>
        <v>0.17466945436885656</v>
      </c>
      <c r="E24" s="104">
        <v>0.13166945436885658</v>
      </c>
      <c r="F24" s="104">
        <v>0.2853</v>
      </c>
    </row>
    <row r="25" spans="1:6" ht="16">
      <c r="A25" s="102" t="s">
        <v>359</v>
      </c>
      <c r="B25" s="103" t="s">
        <v>346</v>
      </c>
      <c r="C25" s="104">
        <v>4.9041109802463012E-2</v>
      </c>
      <c r="D25" s="104">
        <f t="shared" si="0"/>
        <v>0.10883472718442828</v>
      </c>
      <c r="E25" s="104">
        <v>6.5834727184428288E-2</v>
      </c>
      <c r="F25" s="104">
        <v>0.3</v>
      </c>
    </row>
    <row r="26" spans="1:6" ht="16">
      <c r="A26" s="102" t="s">
        <v>190</v>
      </c>
      <c r="B26" s="103" t="s">
        <v>360</v>
      </c>
      <c r="C26" s="104">
        <v>9.2192164641705932E-3</v>
      </c>
      <c r="D26" s="104">
        <f t="shared" si="0"/>
        <v>5.5376241141720198E-2</v>
      </c>
      <c r="E26" s="104">
        <v>1.2376241141720201E-2</v>
      </c>
      <c r="F26" s="104">
        <v>0</v>
      </c>
    </row>
    <row r="27" spans="1:6" ht="16">
      <c r="A27" s="102" t="s">
        <v>191</v>
      </c>
      <c r="B27" s="103" t="s">
        <v>356</v>
      </c>
      <c r="C27" s="104">
        <v>8.1692501446400528E-2</v>
      </c>
      <c r="D27" s="104">
        <f t="shared" si="0"/>
        <v>0.15266724789468733</v>
      </c>
      <c r="E27" s="104">
        <v>0.10966724789468733</v>
      </c>
      <c r="F27" s="104">
        <v>0.25</v>
      </c>
    </row>
    <row r="28" spans="1:6" ht="16">
      <c r="A28" s="102" t="s">
        <v>192</v>
      </c>
      <c r="B28" s="103" t="s">
        <v>358</v>
      </c>
      <c r="C28" s="104">
        <v>7.0808704231754685E-2</v>
      </c>
      <c r="D28" s="104">
        <f t="shared" si="0"/>
        <v>0.13805640765793431</v>
      </c>
      <c r="E28" s="104">
        <v>9.5056407657934314E-2</v>
      </c>
      <c r="F28" s="104">
        <v>0.1</v>
      </c>
    </row>
    <row r="29" spans="1:6" ht="16">
      <c r="A29" s="102" t="s">
        <v>193</v>
      </c>
      <c r="B29" s="103" t="s">
        <v>364</v>
      </c>
      <c r="C29" s="104">
        <v>1.3060556657575006E-2</v>
      </c>
      <c r="D29" s="104">
        <f t="shared" si="0"/>
        <v>6.0533008284103615E-2</v>
      </c>
      <c r="E29" s="104">
        <v>1.7533008284103618E-2</v>
      </c>
      <c r="F29" s="104">
        <v>0.22</v>
      </c>
    </row>
    <row r="30" spans="1:6" ht="16">
      <c r="A30" s="102" t="s">
        <v>194</v>
      </c>
      <c r="B30" s="103" t="s">
        <v>353</v>
      </c>
      <c r="C30" s="104">
        <v>3.2779436317050999E-2</v>
      </c>
      <c r="D30" s="104">
        <f t="shared" si="0"/>
        <v>8.7004412948338494E-2</v>
      </c>
      <c r="E30" s="104">
        <v>4.4004412948338498E-2</v>
      </c>
      <c r="F30" s="104">
        <v>0.34</v>
      </c>
    </row>
    <row r="31" spans="1:6" ht="16">
      <c r="A31" s="102" t="s">
        <v>411</v>
      </c>
      <c r="B31" s="103" t="s">
        <v>353</v>
      </c>
      <c r="C31" s="104">
        <v>3.2779436317050999E-2</v>
      </c>
      <c r="D31" s="104">
        <f t="shared" si="0"/>
        <v>8.7004412948338494E-2</v>
      </c>
      <c r="E31" s="104">
        <v>4.4004412948338498E-2</v>
      </c>
      <c r="F31" s="104">
        <v>0.34</v>
      </c>
    </row>
    <row r="32" spans="1:6" ht="16">
      <c r="A32" s="108" t="s">
        <v>361</v>
      </c>
      <c r="B32" s="103" t="s">
        <v>405</v>
      </c>
      <c r="C32" s="104">
        <v>6.5302783287875029E-3</v>
      </c>
      <c r="D32" s="104">
        <f t="shared" si="0"/>
        <v>5.1766504142051806E-2</v>
      </c>
      <c r="E32" s="104">
        <v>8.7665041420518092E-3</v>
      </c>
      <c r="F32" s="104">
        <v>0.185</v>
      </c>
    </row>
    <row r="33" spans="1:6" ht="16">
      <c r="A33" s="102" t="s">
        <v>195</v>
      </c>
      <c r="B33" s="103" t="s">
        <v>350</v>
      </c>
      <c r="C33" s="104">
        <v>1.7414075543433341E-2</v>
      </c>
      <c r="D33" s="104">
        <f t="shared" si="0"/>
        <v>6.6377344378804826E-2</v>
      </c>
      <c r="E33" s="104">
        <v>2.3377344378804829E-2</v>
      </c>
      <c r="F33" s="104">
        <v>0.1</v>
      </c>
    </row>
    <row r="34" spans="1:6" ht="16">
      <c r="A34" s="102" t="s">
        <v>304</v>
      </c>
      <c r="B34" s="103" t="s">
        <v>356</v>
      </c>
      <c r="C34" s="104">
        <v>8.1692501446400528E-2</v>
      </c>
      <c r="D34" s="104">
        <f t="shared" si="0"/>
        <v>0.15266724789468733</v>
      </c>
      <c r="E34" s="104">
        <v>0.10966724789468733</v>
      </c>
      <c r="F34" s="104">
        <v>0.28000000000000003</v>
      </c>
    </row>
    <row r="35" spans="1:6" ht="16">
      <c r="A35" s="102" t="s">
        <v>196</v>
      </c>
      <c r="B35" s="103" t="s">
        <v>349</v>
      </c>
      <c r="C35" s="104">
        <v>5.9924907017108855E-2</v>
      </c>
      <c r="D35" s="104">
        <f t="shared" si="0"/>
        <v>0.12344556742118129</v>
      </c>
      <c r="E35" s="104">
        <v>8.0445567421181294E-2</v>
      </c>
      <c r="F35" s="104">
        <v>0.2</v>
      </c>
    </row>
    <row r="36" spans="1:6" ht="16">
      <c r="A36" s="102" t="s">
        <v>305</v>
      </c>
      <c r="B36" s="103" t="s">
        <v>356</v>
      </c>
      <c r="C36" s="104">
        <v>8.1692501446400528E-2</v>
      </c>
      <c r="D36" s="104">
        <f t="shared" si="0"/>
        <v>0.15266724789468733</v>
      </c>
      <c r="E36" s="104">
        <v>0.10966724789468733</v>
      </c>
      <c r="F36" s="104">
        <v>0.33</v>
      </c>
    </row>
    <row r="37" spans="1:6" ht="16">
      <c r="A37" s="102" t="s">
        <v>197</v>
      </c>
      <c r="B37" s="103" t="s">
        <v>351</v>
      </c>
      <c r="C37" s="104">
        <v>0</v>
      </c>
      <c r="D37" s="104">
        <f t="shared" si="0"/>
        <v>4.2999999999999997E-2</v>
      </c>
      <c r="E37" s="104">
        <v>0</v>
      </c>
      <c r="F37" s="104">
        <v>0.26500000000000001</v>
      </c>
    </row>
    <row r="38" spans="1:6" ht="16">
      <c r="A38" s="102" t="s">
        <v>306</v>
      </c>
      <c r="B38" s="103" t="s">
        <v>358</v>
      </c>
      <c r="C38" s="104">
        <v>7.0808704231754685E-2</v>
      </c>
      <c r="D38" s="104">
        <f t="shared" si="0"/>
        <v>0.13805640765793431</v>
      </c>
      <c r="E38" s="104">
        <v>9.5056407657934314E-2</v>
      </c>
      <c r="F38" s="104">
        <v>0</v>
      </c>
    </row>
    <row r="39" spans="1:6" ht="16">
      <c r="A39" s="102" t="s">
        <v>199</v>
      </c>
      <c r="B39" s="103" t="s">
        <v>357</v>
      </c>
      <c r="C39" s="104">
        <v>6.5302783287875029E-3</v>
      </c>
      <c r="D39" s="104">
        <f t="shared" si="0"/>
        <v>5.1766504142051806E-2</v>
      </c>
      <c r="E39" s="104">
        <v>8.7665041420518092E-3</v>
      </c>
      <c r="F39" s="104">
        <v>0</v>
      </c>
    </row>
    <row r="40" spans="1:6" ht="16">
      <c r="A40" s="102" t="s">
        <v>412</v>
      </c>
      <c r="B40" s="106" t="s">
        <v>405</v>
      </c>
      <c r="C40" s="107">
        <v>9.5882201472833571E-3</v>
      </c>
      <c r="D40" s="104">
        <f t="shared" si="0"/>
        <v>0.10187160629364336</v>
      </c>
      <c r="E40" s="107">
        <v>5.8871606293643367E-2</v>
      </c>
      <c r="F40" s="107">
        <v>0.24707349543413576</v>
      </c>
    </row>
    <row r="41" spans="1:6" ht="16">
      <c r="A41" s="102" t="s">
        <v>200</v>
      </c>
      <c r="B41" s="103" t="s">
        <v>360</v>
      </c>
      <c r="C41" s="104">
        <v>9.2192164641705932E-3</v>
      </c>
      <c r="D41" s="104">
        <f t="shared" si="0"/>
        <v>5.5376241141720198E-2</v>
      </c>
      <c r="E41" s="104">
        <v>1.2376241141720201E-2</v>
      </c>
      <c r="F41" s="104">
        <v>0.27</v>
      </c>
    </row>
    <row r="42" spans="1:6" ht="16">
      <c r="A42" s="102" t="s">
        <v>201</v>
      </c>
      <c r="B42" s="103" t="s">
        <v>362</v>
      </c>
      <c r="C42" s="104">
        <v>7.6826803868088279E-3</v>
      </c>
      <c r="D42" s="104">
        <f t="shared" si="0"/>
        <v>5.3313534284766831E-2</v>
      </c>
      <c r="E42" s="104">
        <v>1.0313534284766834E-2</v>
      </c>
      <c r="F42" s="104">
        <v>0.25</v>
      </c>
    </row>
    <row r="43" spans="1:6" ht="16">
      <c r="A43" s="102" t="s">
        <v>202</v>
      </c>
      <c r="B43" s="103" t="s">
        <v>348</v>
      </c>
      <c r="C43" s="104">
        <v>2.0743237044383835E-2</v>
      </c>
      <c r="D43" s="104">
        <f t="shared" si="0"/>
        <v>7.0846542568870449E-2</v>
      </c>
      <c r="E43" s="104">
        <v>2.7846542568870453E-2</v>
      </c>
      <c r="F43" s="104">
        <v>0.35</v>
      </c>
    </row>
    <row r="44" spans="1:6" ht="16">
      <c r="A44" s="102" t="s">
        <v>333</v>
      </c>
      <c r="B44" s="103" t="s">
        <v>358</v>
      </c>
      <c r="C44" s="104">
        <v>7.0808704231754685E-2</v>
      </c>
      <c r="D44" s="104">
        <f t="shared" si="0"/>
        <v>0.13805640765793431</v>
      </c>
      <c r="E44" s="104">
        <v>9.5056407657934314E-2</v>
      </c>
      <c r="F44" s="104">
        <v>0.3</v>
      </c>
    </row>
    <row r="45" spans="1:6" ht="16">
      <c r="A45" s="102" t="s">
        <v>334</v>
      </c>
      <c r="B45" s="103" t="s">
        <v>363</v>
      </c>
      <c r="C45" s="104">
        <v>9.8082219604926024E-2</v>
      </c>
      <c r="D45" s="104">
        <f t="shared" si="0"/>
        <v>0.17466945436885656</v>
      </c>
      <c r="E45" s="104">
        <v>0.13166945436885658</v>
      </c>
      <c r="F45" s="104">
        <v>0.28000000000000003</v>
      </c>
    </row>
    <row r="46" spans="1:6" ht="16">
      <c r="A46" s="102" t="s">
        <v>307</v>
      </c>
      <c r="B46" s="103" t="s">
        <v>346</v>
      </c>
      <c r="C46" s="104">
        <v>4.9041109802463012E-2</v>
      </c>
      <c r="D46" s="104">
        <f t="shared" si="0"/>
        <v>0.10883472718442828</v>
      </c>
      <c r="E46" s="104">
        <v>6.5834727184428288E-2</v>
      </c>
      <c r="F46" s="104">
        <v>0.2974</v>
      </c>
    </row>
    <row r="47" spans="1:6" ht="16">
      <c r="A47" s="102" t="s">
        <v>203</v>
      </c>
      <c r="B47" s="103" t="s">
        <v>346</v>
      </c>
      <c r="C47" s="104">
        <v>4.9041109802463012E-2</v>
      </c>
      <c r="D47" s="104">
        <f t="shared" si="0"/>
        <v>0.10883472718442828</v>
      </c>
      <c r="E47" s="104">
        <v>6.5834727184428288E-2</v>
      </c>
      <c r="F47" s="104">
        <v>0.3</v>
      </c>
    </row>
    <row r="48" spans="1:6" ht="16">
      <c r="A48" s="102" t="s">
        <v>204</v>
      </c>
      <c r="B48" s="103" t="s">
        <v>348</v>
      </c>
      <c r="C48" s="104">
        <v>2.0743237044383835E-2</v>
      </c>
      <c r="D48" s="104">
        <f t="shared" si="0"/>
        <v>7.0846542568870449E-2</v>
      </c>
      <c r="E48" s="104">
        <v>2.7846542568870453E-2</v>
      </c>
      <c r="F48" s="104">
        <v>0.18</v>
      </c>
    </row>
    <row r="49" spans="1:6" ht="16">
      <c r="A49" s="102" t="s">
        <v>205</v>
      </c>
      <c r="B49" s="103" t="s">
        <v>396</v>
      </c>
      <c r="C49" s="104">
        <v>0.13073361124886354</v>
      </c>
      <c r="D49" s="104">
        <f t="shared" si="0"/>
        <v>0.21850197507911562</v>
      </c>
      <c r="E49" s="104">
        <v>0.17550197507911564</v>
      </c>
      <c r="F49" s="104">
        <v>0.2853</v>
      </c>
    </row>
    <row r="50" spans="1:6" ht="16">
      <c r="A50" s="109" t="s">
        <v>413</v>
      </c>
      <c r="B50" s="103" t="s">
        <v>348</v>
      </c>
      <c r="C50" s="104">
        <v>2.0743237044383835E-2</v>
      </c>
      <c r="D50" s="104">
        <f t="shared" si="0"/>
        <v>7.0846542568870449E-2</v>
      </c>
      <c r="E50" s="104">
        <v>2.7846542568870453E-2</v>
      </c>
      <c r="F50" s="104">
        <v>0.22</v>
      </c>
    </row>
    <row r="51" spans="1:6" ht="16">
      <c r="A51" s="102" t="s">
        <v>283</v>
      </c>
      <c r="B51" s="103" t="s">
        <v>348</v>
      </c>
      <c r="C51" s="104">
        <v>2.0743237044383835E-2</v>
      </c>
      <c r="D51" s="104">
        <f t="shared" si="0"/>
        <v>7.0846542568870449E-2</v>
      </c>
      <c r="E51" s="104">
        <v>2.7846542568870453E-2</v>
      </c>
      <c r="F51" s="104">
        <v>0.125</v>
      </c>
    </row>
    <row r="52" spans="1:6" ht="16">
      <c r="A52" s="102" t="s">
        <v>206</v>
      </c>
      <c r="B52" s="103" t="s">
        <v>357</v>
      </c>
      <c r="C52" s="104">
        <v>6.5302783287875029E-3</v>
      </c>
      <c r="D52" s="104">
        <f t="shared" si="0"/>
        <v>5.1766504142051806E-2</v>
      </c>
      <c r="E52" s="104">
        <v>8.7665041420518092E-3</v>
      </c>
      <c r="F52" s="104">
        <v>0.19</v>
      </c>
    </row>
    <row r="53" spans="1:6" ht="16">
      <c r="A53" s="102" t="s">
        <v>207</v>
      </c>
      <c r="B53" s="103" t="s">
        <v>351</v>
      </c>
      <c r="C53" s="104">
        <v>0</v>
      </c>
      <c r="D53" s="104">
        <f t="shared" si="0"/>
        <v>4.2999999999999997E-2</v>
      </c>
      <c r="E53" s="104">
        <v>0</v>
      </c>
      <c r="F53" s="104">
        <v>0.22</v>
      </c>
    </row>
    <row r="54" spans="1:6" ht="16">
      <c r="A54" s="102" t="s">
        <v>208</v>
      </c>
      <c r="B54" s="103" t="s">
        <v>355</v>
      </c>
      <c r="C54" s="104">
        <v>3.9181669972725021E-2</v>
      </c>
      <c r="D54" s="104">
        <f t="shared" si="0"/>
        <v>9.5599024852310852E-2</v>
      </c>
      <c r="E54" s="104">
        <v>5.2599024852310855E-2</v>
      </c>
      <c r="F54" s="104">
        <v>0.27</v>
      </c>
    </row>
    <row r="55" spans="1:6" ht="16">
      <c r="A55" s="102" t="s">
        <v>209</v>
      </c>
      <c r="B55" s="103" t="s">
        <v>397</v>
      </c>
      <c r="C55" s="104">
        <v>0.10896601681957188</v>
      </c>
      <c r="D55" s="104">
        <f t="shared" si="0"/>
        <v>0.18928029460560963</v>
      </c>
      <c r="E55" s="104">
        <v>0.14628029460560965</v>
      </c>
      <c r="F55" s="104">
        <v>0.25</v>
      </c>
    </row>
    <row r="56" spans="1:6" ht="16">
      <c r="A56" s="102" t="s">
        <v>210</v>
      </c>
      <c r="B56" s="103" t="s">
        <v>356</v>
      </c>
      <c r="C56" s="104">
        <v>8.1692501446400528E-2</v>
      </c>
      <c r="D56" s="104">
        <f t="shared" si="0"/>
        <v>0.15266724789468733</v>
      </c>
      <c r="E56" s="104">
        <v>0.10966724789468733</v>
      </c>
      <c r="F56" s="104">
        <v>0.22500000000000001</v>
      </c>
    </row>
    <row r="57" spans="1:6" ht="16">
      <c r="A57" s="102" t="s">
        <v>211</v>
      </c>
      <c r="B57" s="103" t="s">
        <v>397</v>
      </c>
      <c r="C57" s="104">
        <v>0.10896601681957188</v>
      </c>
      <c r="D57" s="104">
        <f t="shared" si="0"/>
        <v>0.18928029460560963</v>
      </c>
      <c r="E57" s="104">
        <v>0.14628029460560965</v>
      </c>
      <c r="F57" s="104">
        <v>0.3</v>
      </c>
    </row>
    <row r="58" spans="1:6" ht="16">
      <c r="A58" s="102" t="s">
        <v>212</v>
      </c>
      <c r="B58" s="103" t="s">
        <v>362</v>
      </c>
      <c r="C58" s="104">
        <v>7.6826803868088279E-3</v>
      </c>
      <c r="D58" s="104">
        <f t="shared" si="0"/>
        <v>5.3313534284766831E-2</v>
      </c>
      <c r="E58" s="104">
        <v>1.0313534284766834E-2</v>
      </c>
      <c r="F58" s="104">
        <v>0.2</v>
      </c>
    </row>
    <row r="59" spans="1:6" ht="16">
      <c r="A59" s="102" t="s">
        <v>335</v>
      </c>
      <c r="B59" s="103" t="s">
        <v>363</v>
      </c>
      <c r="C59" s="104">
        <v>9.8082219604926024E-2</v>
      </c>
      <c r="D59" s="104">
        <f t="shared" si="0"/>
        <v>0.17466945436885656</v>
      </c>
      <c r="E59" s="104">
        <v>0.13166945436885658</v>
      </c>
      <c r="F59" s="104">
        <v>0.3</v>
      </c>
    </row>
    <row r="60" spans="1:6" ht="16">
      <c r="A60" s="102" t="s">
        <v>414</v>
      </c>
      <c r="B60" s="106" t="s">
        <v>405</v>
      </c>
      <c r="C60" s="107">
        <v>4.2915086193622262E-2</v>
      </c>
      <c r="D60" s="104">
        <f t="shared" si="0"/>
        <v>0.14661091058162493</v>
      </c>
      <c r="E60" s="107">
        <v>0.10361091058162493</v>
      </c>
      <c r="F60" s="107">
        <v>0.31595749426030023</v>
      </c>
    </row>
    <row r="61" spans="1:6" ht="16">
      <c r="A61" s="102" t="s">
        <v>308</v>
      </c>
      <c r="B61" s="103" t="s">
        <v>346</v>
      </c>
      <c r="C61" s="104">
        <v>4.9041109802463012E-2</v>
      </c>
      <c r="D61" s="104">
        <f t="shared" si="0"/>
        <v>0.10883472718442828</v>
      </c>
      <c r="E61" s="104">
        <v>6.5834727184428288E-2</v>
      </c>
      <c r="F61" s="104">
        <v>0.2</v>
      </c>
    </row>
    <row r="62" spans="1:6" ht="16">
      <c r="A62" s="102" t="s">
        <v>284</v>
      </c>
      <c r="B62" s="103" t="s">
        <v>352</v>
      </c>
      <c r="C62" s="104">
        <v>4.3535188858583353E-3</v>
      </c>
      <c r="D62" s="104">
        <f t="shared" si="0"/>
        <v>4.88443360947012E-2</v>
      </c>
      <c r="E62" s="104">
        <v>5.8443360947012038E-3</v>
      </c>
      <c r="F62" s="104">
        <v>0.2</v>
      </c>
    </row>
    <row r="63" spans="1:6" ht="16">
      <c r="A63" s="102" t="s">
        <v>285</v>
      </c>
      <c r="B63" s="103" t="s">
        <v>345</v>
      </c>
      <c r="C63" s="104">
        <v>5.3778762707661788E-3</v>
      </c>
      <c r="D63" s="104">
        <f t="shared" si="0"/>
        <v>5.0219473999336781E-2</v>
      </c>
      <c r="E63" s="104">
        <v>7.219473999336784E-3</v>
      </c>
      <c r="F63" s="104">
        <v>0.25</v>
      </c>
    </row>
    <row r="64" spans="1:6" ht="16">
      <c r="A64" s="102" t="s">
        <v>415</v>
      </c>
      <c r="B64" s="106" t="s">
        <v>405</v>
      </c>
      <c r="C64" s="107">
        <v>4.2915086193622262E-2</v>
      </c>
      <c r="D64" s="104">
        <f t="shared" si="0"/>
        <v>0.14661091058162493</v>
      </c>
      <c r="E64" s="107">
        <v>0.10361091058162493</v>
      </c>
      <c r="F64" s="107">
        <v>0.31595749426030023</v>
      </c>
    </row>
    <row r="65" spans="1:6" ht="16">
      <c r="A65" s="102" t="s">
        <v>309</v>
      </c>
      <c r="B65" s="103" t="s">
        <v>356</v>
      </c>
      <c r="C65" s="104">
        <v>8.1692501446400528E-2</v>
      </c>
      <c r="D65" s="104">
        <f t="shared" si="0"/>
        <v>0.15266724789468733</v>
      </c>
      <c r="E65" s="104">
        <v>0.10966724789468733</v>
      </c>
      <c r="F65" s="104">
        <v>0.3</v>
      </c>
    </row>
    <row r="66" spans="1:6" ht="16">
      <c r="A66" s="105" t="s">
        <v>365</v>
      </c>
      <c r="B66" s="103" t="s">
        <v>405</v>
      </c>
      <c r="C66" s="104">
        <v>4.9041109802463012E-2</v>
      </c>
      <c r="D66" s="104">
        <f t="shared" si="0"/>
        <v>0.10883472718442828</v>
      </c>
      <c r="E66" s="104">
        <v>6.5834727184428288E-2</v>
      </c>
      <c r="F66" s="104">
        <v>0.31</v>
      </c>
    </row>
    <row r="67" spans="1:6" ht="16">
      <c r="A67" s="102" t="s">
        <v>213</v>
      </c>
      <c r="B67" s="103" t="s">
        <v>353</v>
      </c>
      <c r="C67" s="104">
        <v>3.2779436317050999E-2</v>
      </c>
      <c r="D67" s="104">
        <f t="shared" si="0"/>
        <v>8.7004412948338494E-2</v>
      </c>
      <c r="E67" s="104">
        <v>4.4004412948338498E-2</v>
      </c>
      <c r="F67" s="104">
        <v>0.15</v>
      </c>
    </row>
    <row r="68" spans="1:6" ht="16">
      <c r="A68" s="102" t="s">
        <v>286</v>
      </c>
      <c r="B68" s="103" t="s">
        <v>351</v>
      </c>
      <c r="C68" s="104">
        <v>0</v>
      </c>
      <c r="D68" s="104">
        <f t="shared" si="0"/>
        <v>4.2999999999999997E-2</v>
      </c>
      <c r="E68" s="104">
        <v>0</v>
      </c>
      <c r="F68" s="104">
        <v>0.3</v>
      </c>
    </row>
    <row r="69" spans="1:6" ht="16">
      <c r="A69" s="102" t="s">
        <v>310</v>
      </c>
      <c r="B69" s="103" t="s">
        <v>397</v>
      </c>
      <c r="C69" s="104">
        <v>0.10896601681957188</v>
      </c>
      <c r="D69" s="104">
        <f t="shared" si="0"/>
        <v>0.18928029460560963</v>
      </c>
      <c r="E69" s="104">
        <v>0.14628029460560965</v>
      </c>
      <c r="F69" s="104">
        <v>0.25</v>
      </c>
    </row>
    <row r="70" spans="1:6" ht="16">
      <c r="A70" s="102" t="s">
        <v>416</v>
      </c>
      <c r="B70" s="106" t="s">
        <v>405</v>
      </c>
      <c r="C70" s="107">
        <v>9.5882201472833571E-3</v>
      </c>
      <c r="D70" s="104">
        <f t="shared" ref="D70:D133" si="1">$B$1+E70</f>
        <v>0.10187160629364336</v>
      </c>
      <c r="E70" s="107">
        <v>5.8871606293643367E-2</v>
      </c>
      <c r="F70" s="107">
        <v>0.24707349543413576</v>
      </c>
    </row>
    <row r="71" spans="1:6" ht="16">
      <c r="A71" s="102" t="s">
        <v>287</v>
      </c>
      <c r="B71" s="103" t="s">
        <v>366</v>
      </c>
      <c r="C71" s="104">
        <v>2.7273515373171343E-2</v>
      </c>
      <c r="D71" s="104">
        <f t="shared" si="1"/>
        <v>7.9613046710922258E-2</v>
      </c>
      <c r="E71" s="104">
        <v>3.6613046710922262E-2</v>
      </c>
      <c r="F71" s="104">
        <v>0.22</v>
      </c>
    </row>
    <row r="72" spans="1:6" ht="16">
      <c r="A72" s="102" t="s">
        <v>417</v>
      </c>
      <c r="B72" s="106" t="s">
        <v>405</v>
      </c>
      <c r="C72" s="107">
        <f t="shared" ref="C72" si="2">J72</f>
        <v>0</v>
      </c>
      <c r="D72" s="104">
        <f t="shared" si="1"/>
        <v>4.2999999999999997E-2</v>
      </c>
      <c r="E72" s="107">
        <f t="shared" ref="E72" si="3">H72</f>
        <v>0</v>
      </c>
      <c r="F72" s="107">
        <f t="shared" ref="F72" si="4">K72</f>
        <v>0</v>
      </c>
    </row>
    <row r="73" spans="1:6" ht="16">
      <c r="A73" s="102" t="s">
        <v>214</v>
      </c>
      <c r="B73" s="103" t="s">
        <v>366</v>
      </c>
      <c r="C73" s="104">
        <v>2.7273515373171343E-2</v>
      </c>
      <c r="D73" s="104">
        <f t="shared" si="1"/>
        <v>7.9613046710922258E-2</v>
      </c>
      <c r="E73" s="104">
        <v>3.6613046710922262E-2</v>
      </c>
      <c r="F73" s="104">
        <v>0.25</v>
      </c>
    </row>
    <row r="74" spans="1:6" ht="16">
      <c r="A74" s="102" t="s">
        <v>399</v>
      </c>
      <c r="B74" s="103" t="s">
        <v>362</v>
      </c>
      <c r="C74" s="104">
        <v>7.6826803868088279E-3</v>
      </c>
      <c r="D74" s="104">
        <f t="shared" si="1"/>
        <v>5.3313534284766831E-2</v>
      </c>
      <c r="E74" s="104">
        <v>1.0313534284766834E-2</v>
      </c>
      <c r="F74" s="104">
        <v>0</v>
      </c>
    </row>
    <row r="75" spans="1:6" ht="16">
      <c r="A75" s="108" t="s">
        <v>367</v>
      </c>
      <c r="B75" s="103" t="s">
        <v>405</v>
      </c>
      <c r="C75" s="104">
        <v>9.8082219604926024E-2</v>
      </c>
      <c r="D75" s="104">
        <f t="shared" si="1"/>
        <v>0.17466945436885656</v>
      </c>
      <c r="E75" s="104">
        <v>0.13166945436885658</v>
      </c>
      <c r="F75" s="104">
        <v>0.29149999999999998</v>
      </c>
    </row>
    <row r="76" spans="1:6" ht="16">
      <c r="A76" s="105" t="s">
        <v>368</v>
      </c>
      <c r="B76" s="103" t="s">
        <v>405</v>
      </c>
      <c r="C76" s="104">
        <v>5.9924907017108842E-2</v>
      </c>
      <c r="D76" s="104">
        <f t="shared" si="1"/>
        <v>0.12344556742118129</v>
      </c>
      <c r="E76" s="104">
        <v>8.0445567421181294E-2</v>
      </c>
      <c r="F76" s="104">
        <v>0.29149999999999998</v>
      </c>
    </row>
    <row r="77" spans="1:6" ht="16">
      <c r="A77" s="108" t="s">
        <v>369</v>
      </c>
      <c r="B77" s="103" t="s">
        <v>405</v>
      </c>
      <c r="C77" s="104">
        <v>1.7414075543433345E-2</v>
      </c>
      <c r="D77" s="104">
        <f t="shared" si="1"/>
        <v>6.6377344378804826E-2</v>
      </c>
      <c r="E77" s="104">
        <v>2.3377344378804829E-2</v>
      </c>
      <c r="F77" s="104">
        <v>0.18640000000000001</v>
      </c>
    </row>
    <row r="78" spans="1:6" ht="16">
      <c r="A78" s="105" t="s">
        <v>370</v>
      </c>
      <c r="B78" s="103" t="s">
        <v>405</v>
      </c>
      <c r="C78" s="104">
        <v>0.10896601681957191</v>
      </c>
      <c r="D78" s="104">
        <f t="shared" si="1"/>
        <v>0.18928029460560963</v>
      </c>
      <c r="E78" s="104">
        <v>0.14628029460560965</v>
      </c>
      <c r="F78" s="104">
        <v>0.18640000000000001</v>
      </c>
    </row>
    <row r="79" spans="1:6" ht="16">
      <c r="A79" s="102" t="s">
        <v>215</v>
      </c>
      <c r="B79" s="103" t="s">
        <v>346</v>
      </c>
      <c r="C79" s="104">
        <v>4.9041109802463012E-2</v>
      </c>
      <c r="D79" s="104">
        <f t="shared" si="1"/>
        <v>0.10883472718442828</v>
      </c>
      <c r="E79" s="104">
        <v>6.5834727184428288E-2</v>
      </c>
      <c r="F79" s="104">
        <v>0.25</v>
      </c>
    </row>
    <row r="80" spans="1:6" ht="16">
      <c r="A80" s="102" t="s">
        <v>216</v>
      </c>
      <c r="B80" s="103" t="s">
        <v>357</v>
      </c>
      <c r="C80" s="104">
        <v>6.5302783287875029E-3</v>
      </c>
      <c r="D80" s="104">
        <f t="shared" si="1"/>
        <v>5.1766504142051806E-2</v>
      </c>
      <c r="E80" s="104">
        <v>8.7665041420518092E-3</v>
      </c>
      <c r="F80" s="104">
        <v>0.16500000000000001</v>
      </c>
    </row>
    <row r="81" spans="1:6" ht="16">
      <c r="A81" s="102" t="s">
        <v>217</v>
      </c>
      <c r="B81" s="103" t="s">
        <v>348</v>
      </c>
      <c r="C81" s="104">
        <v>2.0743237044383835E-2</v>
      </c>
      <c r="D81" s="104">
        <f t="shared" si="1"/>
        <v>7.0846542568870449E-2</v>
      </c>
      <c r="E81" s="104">
        <v>2.7846542568870453E-2</v>
      </c>
      <c r="F81" s="104">
        <v>0.09</v>
      </c>
    </row>
    <row r="82" spans="1:6" ht="16">
      <c r="A82" s="102" t="s">
        <v>218</v>
      </c>
      <c r="B82" s="103" t="s">
        <v>360</v>
      </c>
      <c r="C82" s="104">
        <v>9.2192164641705932E-3</v>
      </c>
      <c r="D82" s="104">
        <f t="shared" si="1"/>
        <v>5.5376241141720198E-2</v>
      </c>
      <c r="E82" s="104">
        <v>1.2376241141720201E-2</v>
      </c>
      <c r="F82" s="104">
        <v>0.2</v>
      </c>
    </row>
    <row r="83" spans="1:6" ht="16">
      <c r="A83" s="102" t="s">
        <v>219</v>
      </c>
      <c r="B83" s="103" t="s">
        <v>354</v>
      </c>
      <c r="C83" s="104">
        <v>2.3944353872220846E-2</v>
      </c>
      <c r="D83" s="104">
        <f t="shared" si="1"/>
        <v>7.5143848520856621E-2</v>
      </c>
      <c r="E83" s="104">
        <v>3.2143848520856624E-2</v>
      </c>
      <c r="F83" s="104">
        <v>0.3</v>
      </c>
    </row>
    <row r="84" spans="1:6" ht="16">
      <c r="A84" s="102" t="s">
        <v>220</v>
      </c>
      <c r="B84" s="103" t="s">
        <v>348</v>
      </c>
      <c r="C84" s="104">
        <v>2.0743237044383835E-2</v>
      </c>
      <c r="D84" s="104">
        <f t="shared" si="1"/>
        <v>7.0846542568870449E-2</v>
      </c>
      <c r="E84" s="104">
        <v>2.7846542568870453E-2</v>
      </c>
      <c r="F84" s="104">
        <v>0.22</v>
      </c>
    </row>
    <row r="85" spans="1:6" ht="16">
      <c r="A85" s="108" t="s">
        <v>371</v>
      </c>
      <c r="B85" s="103" t="s">
        <v>405</v>
      </c>
      <c r="C85" s="104">
        <v>7.0808704231754685E-2</v>
      </c>
      <c r="D85" s="104">
        <f t="shared" si="1"/>
        <v>0.13805640765793431</v>
      </c>
      <c r="E85" s="104">
        <v>9.5056407657934314E-2</v>
      </c>
      <c r="F85" s="104">
        <v>0.20230000000000001</v>
      </c>
    </row>
    <row r="86" spans="1:6" ht="16">
      <c r="A86" s="102" t="s">
        <v>340</v>
      </c>
      <c r="B86" s="103" t="s">
        <v>356</v>
      </c>
      <c r="C86" s="104">
        <v>8.1692501446400528E-2</v>
      </c>
      <c r="D86" s="104">
        <f t="shared" si="1"/>
        <v>0.15266724789468733</v>
      </c>
      <c r="E86" s="104">
        <v>0.10966724789468733</v>
      </c>
      <c r="F86" s="104">
        <v>0.15</v>
      </c>
    </row>
    <row r="87" spans="1:6" ht="16">
      <c r="A87" s="102" t="s">
        <v>288</v>
      </c>
      <c r="B87" s="103" t="s">
        <v>357</v>
      </c>
      <c r="C87" s="104">
        <v>6.5302783287875029E-3</v>
      </c>
      <c r="D87" s="104">
        <f t="shared" si="1"/>
        <v>5.1766504142051806E-2</v>
      </c>
      <c r="E87" s="104">
        <v>8.7665041420518092E-3</v>
      </c>
      <c r="F87" s="104">
        <v>0.125</v>
      </c>
    </row>
    <row r="88" spans="1:6" ht="16">
      <c r="A88" s="102" t="s">
        <v>221</v>
      </c>
      <c r="B88" s="103" t="s">
        <v>357</v>
      </c>
      <c r="C88" s="104">
        <v>6.5302783287875029E-3</v>
      </c>
      <c r="D88" s="104">
        <f t="shared" si="1"/>
        <v>5.1766504142051806E-2</v>
      </c>
      <c r="E88" s="104">
        <v>8.7665041420518092E-3</v>
      </c>
      <c r="F88" s="104">
        <v>0</v>
      </c>
    </row>
    <row r="89" spans="1:6" ht="16">
      <c r="A89" s="102" t="s">
        <v>222</v>
      </c>
      <c r="B89" s="103" t="s">
        <v>362</v>
      </c>
      <c r="C89" s="104">
        <v>7.6826803868088279E-3</v>
      </c>
      <c r="D89" s="104">
        <f t="shared" si="1"/>
        <v>5.3313534284766831E-2</v>
      </c>
      <c r="E89" s="104">
        <v>1.0313534284766834E-2</v>
      </c>
      <c r="F89" s="104">
        <v>0.23</v>
      </c>
    </row>
    <row r="90" spans="1:6" ht="16">
      <c r="A90" s="102" t="s">
        <v>289</v>
      </c>
      <c r="B90" s="103" t="s">
        <v>354</v>
      </c>
      <c r="C90" s="104">
        <v>2.3944353872220846E-2</v>
      </c>
      <c r="D90" s="104">
        <f t="shared" si="1"/>
        <v>7.5143848520856621E-2</v>
      </c>
      <c r="E90" s="104">
        <v>3.2143848520856624E-2</v>
      </c>
      <c r="F90" s="104">
        <v>0.24</v>
      </c>
    </row>
    <row r="91" spans="1:6" ht="16">
      <c r="A91" s="102" t="s">
        <v>418</v>
      </c>
      <c r="B91" s="103" t="s">
        <v>355</v>
      </c>
      <c r="C91" s="104">
        <v>3.9181669972725021E-2</v>
      </c>
      <c r="D91" s="104">
        <f t="shared" si="1"/>
        <v>9.5599024852310852E-2</v>
      </c>
      <c r="E91" s="104">
        <v>5.2599024852310855E-2</v>
      </c>
      <c r="F91" s="104">
        <v>0.25</v>
      </c>
    </row>
    <row r="92" spans="1:6" ht="16">
      <c r="A92" s="102" t="s">
        <v>223</v>
      </c>
      <c r="B92" s="103" t="s">
        <v>346</v>
      </c>
      <c r="C92" s="104">
        <v>4.9041109802463012E-2</v>
      </c>
      <c r="D92" s="104">
        <f t="shared" si="1"/>
        <v>0.10883472718442828</v>
      </c>
      <c r="E92" s="104">
        <v>6.5834727184428288E-2</v>
      </c>
      <c r="F92" s="104">
        <v>0.25</v>
      </c>
    </row>
    <row r="93" spans="1:6" ht="16">
      <c r="A93" s="102" t="s">
        <v>224</v>
      </c>
      <c r="B93" s="103" t="s">
        <v>362</v>
      </c>
      <c r="C93" s="104">
        <v>7.6826803868088279E-3</v>
      </c>
      <c r="D93" s="104">
        <f t="shared" si="1"/>
        <v>5.3313534284766831E-2</v>
      </c>
      <c r="E93" s="104">
        <v>1.0313534284766834E-2</v>
      </c>
      <c r="F93" s="104">
        <v>0.30620000000000003</v>
      </c>
    </row>
    <row r="94" spans="1:6" ht="16">
      <c r="A94" s="102" t="s">
        <v>400</v>
      </c>
      <c r="B94" s="103" t="s">
        <v>357</v>
      </c>
      <c r="C94" s="104">
        <v>6.5302783287875029E-3</v>
      </c>
      <c r="D94" s="104">
        <f t="shared" si="1"/>
        <v>5.1766504142051806E-2</v>
      </c>
      <c r="E94" s="104">
        <v>8.7665041420518092E-3</v>
      </c>
      <c r="F94" s="104">
        <v>0</v>
      </c>
    </row>
    <row r="95" spans="1:6" ht="16">
      <c r="A95" s="102" t="s">
        <v>225</v>
      </c>
      <c r="B95" s="103" t="s">
        <v>346</v>
      </c>
      <c r="C95" s="104">
        <v>4.9041109802463012E-2</v>
      </c>
      <c r="D95" s="104">
        <f t="shared" si="1"/>
        <v>0.10883472718442828</v>
      </c>
      <c r="E95" s="104">
        <v>6.5834727184428288E-2</v>
      </c>
      <c r="F95" s="104">
        <v>0.2</v>
      </c>
    </row>
    <row r="96" spans="1:6" ht="16">
      <c r="A96" s="102" t="s">
        <v>226</v>
      </c>
      <c r="B96" s="103" t="s">
        <v>348</v>
      </c>
      <c r="C96" s="104">
        <v>2.0743237044383835E-2</v>
      </c>
      <c r="D96" s="104">
        <f t="shared" si="1"/>
        <v>7.0846542568870449E-2</v>
      </c>
      <c r="E96" s="104">
        <v>2.7846542568870453E-2</v>
      </c>
      <c r="F96" s="104">
        <v>0.2</v>
      </c>
    </row>
    <row r="97" spans="1:6" ht="16">
      <c r="A97" s="102" t="s">
        <v>290</v>
      </c>
      <c r="B97" s="103" t="s">
        <v>358</v>
      </c>
      <c r="C97" s="104">
        <v>7.0808704231754685E-2</v>
      </c>
      <c r="D97" s="104">
        <f t="shared" si="1"/>
        <v>0.13805640765793431</v>
      </c>
      <c r="E97" s="104">
        <v>9.5056407657934314E-2</v>
      </c>
      <c r="F97" s="104">
        <v>0.3</v>
      </c>
    </row>
    <row r="98" spans="1:6" ht="16">
      <c r="A98" s="105" t="s">
        <v>372</v>
      </c>
      <c r="B98" s="103" t="s">
        <v>405</v>
      </c>
      <c r="C98" s="104">
        <v>0.17499999999999999</v>
      </c>
      <c r="D98" s="104">
        <f t="shared" si="1"/>
        <v>0.27792692770782934</v>
      </c>
      <c r="E98" s="104">
        <v>0.23492692770782936</v>
      </c>
      <c r="F98" s="104">
        <v>0.23100000000000001</v>
      </c>
    </row>
    <row r="99" spans="1:6" ht="16">
      <c r="A99" s="102" t="s">
        <v>227</v>
      </c>
      <c r="B99" s="103" t="s">
        <v>362</v>
      </c>
      <c r="C99" s="104">
        <v>7.6826803868088279E-3</v>
      </c>
      <c r="D99" s="104">
        <f t="shared" si="1"/>
        <v>5.3313534284766831E-2</v>
      </c>
      <c r="E99" s="104">
        <v>1.0313534284766834E-2</v>
      </c>
      <c r="F99" s="104">
        <v>0.15</v>
      </c>
    </row>
    <row r="100" spans="1:6" ht="16">
      <c r="A100" s="102" t="s">
        <v>341</v>
      </c>
      <c r="B100" s="103" t="s">
        <v>358</v>
      </c>
      <c r="C100" s="104">
        <v>7.0808704231754685E-2</v>
      </c>
      <c r="D100" s="104">
        <f t="shared" si="1"/>
        <v>0.13805640765793431</v>
      </c>
      <c r="E100" s="104">
        <v>9.5056407657934314E-2</v>
      </c>
      <c r="F100" s="104">
        <v>0.1</v>
      </c>
    </row>
    <row r="101" spans="1:6" ht="16">
      <c r="A101" s="102" t="s">
        <v>394</v>
      </c>
      <c r="B101" s="103" t="s">
        <v>397</v>
      </c>
      <c r="C101" s="104">
        <v>0.10896601681957188</v>
      </c>
      <c r="D101" s="104">
        <f t="shared" si="1"/>
        <v>0.18928029460560963</v>
      </c>
      <c r="E101" s="104">
        <v>0.14628029460560965</v>
      </c>
      <c r="F101" s="104">
        <v>0.26860000000000001</v>
      </c>
    </row>
    <row r="102" spans="1:6" ht="16">
      <c r="A102" s="102" t="s">
        <v>228</v>
      </c>
      <c r="B102" s="103" t="s">
        <v>364</v>
      </c>
      <c r="C102" s="104">
        <v>1.3060556657575006E-2</v>
      </c>
      <c r="D102" s="104">
        <f t="shared" si="1"/>
        <v>6.0533008284103615E-2</v>
      </c>
      <c r="E102" s="104">
        <v>1.7533008284103618E-2</v>
      </c>
      <c r="F102" s="104">
        <v>0.2</v>
      </c>
    </row>
    <row r="103" spans="1:6" ht="16">
      <c r="A103" s="102" t="s">
        <v>229</v>
      </c>
      <c r="B103" s="103" t="s">
        <v>392</v>
      </c>
      <c r="C103" s="104">
        <v>0.17499999999999999</v>
      </c>
      <c r="D103" s="104">
        <f t="shared" si="1"/>
        <v>0.27792692770782934</v>
      </c>
      <c r="E103" s="104">
        <v>0.23492692770782936</v>
      </c>
      <c r="F103" s="104">
        <v>0.17</v>
      </c>
    </row>
    <row r="104" spans="1:6" ht="16">
      <c r="A104" s="108" t="s">
        <v>373</v>
      </c>
      <c r="B104" s="103" t="s">
        <v>405</v>
      </c>
      <c r="C104" s="104">
        <v>0.13073361124886354</v>
      </c>
      <c r="D104" s="104">
        <f t="shared" si="1"/>
        <v>0.21850197507911562</v>
      </c>
      <c r="E104" s="104">
        <v>0.17550197507911564</v>
      </c>
      <c r="F104" s="104">
        <v>0.29149999999999998</v>
      </c>
    </row>
    <row r="105" spans="1:6" ht="16">
      <c r="A105" s="105" t="s">
        <v>374</v>
      </c>
      <c r="B105" s="103" t="s">
        <v>405</v>
      </c>
      <c r="C105" s="104">
        <v>2.0743237044383835E-2</v>
      </c>
      <c r="D105" s="104">
        <f t="shared" si="1"/>
        <v>7.0846542568870449E-2</v>
      </c>
      <c r="E105" s="104">
        <v>2.7846542568870453E-2</v>
      </c>
      <c r="F105" s="104">
        <v>0.2</v>
      </c>
    </row>
    <row r="106" spans="1:6" ht="16">
      <c r="A106" s="102" t="s">
        <v>311</v>
      </c>
      <c r="B106" s="103" t="s">
        <v>351</v>
      </c>
      <c r="C106" s="104">
        <v>0</v>
      </c>
      <c r="D106" s="104">
        <f t="shared" si="1"/>
        <v>4.2999999999999997E-2</v>
      </c>
      <c r="E106" s="104">
        <v>0</v>
      </c>
      <c r="F106" s="104">
        <v>0.125</v>
      </c>
    </row>
    <row r="107" spans="1:6" ht="16">
      <c r="A107" s="102" t="s">
        <v>230</v>
      </c>
      <c r="B107" s="103" t="s">
        <v>360</v>
      </c>
      <c r="C107" s="104">
        <v>9.2192164641705932E-3</v>
      </c>
      <c r="D107" s="104">
        <f t="shared" si="1"/>
        <v>5.5376241141720198E-2</v>
      </c>
      <c r="E107" s="104">
        <v>1.2376241141720201E-2</v>
      </c>
      <c r="F107" s="104">
        <v>0.15</v>
      </c>
    </row>
    <row r="108" spans="1:6" ht="16">
      <c r="A108" s="102" t="s">
        <v>291</v>
      </c>
      <c r="B108" s="103" t="s">
        <v>351</v>
      </c>
      <c r="C108" s="104">
        <v>0</v>
      </c>
      <c r="D108" s="104">
        <f t="shared" si="1"/>
        <v>4.2999999999999997E-2</v>
      </c>
      <c r="E108" s="104">
        <v>0</v>
      </c>
      <c r="F108" s="104">
        <v>0.24940000000000001</v>
      </c>
    </row>
    <row r="109" spans="1:6" ht="16">
      <c r="A109" s="102" t="s">
        <v>419</v>
      </c>
      <c r="B109" s="103" t="s">
        <v>357</v>
      </c>
      <c r="C109" s="104">
        <v>6.5302783287875029E-3</v>
      </c>
      <c r="D109" s="104">
        <f t="shared" si="1"/>
        <v>5.1766504142051806E-2</v>
      </c>
      <c r="E109" s="104">
        <v>8.7665041420518092E-3</v>
      </c>
      <c r="F109" s="104">
        <v>0.26860000000000001</v>
      </c>
    </row>
    <row r="110" spans="1:6" ht="16">
      <c r="A110" s="102" t="s">
        <v>312</v>
      </c>
      <c r="B110" s="103" t="s">
        <v>355</v>
      </c>
      <c r="C110" s="104">
        <v>3.9181669972725021E-2</v>
      </c>
      <c r="D110" s="104">
        <f t="shared" si="1"/>
        <v>9.5599024852310852E-2</v>
      </c>
      <c r="E110" s="104">
        <v>5.2599024852310855E-2</v>
      </c>
      <c r="F110" s="104">
        <v>0.1</v>
      </c>
    </row>
    <row r="111" spans="1:6" ht="16">
      <c r="A111" s="108" t="s">
        <v>375</v>
      </c>
      <c r="B111" s="103" t="s">
        <v>405</v>
      </c>
      <c r="C111" s="104">
        <v>7.0808704231754685E-2</v>
      </c>
      <c r="D111" s="104">
        <f t="shared" si="1"/>
        <v>0.13805640765793431</v>
      </c>
      <c r="E111" s="104">
        <v>9.5056407657934314E-2</v>
      </c>
      <c r="F111" s="104">
        <v>0.2</v>
      </c>
    </row>
    <row r="112" spans="1:6" ht="16">
      <c r="A112" s="105" t="s">
        <v>376</v>
      </c>
      <c r="B112" s="103" t="s">
        <v>405</v>
      </c>
      <c r="C112" s="104">
        <v>0.13073361124886354</v>
      </c>
      <c r="D112" s="104">
        <f t="shared" si="1"/>
        <v>0.21850197507911562</v>
      </c>
      <c r="E112" s="104">
        <v>0.17550197507911564</v>
      </c>
      <c r="F112" s="104">
        <v>0.3</v>
      </c>
    </row>
    <row r="113" spans="1:6" ht="16">
      <c r="A113" s="102" t="s">
        <v>231</v>
      </c>
      <c r="B113" s="103" t="s">
        <v>364</v>
      </c>
      <c r="C113" s="104">
        <v>1.3060556657575006E-2</v>
      </c>
      <c r="D113" s="104">
        <f t="shared" si="1"/>
        <v>6.0533008284103615E-2</v>
      </c>
      <c r="E113" s="104">
        <v>1.7533008284103618E-2</v>
      </c>
      <c r="F113" s="104">
        <v>0.24</v>
      </c>
    </row>
    <row r="114" spans="1:6" ht="16">
      <c r="A114" s="102" t="s">
        <v>401</v>
      </c>
      <c r="B114" s="103" t="s">
        <v>356</v>
      </c>
      <c r="C114" s="104">
        <v>8.1692501446400528E-2</v>
      </c>
      <c r="D114" s="104">
        <f t="shared" si="1"/>
        <v>0.15266724789468733</v>
      </c>
      <c r="E114" s="104">
        <v>0.10966724789468733</v>
      </c>
      <c r="F114" s="104">
        <v>0.26860000000000001</v>
      </c>
    </row>
    <row r="115" spans="1:6" ht="16">
      <c r="A115" s="102" t="s">
        <v>377</v>
      </c>
      <c r="B115" s="103" t="s">
        <v>363</v>
      </c>
      <c r="C115" s="104">
        <v>9.8082219604926024E-2</v>
      </c>
      <c r="D115" s="104">
        <f t="shared" si="1"/>
        <v>0.17466945436885656</v>
      </c>
      <c r="E115" s="104">
        <v>0.13166945436885658</v>
      </c>
      <c r="F115" s="104">
        <v>0.26860000000000001</v>
      </c>
    </row>
    <row r="116" spans="1:6" ht="16">
      <c r="A116" s="102" t="s">
        <v>292</v>
      </c>
      <c r="B116" s="103" t="s">
        <v>360</v>
      </c>
      <c r="C116" s="104">
        <v>9.2192164641705932E-3</v>
      </c>
      <c r="D116" s="104">
        <f t="shared" si="1"/>
        <v>5.5376241141720198E-2</v>
      </c>
      <c r="E116" s="104">
        <v>1.2376241141720201E-2</v>
      </c>
      <c r="F116" s="104">
        <v>0.35</v>
      </c>
    </row>
    <row r="117" spans="1:6" ht="16">
      <c r="A117" s="102" t="s">
        <v>420</v>
      </c>
      <c r="B117" s="106" t="s">
        <v>405</v>
      </c>
      <c r="C117" s="107">
        <f t="shared" ref="C117" si="5">J117</f>
        <v>0</v>
      </c>
      <c r="D117" s="104">
        <f t="shared" si="1"/>
        <v>4.2999999999999997E-2</v>
      </c>
      <c r="E117" s="107">
        <f t="shared" ref="E117" si="6">H117</f>
        <v>0</v>
      </c>
      <c r="F117" s="107">
        <f t="shared" ref="F117" si="7">K117</f>
        <v>0</v>
      </c>
    </row>
    <row r="118" spans="1:6" ht="16">
      <c r="A118" s="102" t="s">
        <v>232</v>
      </c>
      <c r="B118" s="103" t="s">
        <v>354</v>
      </c>
      <c r="C118" s="104">
        <v>2.3944353872220846E-2</v>
      </c>
      <c r="D118" s="104">
        <f t="shared" si="1"/>
        <v>7.5143848520856621E-2</v>
      </c>
      <c r="E118" s="104">
        <v>3.2143848520856624E-2</v>
      </c>
      <c r="F118" s="104">
        <v>0.15</v>
      </c>
    </row>
    <row r="119" spans="1:6" ht="16">
      <c r="A119" s="102" t="s">
        <v>233</v>
      </c>
      <c r="B119" s="103" t="s">
        <v>348</v>
      </c>
      <c r="C119" s="104">
        <v>2.0743237044383835E-2</v>
      </c>
      <c r="D119" s="104">
        <f t="shared" si="1"/>
        <v>7.0846542568870449E-2</v>
      </c>
      <c r="E119" s="104">
        <v>2.7846542568870453E-2</v>
      </c>
      <c r="F119" s="104">
        <v>0.3</v>
      </c>
    </row>
    <row r="120" spans="1:6" ht="16">
      <c r="A120" s="102" t="s">
        <v>421</v>
      </c>
      <c r="B120" s="106" t="s">
        <v>405</v>
      </c>
      <c r="C120" s="107">
        <v>9.5882201472833571E-3</v>
      </c>
      <c r="D120" s="104">
        <f t="shared" si="1"/>
        <v>0.10187160629364336</v>
      </c>
      <c r="E120" s="107">
        <v>5.8871606293643367E-2</v>
      </c>
      <c r="F120" s="107">
        <v>0.24707349543413576</v>
      </c>
    </row>
    <row r="121" spans="1:6" ht="16">
      <c r="A121" s="102" t="s">
        <v>234</v>
      </c>
      <c r="B121" s="103" t="s">
        <v>358</v>
      </c>
      <c r="C121" s="104">
        <v>7.0808704231754685E-2</v>
      </c>
      <c r="D121" s="104">
        <f t="shared" si="1"/>
        <v>0.13805640765793431</v>
      </c>
      <c r="E121" s="104">
        <v>9.5056407657934314E-2</v>
      </c>
      <c r="F121" s="104">
        <v>0.12</v>
      </c>
    </row>
    <row r="122" spans="1:6" ht="16">
      <c r="A122" s="102" t="s">
        <v>235</v>
      </c>
      <c r="B122" s="103" t="s">
        <v>358</v>
      </c>
      <c r="C122" s="104">
        <v>7.0808704231754685E-2</v>
      </c>
      <c r="D122" s="104">
        <f t="shared" si="1"/>
        <v>0.13805640765793431</v>
      </c>
      <c r="E122" s="104">
        <v>9.5056407657934314E-2</v>
      </c>
      <c r="F122" s="104">
        <v>0.25</v>
      </c>
    </row>
    <row r="123" spans="1:6" ht="16">
      <c r="A123" s="102" t="s">
        <v>236</v>
      </c>
      <c r="B123" s="103" t="s">
        <v>346</v>
      </c>
      <c r="C123" s="104">
        <v>4.9041109802463012E-2</v>
      </c>
      <c r="D123" s="104">
        <f t="shared" si="1"/>
        <v>0.10883472718442828</v>
      </c>
      <c r="E123" s="104">
        <v>6.5834727184428288E-2</v>
      </c>
      <c r="F123" s="104">
        <v>0.15</v>
      </c>
    </row>
    <row r="124" spans="1:6" ht="16">
      <c r="A124" s="102" t="s">
        <v>313</v>
      </c>
      <c r="B124" s="103" t="s">
        <v>354</v>
      </c>
      <c r="C124" s="104">
        <v>2.3944353872220846E-2</v>
      </c>
      <c r="D124" s="104">
        <f t="shared" si="1"/>
        <v>7.5143848520856621E-2</v>
      </c>
      <c r="E124" s="104">
        <v>3.2143848520856624E-2</v>
      </c>
      <c r="F124" s="104">
        <v>0.2853</v>
      </c>
    </row>
    <row r="125" spans="1:6" ht="16">
      <c r="A125" s="102" t="s">
        <v>237</v>
      </c>
      <c r="B125" s="103" t="s">
        <v>366</v>
      </c>
      <c r="C125" s="104">
        <v>2.7273515373171343E-2</v>
      </c>
      <c r="D125" s="104">
        <f t="shared" si="1"/>
        <v>7.9613046710922258E-2</v>
      </c>
      <c r="E125" s="104">
        <v>3.6613046710922262E-2</v>
      </c>
      <c r="F125" s="104">
        <v>0.32</v>
      </c>
    </row>
    <row r="126" spans="1:6" ht="16">
      <c r="A126" s="102" t="s">
        <v>314</v>
      </c>
      <c r="B126" s="103" t="s">
        <v>363</v>
      </c>
      <c r="C126" s="104">
        <v>9.8082219604926024E-2</v>
      </c>
      <c r="D126" s="104">
        <f t="shared" si="1"/>
        <v>0.17466945436885656</v>
      </c>
      <c r="E126" s="104">
        <v>0.13166945436885658</v>
      </c>
      <c r="F126" s="104">
        <v>0.32</v>
      </c>
    </row>
    <row r="127" spans="1:6" ht="16">
      <c r="A127" s="108" t="s">
        <v>378</v>
      </c>
      <c r="B127" s="103" t="s">
        <v>405</v>
      </c>
      <c r="C127" s="104">
        <v>0.10896601681957191</v>
      </c>
      <c r="D127" s="104">
        <f t="shared" si="1"/>
        <v>0.18928029460560963</v>
      </c>
      <c r="E127" s="104">
        <v>0.14628029460560965</v>
      </c>
      <c r="F127" s="104">
        <v>0.25</v>
      </c>
    </row>
    <row r="128" spans="1:6" ht="16">
      <c r="A128" s="102" t="s">
        <v>238</v>
      </c>
      <c r="B128" s="103" t="s">
        <v>346</v>
      </c>
      <c r="C128" s="104">
        <v>4.9041109802463012E-2</v>
      </c>
      <c r="D128" s="104">
        <f t="shared" si="1"/>
        <v>0.10883472718442828</v>
      </c>
      <c r="E128" s="104">
        <v>6.5834727184428288E-2</v>
      </c>
      <c r="F128" s="104">
        <v>0.32</v>
      </c>
    </row>
    <row r="129" spans="1:6" ht="16">
      <c r="A129" s="102" t="s">
        <v>293</v>
      </c>
      <c r="B129" s="103" t="s">
        <v>351</v>
      </c>
      <c r="C129" s="104">
        <v>0</v>
      </c>
      <c r="D129" s="104">
        <f t="shared" si="1"/>
        <v>4.2999999999999997E-2</v>
      </c>
      <c r="E129" s="104">
        <v>0</v>
      </c>
      <c r="F129" s="104">
        <v>0.25800000000000001</v>
      </c>
    </row>
    <row r="130" spans="1:6" ht="16">
      <c r="A130" s="102" t="s">
        <v>422</v>
      </c>
      <c r="B130" s="106" t="s">
        <v>405</v>
      </c>
      <c r="C130" s="107">
        <v>0.1054310997313879</v>
      </c>
      <c r="D130" s="104">
        <f t="shared" si="1"/>
        <v>0.23053488197001548</v>
      </c>
      <c r="E130" s="107">
        <v>0.1875348819700155</v>
      </c>
      <c r="F130" s="107">
        <v>0.2724561140242252</v>
      </c>
    </row>
    <row r="131" spans="1:6" ht="16">
      <c r="A131" s="102" t="s">
        <v>239</v>
      </c>
      <c r="B131" s="103" t="s">
        <v>351</v>
      </c>
      <c r="C131" s="104">
        <v>0</v>
      </c>
      <c r="D131" s="104">
        <f t="shared" si="1"/>
        <v>4.2999999999999997E-2</v>
      </c>
      <c r="E131" s="104">
        <v>0</v>
      </c>
      <c r="F131" s="104">
        <v>0.28000000000000003</v>
      </c>
    </row>
    <row r="132" spans="1:6" ht="16">
      <c r="A132" s="102" t="s">
        <v>240</v>
      </c>
      <c r="B132" s="103" t="s">
        <v>358</v>
      </c>
      <c r="C132" s="104">
        <v>7.0808704231754685E-2</v>
      </c>
      <c r="D132" s="104">
        <f t="shared" si="1"/>
        <v>0.13805640765793431</v>
      </c>
      <c r="E132" s="104">
        <v>9.5056407657934314E-2</v>
      </c>
      <c r="F132" s="104">
        <v>0.3</v>
      </c>
    </row>
    <row r="133" spans="1:6" ht="16">
      <c r="A133" s="102" t="s">
        <v>379</v>
      </c>
      <c r="B133" s="103" t="s">
        <v>363</v>
      </c>
      <c r="C133" s="104">
        <v>9.8082219604926024E-2</v>
      </c>
      <c r="D133" s="104">
        <f t="shared" si="1"/>
        <v>0.17466945436885656</v>
      </c>
      <c r="E133" s="104">
        <v>0.13166945436885658</v>
      </c>
      <c r="F133" s="104">
        <v>0.26860000000000001</v>
      </c>
    </row>
    <row r="134" spans="1:6" ht="16">
      <c r="A134" s="102" t="s">
        <v>294</v>
      </c>
      <c r="B134" s="103" t="s">
        <v>356</v>
      </c>
      <c r="C134" s="104">
        <v>8.1692501446400528E-2</v>
      </c>
      <c r="D134" s="104">
        <f t="shared" ref="D134:D195" si="8">$B$1+E134</f>
        <v>0.15266724789468733</v>
      </c>
      <c r="E134" s="104">
        <v>0.10966724789468733</v>
      </c>
      <c r="F134" s="104">
        <v>0.3</v>
      </c>
    </row>
    <row r="135" spans="1:6" ht="16">
      <c r="A135" s="102" t="s">
        <v>241</v>
      </c>
      <c r="B135" s="103" t="s">
        <v>351</v>
      </c>
      <c r="C135" s="104">
        <v>0</v>
      </c>
      <c r="D135" s="104">
        <f t="shared" si="8"/>
        <v>4.2999999999999997E-2</v>
      </c>
      <c r="E135" s="104">
        <v>0</v>
      </c>
      <c r="F135" s="104">
        <v>0.22</v>
      </c>
    </row>
    <row r="136" spans="1:6" ht="16">
      <c r="A136" s="102" t="s">
        <v>242</v>
      </c>
      <c r="B136" s="103" t="s">
        <v>366</v>
      </c>
      <c r="C136" s="104">
        <v>2.7273515373171343E-2</v>
      </c>
      <c r="D136" s="104">
        <f t="shared" si="8"/>
        <v>7.9613046710922258E-2</v>
      </c>
      <c r="E136" s="104">
        <v>3.6613046710922262E-2</v>
      </c>
      <c r="F136" s="104">
        <v>0.15</v>
      </c>
    </row>
    <row r="137" spans="1:6" ht="16">
      <c r="A137" s="102" t="s">
        <v>243</v>
      </c>
      <c r="B137" s="103" t="s">
        <v>397</v>
      </c>
      <c r="C137" s="104">
        <v>0.10896601681957188</v>
      </c>
      <c r="D137" s="104">
        <f t="shared" si="8"/>
        <v>0.18928029460560963</v>
      </c>
      <c r="E137" s="104">
        <v>0.14628029460560965</v>
      </c>
      <c r="F137" s="104">
        <v>0.28999999999999998</v>
      </c>
    </row>
    <row r="138" spans="1:6" ht="16">
      <c r="A138" s="102" t="s">
        <v>423</v>
      </c>
      <c r="B138" s="106" t="s">
        <v>405</v>
      </c>
      <c r="C138" s="107">
        <v>1.6082653627874467E-2</v>
      </c>
      <c r="D138" s="104">
        <f t="shared" si="8"/>
        <v>0.11058999089248985</v>
      </c>
      <c r="E138" s="107">
        <v>6.7589990892489848E-2</v>
      </c>
      <c r="F138" s="107">
        <v>0.18760152153615242</v>
      </c>
    </row>
    <row r="139" spans="1:6" ht="16">
      <c r="A139" s="102" t="s">
        <v>244</v>
      </c>
      <c r="B139" s="103" t="s">
        <v>348</v>
      </c>
      <c r="C139" s="104">
        <v>2.0743237044383835E-2</v>
      </c>
      <c r="D139" s="104">
        <f t="shared" si="8"/>
        <v>7.0846542568870449E-2</v>
      </c>
      <c r="E139" s="104">
        <v>2.7846542568870453E-2</v>
      </c>
      <c r="F139" s="104">
        <v>0.25</v>
      </c>
    </row>
    <row r="140" spans="1:6" ht="16">
      <c r="A140" s="102" t="s">
        <v>245</v>
      </c>
      <c r="B140" s="103" t="s">
        <v>349</v>
      </c>
      <c r="C140" s="104">
        <v>5.9924907017108855E-2</v>
      </c>
      <c r="D140" s="104">
        <f t="shared" si="8"/>
        <v>0.12344556742118129</v>
      </c>
      <c r="E140" s="104">
        <v>8.0445567421181294E-2</v>
      </c>
      <c r="F140" s="104">
        <v>0.3</v>
      </c>
    </row>
    <row r="141" spans="1:6" ht="16">
      <c r="A141" s="102" t="s">
        <v>246</v>
      </c>
      <c r="B141" s="103" t="s">
        <v>366</v>
      </c>
      <c r="C141" s="104">
        <v>2.7273515373171343E-2</v>
      </c>
      <c r="D141" s="104">
        <f t="shared" si="8"/>
        <v>7.9613046710922258E-2</v>
      </c>
      <c r="E141" s="104">
        <v>3.6613046710922262E-2</v>
      </c>
      <c r="F141" s="104">
        <v>0.1</v>
      </c>
    </row>
    <row r="142" spans="1:6" ht="16">
      <c r="A142" s="102" t="s">
        <v>247</v>
      </c>
      <c r="B142" s="103" t="s">
        <v>350</v>
      </c>
      <c r="C142" s="104">
        <v>1.7414075543433341E-2</v>
      </c>
      <c r="D142" s="104">
        <f t="shared" si="8"/>
        <v>6.6377344378804826E-2</v>
      </c>
      <c r="E142" s="104">
        <v>2.3377344378804829E-2</v>
      </c>
      <c r="F142" s="104">
        <v>0.29499999999999998</v>
      </c>
    </row>
    <row r="143" spans="1:6" ht="16">
      <c r="A143" s="102" t="s">
        <v>248</v>
      </c>
      <c r="B143" s="103" t="s">
        <v>348</v>
      </c>
      <c r="C143" s="104">
        <v>2.0743237044383835E-2</v>
      </c>
      <c r="D143" s="104">
        <f t="shared" si="8"/>
        <v>7.0846542568870449E-2</v>
      </c>
      <c r="E143" s="104">
        <v>2.7846542568870453E-2</v>
      </c>
      <c r="F143" s="104">
        <v>0.25</v>
      </c>
    </row>
    <row r="144" spans="1:6" ht="16">
      <c r="A144" s="102" t="s">
        <v>249</v>
      </c>
      <c r="B144" s="103" t="s">
        <v>360</v>
      </c>
      <c r="C144" s="104">
        <v>9.2192164641705932E-3</v>
      </c>
      <c r="D144" s="104">
        <f t="shared" si="8"/>
        <v>5.5376241141720198E-2</v>
      </c>
      <c r="E144" s="104">
        <v>1.2376241141720201E-2</v>
      </c>
      <c r="F144" s="104">
        <v>0.19</v>
      </c>
    </row>
    <row r="145" spans="1:6" ht="16">
      <c r="A145" s="102" t="s">
        <v>295</v>
      </c>
      <c r="B145" s="103" t="s">
        <v>364</v>
      </c>
      <c r="C145" s="104">
        <v>1.3060556657575006E-2</v>
      </c>
      <c r="D145" s="104">
        <f t="shared" si="8"/>
        <v>6.0533008284103615E-2</v>
      </c>
      <c r="E145" s="104">
        <v>1.7533008284103618E-2</v>
      </c>
      <c r="F145" s="104">
        <v>0.21</v>
      </c>
    </row>
    <row r="146" spans="1:6" ht="16">
      <c r="A146" s="102" t="s">
        <v>250</v>
      </c>
      <c r="B146" s="103" t="s">
        <v>357</v>
      </c>
      <c r="C146" s="104">
        <v>6.5302783287875029E-3</v>
      </c>
      <c r="D146" s="104">
        <f t="shared" si="8"/>
        <v>5.1766504142051806E-2</v>
      </c>
      <c r="E146" s="104">
        <v>8.7665041420518092E-3</v>
      </c>
      <c r="F146" s="104">
        <v>0.1</v>
      </c>
    </row>
    <row r="147" spans="1:6" ht="16">
      <c r="A147" s="102" t="s">
        <v>336</v>
      </c>
      <c r="B147" s="103" t="s">
        <v>364</v>
      </c>
      <c r="C147" s="104">
        <v>1.3060556657575006E-2</v>
      </c>
      <c r="D147" s="104">
        <f t="shared" si="8"/>
        <v>6.0533008284103615E-2</v>
      </c>
      <c r="E147" s="104">
        <v>1.7533008284103618E-2</v>
      </c>
      <c r="F147" s="104">
        <v>0</v>
      </c>
    </row>
    <row r="148" spans="1:6" ht="16">
      <c r="A148" s="102" t="s">
        <v>424</v>
      </c>
      <c r="B148" s="106" t="s">
        <v>405</v>
      </c>
      <c r="C148" s="107">
        <v>1.2518555898193178E-2</v>
      </c>
      <c r="D148" s="104">
        <f t="shared" si="8"/>
        <v>0.10580540500857855</v>
      </c>
      <c r="E148" s="107">
        <v>6.2805405008578549E-2</v>
      </c>
      <c r="F148" s="107">
        <v>0.2576437502455447</v>
      </c>
    </row>
    <row r="149" spans="1:6" ht="16">
      <c r="A149" s="102" t="s">
        <v>251</v>
      </c>
      <c r="B149" s="103" t="s">
        <v>354</v>
      </c>
      <c r="C149" s="104">
        <v>2.3944353872220846E-2</v>
      </c>
      <c r="D149" s="104">
        <f t="shared" si="8"/>
        <v>7.5143848520856621E-2</v>
      </c>
      <c r="E149" s="104">
        <v>3.2143848520856624E-2</v>
      </c>
      <c r="F149" s="104">
        <v>0.16</v>
      </c>
    </row>
    <row r="150" spans="1:6" ht="16">
      <c r="A150" s="102" t="s">
        <v>252</v>
      </c>
      <c r="B150" s="103" t="s">
        <v>405</v>
      </c>
      <c r="C150" s="104">
        <v>4.9041109802463012E-2</v>
      </c>
      <c r="D150" s="104">
        <f t="shared" si="8"/>
        <v>0.10883472718442828</v>
      </c>
      <c r="E150" s="104">
        <v>6.5834727184428288E-2</v>
      </c>
      <c r="F150" s="104">
        <v>0.25</v>
      </c>
    </row>
    <row r="151" spans="1:6" ht="16">
      <c r="A151" s="102" t="s">
        <v>315</v>
      </c>
      <c r="B151" s="103" t="s">
        <v>349</v>
      </c>
      <c r="C151" s="104">
        <v>5.9924907017108855E-2</v>
      </c>
      <c r="D151" s="104">
        <f t="shared" si="8"/>
        <v>0.12344556742118129</v>
      </c>
      <c r="E151" s="104">
        <v>8.0445567421181294E-2</v>
      </c>
      <c r="F151" s="104">
        <v>0.3</v>
      </c>
    </row>
    <row r="152" spans="1:6" ht="16">
      <c r="A152" s="102" t="s">
        <v>425</v>
      </c>
      <c r="B152" s="106" t="s">
        <v>405</v>
      </c>
      <c r="C152" s="107">
        <v>0.1054310997313879</v>
      </c>
      <c r="D152" s="104">
        <f t="shared" si="8"/>
        <v>0.23053488197001548</v>
      </c>
      <c r="E152" s="107">
        <v>0.1875348819700155</v>
      </c>
      <c r="F152" s="107">
        <v>0.2724561140242252</v>
      </c>
    </row>
    <row r="153" spans="1:6" ht="16">
      <c r="A153" s="102" t="s">
        <v>253</v>
      </c>
      <c r="B153" s="103" t="s">
        <v>362</v>
      </c>
      <c r="C153" s="104">
        <v>7.6826803868088279E-3</v>
      </c>
      <c r="D153" s="104">
        <f t="shared" si="8"/>
        <v>5.3313534284766831E-2</v>
      </c>
      <c r="E153" s="104">
        <v>1.0313534284766834E-2</v>
      </c>
      <c r="F153" s="104">
        <v>0.2</v>
      </c>
    </row>
    <row r="154" spans="1:6" ht="16">
      <c r="A154" s="102" t="s">
        <v>254</v>
      </c>
      <c r="B154" s="103" t="s">
        <v>355</v>
      </c>
      <c r="C154" s="104">
        <v>3.9181669972725021E-2</v>
      </c>
      <c r="D154" s="104">
        <f t="shared" si="8"/>
        <v>9.5599024852310852E-2</v>
      </c>
      <c r="E154" s="104">
        <v>5.2599024852310855E-2</v>
      </c>
      <c r="F154" s="104">
        <v>0.3</v>
      </c>
    </row>
    <row r="155" spans="1:6" ht="16">
      <c r="A155" s="102" t="s">
        <v>316</v>
      </c>
      <c r="B155" s="103" t="s">
        <v>353</v>
      </c>
      <c r="C155" s="104">
        <v>3.2779436317050999E-2</v>
      </c>
      <c r="D155" s="104">
        <f t="shared" si="8"/>
        <v>8.7004412948338494E-2</v>
      </c>
      <c r="E155" s="104">
        <v>4.4004412948338498E-2</v>
      </c>
      <c r="F155" s="104">
        <v>0.15</v>
      </c>
    </row>
    <row r="156" spans="1:6" ht="16">
      <c r="A156" s="102" t="s">
        <v>337</v>
      </c>
      <c r="B156" s="103" t="s">
        <v>366</v>
      </c>
      <c r="C156" s="104">
        <v>2.7273515373171343E-2</v>
      </c>
      <c r="D156" s="104">
        <f t="shared" si="8"/>
        <v>7.9613046710922258E-2</v>
      </c>
      <c r="E156" s="104">
        <v>3.6613046710922262E-2</v>
      </c>
      <c r="F156" s="104">
        <v>0</v>
      </c>
    </row>
    <row r="157" spans="1:6" ht="16">
      <c r="A157" s="105" t="s">
        <v>380</v>
      </c>
      <c r="B157" s="103" t="s">
        <v>405</v>
      </c>
      <c r="C157" s="104">
        <v>0.10896601681957191</v>
      </c>
      <c r="D157" s="104">
        <f t="shared" si="8"/>
        <v>0.18928029460560963</v>
      </c>
      <c r="E157" s="104">
        <v>0.14628029460560965</v>
      </c>
      <c r="F157" s="104">
        <v>0.3</v>
      </c>
    </row>
    <row r="158" spans="1:6" ht="16">
      <c r="A158" s="102" t="s">
        <v>255</v>
      </c>
      <c r="B158" s="103" t="s">
        <v>351</v>
      </c>
      <c r="C158" s="104">
        <v>0</v>
      </c>
      <c r="D158" s="104">
        <f t="shared" si="8"/>
        <v>4.2999999999999997E-2</v>
      </c>
      <c r="E158" s="104">
        <v>0</v>
      </c>
      <c r="F158" s="104">
        <v>0.17</v>
      </c>
    </row>
    <row r="159" spans="1:6" ht="16">
      <c r="A159" s="102" t="s">
        <v>256</v>
      </c>
      <c r="B159" s="103" t="s">
        <v>360</v>
      </c>
      <c r="C159" s="104">
        <v>9.2192164641705932E-3</v>
      </c>
      <c r="D159" s="104">
        <f t="shared" si="8"/>
        <v>5.5376241141720198E-2</v>
      </c>
      <c r="E159" s="104">
        <v>1.2376241141720201E-2</v>
      </c>
      <c r="F159" s="104">
        <v>0.21</v>
      </c>
    </row>
    <row r="160" spans="1:6" ht="16">
      <c r="A160" s="102" t="s">
        <v>296</v>
      </c>
      <c r="B160" s="103" t="s">
        <v>364</v>
      </c>
      <c r="C160" s="104">
        <v>1.3060556657575006E-2</v>
      </c>
      <c r="D160" s="104">
        <f t="shared" si="8"/>
        <v>6.0533008284103615E-2</v>
      </c>
      <c r="E160" s="104">
        <v>1.7533008284103618E-2</v>
      </c>
      <c r="F160" s="104">
        <v>0.19</v>
      </c>
    </row>
    <row r="161" spans="1:6" ht="16">
      <c r="A161" s="102" t="s">
        <v>381</v>
      </c>
      <c r="B161" s="103" t="s">
        <v>356</v>
      </c>
      <c r="C161" s="104">
        <v>8.1692501446400528E-2</v>
      </c>
      <c r="D161" s="104">
        <f t="shared" si="8"/>
        <v>0.15266724789468733</v>
      </c>
      <c r="E161" s="104">
        <v>0.10966724789468733</v>
      </c>
      <c r="F161" s="104">
        <v>0.3</v>
      </c>
    </row>
    <row r="162" spans="1:6" ht="16">
      <c r="A162" s="108" t="s">
        <v>382</v>
      </c>
      <c r="B162" s="103" t="s">
        <v>405</v>
      </c>
      <c r="C162" s="104">
        <v>0.13073361124886354</v>
      </c>
      <c r="D162" s="104">
        <f t="shared" si="8"/>
        <v>0.21850197507911562</v>
      </c>
      <c r="E162" s="104">
        <v>0.17550197507911564</v>
      </c>
      <c r="F162" s="104">
        <v>0.29149999999999998</v>
      </c>
    </row>
    <row r="163" spans="1:6" ht="16">
      <c r="A163" s="102" t="s">
        <v>257</v>
      </c>
      <c r="B163" s="103" t="s">
        <v>353</v>
      </c>
      <c r="C163" s="104">
        <v>3.2779436317050999E-2</v>
      </c>
      <c r="D163" s="104">
        <f t="shared" si="8"/>
        <v>8.7004412948338494E-2</v>
      </c>
      <c r="E163" s="104">
        <v>4.4004412948338498E-2</v>
      </c>
      <c r="F163" s="104">
        <v>0.27</v>
      </c>
    </row>
    <row r="164" spans="1:6" ht="16">
      <c r="A164" s="102" t="s">
        <v>426</v>
      </c>
      <c r="B164" s="103" t="s">
        <v>345</v>
      </c>
      <c r="C164" s="104">
        <v>5.3778762707661788E-3</v>
      </c>
      <c r="D164" s="104">
        <f t="shared" si="8"/>
        <v>5.0219473999336781E-2</v>
      </c>
      <c r="E164" s="104">
        <v>7.219473999336784E-3</v>
      </c>
      <c r="F164" s="104">
        <v>0.25</v>
      </c>
    </row>
    <row r="165" spans="1:6" ht="16">
      <c r="A165" s="102" t="s">
        <v>258</v>
      </c>
      <c r="B165" s="103" t="s">
        <v>350</v>
      </c>
      <c r="C165" s="104">
        <v>1.7414075543433341E-2</v>
      </c>
      <c r="D165" s="104">
        <f t="shared" si="8"/>
        <v>6.6377344378804826E-2</v>
      </c>
      <c r="E165" s="104">
        <v>2.3377344378804829E-2</v>
      </c>
      <c r="F165" s="104">
        <v>0.25</v>
      </c>
    </row>
    <row r="166" spans="1:6" ht="16">
      <c r="A166" s="102" t="s">
        <v>259</v>
      </c>
      <c r="B166" s="103" t="s">
        <v>396</v>
      </c>
      <c r="C166" s="104">
        <v>0.13073361124886354</v>
      </c>
      <c r="D166" s="104">
        <f t="shared" si="8"/>
        <v>0.21850197507911562</v>
      </c>
      <c r="E166" s="104">
        <v>0.17550197507911564</v>
      </c>
      <c r="F166" s="104">
        <v>0.24</v>
      </c>
    </row>
    <row r="167" spans="1:6" ht="16">
      <c r="A167" s="102" t="s">
        <v>297</v>
      </c>
      <c r="B167" s="103" t="s">
        <v>353</v>
      </c>
      <c r="C167" s="104">
        <v>3.2779436317050999E-2</v>
      </c>
      <c r="D167" s="104">
        <f t="shared" si="8"/>
        <v>8.7004412948338494E-2</v>
      </c>
      <c r="E167" s="104">
        <v>4.4004412948338498E-2</v>
      </c>
      <c r="F167" s="104">
        <v>0.2853</v>
      </c>
    </row>
    <row r="168" spans="1:6" ht="16">
      <c r="A168" s="102" t="s">
        <v>260</v>
      </c>
      <c r="B168" s="103" t="s">
        <v>358</v>
      </c>
      <c r="C168" s="104">
        <v>7.0808704231754685E-2</v>
      </c>
      <c r="D168" s="104">
        <f t="shared" si="8"/>
        <v>0.13805640765793431</v>
      </c>
      <c r="E168" s="104">
        <v>9.5056407657934314E-2</v>
      </c>
      <c r="F168" s="104">
        <v>0.2853</v>
      </c>
    </row>
    <row r="169" spans="1:6" ht="16">
      <c r="A169" s="105" t="s">
        <v>383</v>
      </c>
      <c r="B169" s="103" t="s">
        <v>405</v>
      </c>
      <c r="C169" s="104">
        <v>0.17499999999999999</v>
      </c>
      <c r="D169" s="104">
        <f t="shared" si="8"/>
        <v>0.27792692770782934</v>
      </c>
      <c r="E169" s="104">
        <v>0.23492692770782936</v>
      </c>
      <c r="F169" s="104">
        <v>0.35</v>
      </c>
    </row>
    <row r="170" spans="1:6" ht="16">
      <c r="A170" s="102" t="s">
        <v>261</v>
      </c>
      <c r="B170" s="103" t="s">
        <v>397</v>
      </c>
      <c r="C170" s="104">
        <v>0.10896601681957188</v>
      </c>
      <c r="D170" s="104">
        <f t="shared" si="8"/>
        <v>0.18928029460560963</v>
      </c>
      <c r="E170" s="104">
        <v>0.14628029460560965</v>
      </c>
      <c r="F170" s="104">
        <v>0.36</v>
      </c>
    </row>
    <row r="171" spans="1:6" ht="16">
      <c r="A171" s="102" t="s">
        <v>384</v>
      </c>
      <c r="B171" s="103" t="s">
        <v>358</v>
      </c>
      <c r="C171" s="104">
        <v>7.0808704231754685E-2</v>
      </c>
      <c r="D171" s="104">
        <f t="shared" si="8"/>
        <v>0.13805640765793431</v>
      </c>
      <c r="E171" s="104">
        <v>9.5056407657934314E-2</v>
      </c>
      <c r="F171" s="104">
        <v>0.27500000000000002</v>
      </c>
    </row>
    <row r="172" spans="1:6" ht="16">
      <c r="A172" s="102" t="s">
        <v>262</v>
      </c>
      <c r="B172" s="103" t="s">
        <v>351</v>
      </c>
      <c r="C172" s="104">
        <v>0</v>
      </c>
      <c r="D172" s="104">
        <f t="shared" si="8"/>
        <v>4.2999999999999997E-2</v>
      </c>
      <c r="E172" s="104">
        <v>0</v>
      </c>
      <c r="F172" s="104">
        <v>0.20600000000000002</v>
      </c>
    </row>
    <row r="173" spans="1:6" ht="16">
      <c r="A173" s="102" t="s">
        <v>263</v>
      </c>
      <c r="B173" s="103" t="s">
        <v>351</v>
      </c>
      <c r="C173" s="104">
        <v>0</v>
      </c>
      <c r="D173" s="104">
        <f t="shared" si="8"/>
        <v>4.2999999999999997E-2</v>
      </c>
      <c r="E173" s="104">
        <v>0</v>
      </c>
      <c r="F173" s="104">
        <v>0.14599999999999999</v>
      </c>
    </row>
    <row r="174" spans="1:6" ht="16">
      <c r="A174" s="108" t="s">
        <v>385</v>
      </c>
      <c r="B174" s="103" t="s">
        <v>405</v>
      </c>
      <c r="C174" s="104">
        <v>0.17499999999999999</v>
      </c>
      <c r="D174" s="104">
        <f t="shared" si="8"/>
        <v>0.27792692770782934</v>
      </c>
      <c r="E174" s="104">
        <v>0.23492692770782936</v>
      </c>
      <c r="F174" s="104">
        <v>0.28000000000000003</v>
      </c>
    </row>
    <row r="175" spans="1:6" ht="16">
      <c r="A175" s="102" t="s">
        <v>264</v>
      </c>
      <c r="B175" s="103" t="s">
        <v>357</v>
      </c>
      <c r="C175" s="104">
        <v>6.5302783287875029E-3</v>
      </c>
      <c r="D175" s="104">
        <f t="shared" si="8"/>
        <v>5.1766504142051806E-2</v>
      </c>
      <c r="E175" s="104">
        <v>8.7665041420518092E-3</v>
      </c>
      <c r="F175" s="104">
        <v>0.2</v>
      </c>
    </row>
    <row r="176" spans="1:6" ht="16">
      <c r="A176" s="102" t="s">
        <v>386</v>
      </c>
      <c r="B176" s="103" t="s">
        <v>358</v>
      </c>
      <c r="C176" s="104">
        <v>7.0808704231754685E-2</v>
      </c>
      <c r="D176" s="104">
        <f t="shared" si="8"/>
        <v>0.13805640765793431</v>
      </c>
      <c r="E176" s="104">
        <v>9.5056407657934314E-2</v>
      </c>
      <c r="F176" s="104">
        <v>0.18</v>
      </c>
    </row>
    <row r="177" spans="1:6" ht="16">
      <c r="A177" s="102" t="s">
        <v>387</v>
      </c>
      <c r="B177" s="103" t="s">
        <v>349</v>
      </c>
      <c r="C177" s="104">
        <v>5.9924907017108855E-2</v>
      </c>
      <c r="D177" s="104">
        <f t="shared" si="8"/>
        <v>0.12344556742118129</v>
      </c>
      <c r="E177" s="104">
        <v>8.0445567421181294E-2</v>
      </c>
      <c r="F177" s="104">
        <v>0.3</v>
      </c>
    </row>
    <row r="178" spans="1:6" ht="16">
      <c r="A178" s="102" t="s">
        <v>265</v>
      </c>
      <c r="B178" s="103" t="s">
        <v>350</v>
      </c>
      <c r="C178" s="104">
        <v>1.7414075543433341E-2</v>
      </c>
      <c r="D178" s="104">
        <f t="shared" si="8"/>
        <v>6.6377344378804826E-2</v>
      </c>
      <c r="E178" s="104">
        <v>2.3377344378804829E-2</v>
      </c>
      <c r="F178" s="104">
        <v>0.2</v>
      </c>
    </row>
    <row r="179" spans="1:6" ht="16">
      <c r="A179" s="102" t="s">
        <v>388</v>
      </c>
      <c r="B179" s="103" t="s">
        <v>358</v>
      </c>
      <c r="C179" s="104">
        <v>7.0808704231754685E-2</v>
      </c>
      <c r="D179" s="104">
        <f t="shared" si="8"/>
        <v>0.13805640765793431</v>
      </c>
      <c r="E179" s="104">
        <v>9.5056407657934314E-2</v>
      </c>
      <c r="F179" s="104">
        <v>0.26860000000000001</v>
      </c>
    </row>
    <row r="180" spans="1:6" ht="16">
      <c r="A180" s="102" t="s">
        <v>427</v>
      </c>
      <c r="B180" s="103" t="s">
        <v>353</v>
      </c>
      <c r="C180" s="104">
        <v>3.2779436317050999E-2</v>
      </c>
      <c r="D180" s="104">
        <f t="shared" si="8"/>
        <v>8.7004412948338494E-2</v>
      </c>
      <c r="E180" s="104">
        <v>4.4004412948338498E-2</v>
      </c>
      <c r="F180" s="104">
        <v>0.3</v>
      </c>
    </row>
    <row r="181" spans="1:6" ht="16">
      <c r="A181" s="102" t="s">
        <v>266</v>
      </c>
      <c r="B181" s="103" t="s">
        <v>363</v>
      </c>
      <c r="C181" s="104">
        <v>9.8082219604926024E-2</v>
      </c>
      <c r="D181" s="104">
        <f t="shared" si="8"/>
        <v>0.17466945436885656</v>
      </c>
      <c r="E181" s="104">
        <v>0.13166945436885658</v>
      </c>
      <c r="F181" s="104">
        <v>0.15</v>
      </c>
    </row>
    <row r="182" spans="1:6" ht="16">
      <c r="A182" s="102" t="s">
        <v>267</v>
      </c>
      <c r="B182" s="103" t="s">
        <v>358</v>
      </c>
      <c r="C182" s="104">
        <v>7.0808704231754685E-2</v>
      </c>
      <c r="D182" s="104">
        <f t="shared" si="8"/>
        <v>0.13805640765793431</v>
      </c>
      <c r="E182" s="104">
        <v>9.5056407657934314E-2</v>
      </c>
      <c r="F182" s="104">
        <v>0.25</v>
      </c>
    </row>
    <row r="183" spans="1:6" ht="16">
      <c r="A183" s="110" t="s">
        <v>428</v>
      </c>
      <c r="B183" s="103" t="s">
        <v>350</v>
      </c>
      <c r="C183" s="104">
        <v>1.7414075543433341E-2</v>
      </c>
      <c r="D183" s="104">
        <f t="shared" si="8"/>
        <v>6.6377344378804826E-2</v>
      </c>
      <c r="E183" s="104">
        <v>2.3377344378804829E-2</v>
      </c>
      <c r="F183" s="104">
        <v>0</v>
      </c>
    </row>
    <row r="184" spans="1:6" ht="16">
      <c r="A184" s="102" t="s">
        <v>317</v>
      </c>
      <c r="B184" s="103" t="s">
        <v>349</v>
      </c>
      <c r="C184" s="104">
        <v>5.9924907017108855E-2</v>
      </c>
      <c r="D184" s="104">
        <f t="shared" si="8"/>
        <v>0.12344556742118129</v>
      </c>
      <c r="E184" s="104">
        <v>8.0445567421181294E-2</v>
      </c>
      <c r="F184" s="104">
        <v>0.3</v>
      </c>
    </row>
    <row r="185" spans="1:6" ht="16">
      <c r="A185" s="102" t="s">
        <v>268</v>
      </c>
      <c r="B185" s="103" t="s">
        <v>396</v>
      </c>
      <c r="C185" s="104">
        <v>0.13073361124886354</v>
      </c>
      <c r="D185" s="104">
        <f t="shared" si="8"/>
        <v>0.21850197507911562</v>
      </c>
      <c r="E185" s="104">
        <v>0.17550197507911564</v>
      </c>
      <c r="F185" s="104">
        <v>0.18</v>
      </c>
    </row>
    <row r="186" spans="1:6" ht="16">
      <c r="A186" s="102" t="s">
        <v>269</v>
      </c>
      <c r="B186" s="103" t="s">
        <v>345</v>
      </c>
      <c r="C186" s="104">
        <v>5.3778762707661788E-3</v>
      </c>
      <c r="D186" s="104">
        <f t="shared" si="8"/>
        <v>5.0219473999336781E-2</v>
      </c>
      <c r="E186" s="104">
        <v>7.219473999336784E-3</v>
      </c>
      <c r="F186" s="104">
        <v>0.25</v>
      </c>
    </row>
    <row r="187" spans="1:6" ht="16">
      <c r="A187" s="102" t="s">
        <v>270</v>
      </c>
      <c r="B187" s="103" t="s">
        <v>357</v>
      </c>
      <c r="C187" s="104">
        <v>6.5302783287875029E-3</v>
      </c>
      <c r="D187" s="104">
        <f t="shared" si="8"/>
        <v>5.1766504142051806E-2</v>
      </c>
      <c r="E187" s="104">
        <v>8.7665041420518092E-3</v>
      </c>
      <c r="F187" s="104">
        <v>0.25</v>
      </c>
    </row>
    <row r="188" spans="1:6" ht="16">
      <c r="A188" s="102" t="s">
        <v>342</v>
      </c>
      <c r="B188" s="103" t="s">
        <v>351</v>
      </c>
      <c r="C188" s="104">
        <v>0</v>
      </c>
      <c r="D188" s="104">
        <f t="shared" si="8"/>
        <v>4.2999999999999997E-2</v>
      </c>
      <c r="E188" s="104">
        <v>0</v>
      </c>
      <c r="F188" s="104">
        <v>0.25</v>
      </c>
    </row>
    <row r="189" spans="1:6" ht="16">
      <c r="A189" s="102" t="s">
        <v>271</v>
      </c>
      <c r="B189" s="103" t="s">
        <v>348</v>
      </c>
      <c r="C189" s="104">
        <v>2.0743237044383835E-2</v>
      </c>
      <c r="D189" s="104">
        <f t="shared" si="8"/>
        <v>7.0846542568870449E-2</v>
      </c>
      <c r="E189" s="104">
        <v>2.7846542568870453E-2</v>
      </c>
      <c r="F189" s="104">
        <v>0.25</v>
      </c>
    </row>
    <row r="190" spans="1:6" ht="16">
      <c r="A190" s="102" t="s">
        <v>402</v>
      </c>
      <c r="B190" s="103" t="s">
        <v>355</v>
      </c>
      <c r="C190" s="104">
        <v>3.9181669972725021E-2</v>
      </c>
      <c r="D190" s="104">
        <f t="shared" si="8"/>
        <v>9.5599024852310852E-2</v>
      </c>
      <c r="E190" s="104">
        <v>5.2599024852310855E-2</v>
      </c>
      <c r="F190" s="104">
        <v>0.15</v>
      </c>
    </row>
    <row r="191" spans="1:6" ht="16">
      <c r="A191" s="102" t="s">
        <v>272</v>
      </c>
      <c r="B191" s="103" t="s">
        <v>392</v>
      </c>
      <c r="C191" s="104">
        <v>0.17499999999999999</v>
      </c>
      <c r="D191" s="104">
        <f t="shared" si="8"/>
        <v>0.27792692770782934</v>
      </c>
      <c r="E191" s="104">
        <v>0.23492692770782936</v>
      </c>
      <c r="F191" s="104">
        <v>0.34</v>
      </c>
    </row>
    <row r="192" spans="1:6" ht="16">
      <c r="A192" s="102" t="s">
        <v>273</v>
      </c>
      <c r="B192" s="103" t="s">
        <v>353</v>
      </c>
      <c r="C192" s="104">
        <v>3.2779436317050999E-2</v>
      </c>
      <c r="D192" s="104">
        <f t="shared" si="8"/>
        <v>8.7004412948338494E-2</v>
      </c>
      <c r="E192" s="104">
        <v>4.4004412948338498E-2</v>
      </c>
      <c r="F192" s="104">
        <v>0.2</v>
      </c>
    </row>
    <row r="193" spans="1:6" ht="16">
      <c r="A193" s="105" t="s">
        <v>429</v>
      </c>
      <c r="B193" s="103" t="s">
        <v>405</v>
      </c>
      <c r="C193" s="104">
        <v>0.10896601681957191</v>
      </c>
      <c r="D193" s="104">
        <f t="shared" si="8"/>
        <v>0.18928029460560963</v>
      </c>
      <c r="E193" s="104">
        <v>0.14628029460560965</v>
      </c>
      <c r="F193" s="104">
        <v>0.2</v>
      </c>
    </row>
    <row r="194" spans="1:6" ht="16">
      <c r="A194" s="102" t="s">
        <v>298</v>
      </c>
      <c r="B194" s="103" t="s">
        <v>397</v>
      </c>
      <c r="C194" s="104">
        <v>0.10896601681957188</v>
      </c>
      <c r="D194" s="104">
        <f t="shared" si="8"/>
        <v>0.18928029460560963</v>
      </c>
      <c r="E194" s="104">
        <v>0.14628029460560965</v>
      </c>
      <c r="F194" s="104">
        <v>0.35</v>
      </c>
    </row>
    <row r="195" spans="1:6" ht="16">
      <c r="A195" s="108" t="s">
        <v>389</v>
      </c>
      <c r="B195" s="103" t="s">
        <v>405</v>
      </c>
      <c r="C195" s="104">
        <v>9.8082219604926024E-2</v>
      </c>
      <c r="D195" s="104">
        <f t="shared" si="8"/>
        <v>0.17466945436885656</v>
      </c>
      <c r="E195" s="104">
        <v>0.13166945436885658</v>
      </c>
      <c r="F195" s="104">
        <v>0.25</v>
      </c>
    </row>
    <row r="200" spans="1:6">
      <c r="A200" s="111" t="s">
        <v>170</v>
      </c>
      <c r="B200" s="112" t="s">
        <v>403</v>
      </c>
      <c r="C200" s="112" t="s">
        <v>406</v>
      </c>
      <c r="D200" s="112" t="s">
        <v>407</v>
      </c>
      <c r="E200" s="112" t="s">
        <v>408</v>
      </c>
    </row>
    <row r="201" spans="1:6">
      <c r="A201" s="113" t="s">
        <v>174</v>
      </c>
      <c r="B201" s="107">
        <f>$B$1+E201</f>
        <v>0.13463852306889545</v>
      </c>
      <c r="C201" s="107">
        <v>6.8262679351091926E-2</v>
      </c>
      <c r="D201" s="107">
        <v>0.27302836489005694</v>
      </c>
      <c r="E201" s="107">
        <v>9.1638523068895444E-2</v>
      </c>
    </row>
    <row r="202" spans="1:6">
      <c r="A202" s="113" t="s">
        <v>281</v>
      </c>
      <c r="B202" s="107">
        <f t="shared" ref="B202:B210" si="9">$B$1+E202</f>
        <v>5.980540500857856E-2</v>
      </c>
      <c r="C202" s="107">
        <v>1.2518555898193178E-2</v>
      </c>
      <c r="D202" s="107">
        <v>0.2576437502455447</v>
      </c>
      <c r="E202" s="107">
        <v>1.6805405008578567E-2</v>
      </c>
    </row>
    <row r="203" spans="1:6">
      <c r="A203" s="113" t="s">
        <v>179</v>
      </c>
      <c r="B203" s="107">
        <f t="shared" si="9"/>
        <v>4.3047923618641931E-2</v>
      </c>
      <c r="C203" s="107">
        <v>3.5698901544265913E-5</v>
      </c>
      <c r="D203" s="107">
        <v>0.29744361328762281</v>
      </c>
      <c r="E203" s="107">
        <v>4.7923618641935289E-5</v>
      </c>
    </row>
    <row r="204" spans="1:6">
      <c r="A204" s="113" t="s">
        <v>183</v>
      </c>
      <c r="B204" s="107">
        <f t="shared" si="9"/>
        <v>0.1845348819700155</v>
      </c>
      <c r="C204" s="107">
        <v>0.1054310997313879</v>
      </c>
      <c r="D204" s="107">
        <v>0.2724561140242252</v>
      </c>
      <c r="E204" s="107">
        <v>0.14153488197001549</v>
      </c>
    </row>
    <row r="205" spans="1:6">
      <c r="A205" s="113" t="s">
        <v>176</v>
      </c>
      <c r="B205" s="107">
        <f t="shared" si="9"/>
        <v>0.10061091058162494</v>
      </c>
      <c r="C205" s="107">
        <v>4.2915086193622262E-2</v>
      </c>
      <c r="D205" s="107">
        <v>0.31595749426030023</v>
      </c>
      <c r="E205" s="107">
        <v>5.7610910581624951E-2</v>
      </c>
    </row>
    <row r="206" spans="1:6">
      <c r="A206" s="113" t="s">
        <v>172</v>
      </c>
      <c r="B206" s="107">
        <f t="shared" si="9"/>
        <v>9.357938347719226E-2</v>
      </c>
      <c r="C206" s="107">
        <v>3.7670398345457844E-2</v>
      </c>
      <c r="D206" s="107">
        <v>0.18485819102180306</v>
      </c>
      <c r="E206" s="107">
        <v>5.0579383477192263E-2</v>
      </c>
    </row>
    <row r="207" spans="1:6">
      <c r="A207" s="113" t="s">
        <v>185</v>
      </c>
      <c r="B207" s="107">
        <f t="shared" si="9"/>
        <v>6.4589990892489846E-2</v>
      </c>
      <c r="C207" s="107">
        <v>1.6082653627874467E-2</v>
      </c>
      <c r="D207" s="107">
        <v>0.18760152153615242</v>
      </c>
      <c r="E207" s="107">
        <v>2.1589990892489853E-2</v>
      </c>
    </row>
    <row r="208" spans="1:6">
      <c r="A208" s="113" t="s">
        <v>198</v>
      </c>
      <c r="B208" s="107">
        <f t="shared" si="9"/>
        <v>4.2999999999999997E-2</v>
      </c>
      <c r="C208" s="107">
        <v>0</v>
      </c>
      <c r="D208" s="107">
        <v>0.25116286561170831</v>
      </c>
      <c r="E208" s="107">
        <v>0</v>
      </c>
    </row>
    <row r="209" spans="1:5">
      <c r="A209" s="113" t="s">
        <v>180</v>
      </c>
      <c r="B209" s="107">
        <f t="shared" si="9"/>
        <v>5.5871606293643364E-2</v>
      </c>
      <c r="C209" s="107">
        <v>9.5882201472833571E-3</v>
      </c>
      <c r="D209" s="107">
        <v>0.24707349543413576</v>
      </c>
      <c r="E209" s="107">
        <v>1.2871606293643371E-2</v>
      </c>
    </row>
    <row r="210" spans="1:5">
      <c r="A210" s="113" t="s">
        <v>338</v>
      </c>
      <c r="B210" s="107">
        <f t="shared" si="9"/>
        <v>6.1100000000000002E-2</v>
      </c>
      <c r="C210" s="107">
        <v>1.35E-2</v>
      </c>
      <c r="D210" s="107">
        <v>0.25225942509764748</v>
      </c>
      <c r="E210" s="107">
        <v>1.8100000000000002E-2</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16"/>
  <sheetViews>
    <sheetView workbookViewId="0">
      <selection activeCell="B17" sqref="B17"/>
    </sheetView>
  </sheetViews>
  <sheetFormatPr baseColWidth="10" defaultRowHeight="14"/>
  <sheetData>
    <row r="1" spans="1:2">
      <c r="A1" s="82" t="s">
        <v>398</v>
      </c>
    </row>
    <row r="2" spans="1:2">
      <c r="A2" s="82" t="s">
        <v>49</v>
      </c>
      <c r="B2">
        <v>1</v>
      </c>
    </row>
    <row r="3" spans="1:2">
      <c r="A3" s="82" t="s">
        <v>44</v>
      </c>
      <c r="B3">
        <v>2</v>
      </c>
    </row>
    <row r="4" spans="1:2">
      <c r="B4">
        <v>3</v>
      </c>
    </row>
    <row r="5" spans="1:2">
      <c r="B5">
        <v>4</v>
      </c>
    </row>
    <row r="6" spans="1:2">
      <c r="B6">
        <v>5</v>
      </c>
    </row>
    <row r="7" spans="1:2">
      <c r="B7">
        <v>6</v>
      </c>
    </row>
    <row r="8" spans="1:2">
      <c r="B8">
        <v>7</v>
      </c>
    </row>
    <row r="9" spans="1:2">
      <c r="B9">
        <v>8</v>
      </c>
    </row>
    <row r="10" spans="1:2">
      <c r="B10">
        <v>9</v>
      </c>
    </row>
    <row r="11" spans="1:2">
      <c r="B11">
        <v>10</v>
      </c>
    </row>
    <row r="12" spans="1:2">
      <c r="B12">
        <v>11</v>
      </c>
    </row>
    <row r="13" spans="1:2">
      <c r="B13">
        <v>12</v>
      </c>
    </row>
    <row r="14" spans="1:2">
      <c r="B14">
        <v>13</v>
      </c>
    </row>
    <row r="15" spans="1:2">
      <c r="B15">
        <v>14</v>
      </c>
    </row>
    <row r="16" spans="1:2">
      <c r="B16">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Read me first</vt:lpstr>
      <vt:lpstr>Inputs</vt:lpstr>
      <vt:lpstr>Input summary</vt:lpstr>
      <vt:lpstr>FCFE Valuation</vt:lpstr>
      <vt:lpstr>Normalized Earnings</vt:lpstr>
      <vt:lpstr>Normalized Reinvestment</vt:lpstr>
      <vt:lpstr>R&amp;D converter</vt:lpstr>
      <vt:lpstr>Beta calculator</vt:lpstr>
      <vt:lpstr>ERP calculator</vt:lpstr>
      <vt:lpstr>Industry averages</vt:lpstr>
      <vt:lpstr>Country ERP</vt:lpstr>
      <vt:lpstr>Input Choices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2000-04-06T19:14:27Z</dcterms:created>
  <dcterms:modified xsi:type="dcterms:W3CDTF">2025-01-25T01:14:35Z</dcterms:modified>
</cp:coreProperties>
</file>