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BF19050F-F42F-6F48-9562-529D6B532BC3}" xr6:coauthVersionLast="47" xr6:coauthVersionMax="47" xr10:uidLastSave="{00000000-0000-0000-0000-000000000000}"/>
  <bookViews>
    <workbookView xWindow="0" yWindow="500" windowWidth="29800" windowHeight="17260" tabRatio="500" activeTab="1" xr2:uid="{00000000-000D-0000-FFFF-FFFF00000000}"/>
  </bookViews>
  <sheets>
    <sheet name="Inputs" sheetId="1" r:id="rId1"/>
    <sheet name="Valuation" sheetId="5" r:id="rId2"/>
    <sheet name="Input choices" sheetId="3" r:id="rId3"/>
  </sheets>
  <calcPr calcId="191029" iterate="1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7" i="1" l="1"/>
  <c r="C32" i="5" s="1"/>
  <c r="D32" i="5" s="1"/>
  <c r="B32" i="5"/>
  <c r="B19" i="1"/>
  <c r="B48" i="5"/>
  <c r="B21" i="5"/>
  <c r="C22" i="5"/>
  <c r="C21" i="5"/>
  <c r="D22" i="5"/>
  <c r="C3" i="5"/>
  <c r="B4" i="5"/>
  <c r="C4" i="5"/>
  <c r="D4" i="5" s="1"/>
  <c r="B5" i="1"/>
  <c r="B5" i="5"/>
  <c r="B6" i="5" s="1"/>
  <c r="C5" i="5"/>
  <c r="B8" i="5"/>
  <c r="L8" i="5"/>
  <c r="M8" i="5"/>
  <c r="N8" i="5"/>
  <c r="O8" i="5"/>
  <c r="P8" i="5"/>
  <c r="Q8" i="5"/>
  <c r="R8" i="5"/>
  <c r="S8" i="5"/>
  <c r="T8" i="5" s="1"/>
  <c r="U8" i="5" s="1"/>
  <c r="V8" i="5" s="1"/>
  <c r="B33" i="1"/>
  <c r="D3" i="5"/>
  <c r="E3" i="5"/>
  <c r="F3" i="5"/>
  <c r="G3" i="5"/>
  <c r="H3" i="5"/>
  <c r="I3" i="5"/>
  <c r="J3" i="5"/>
  <c r="K3" i="5"/>
  <c r="L3" i="5"/>
  <c r="B17" i="5"/>
  <c r="B35" i="1"/>
  <c r="B31" i="5"/>
  <c r="B25" i="1"/>
  <c r="B43" i="5"/>
  <c r="B44" i="5"/>
  <c r="B46" i="5"/>
  <c r="M2" i="5"/>
  <c r="M3" i="5" s="1"/>
  <c r="N2" i="5"/>
  <c r="N3" i="5" s="1"/>
  <c r="O2" i="5"/>
  <c r="O3" i="5" s="1"/>
  <c r="P2" i="5"/>
  <c r="P3" i="5" s="1"/>
  <c r="Q2" i="5"/>
  <c r="Q3" i="5" s="1"/>
  <c r="R2" i="5"/>
  <c r="S2" i="5" s="1"/>
  <c r="L30" i="5"/>
  <c r="K30" i="5"/>
  <c r="J30" i="5"/>
  <c r="I30" i="5"/>
  <c r="H30" i="5"/>
  <c r="G30" i="5"/>
  <c r="F30" i="5"/>
  <c r="E30" i="5"/>
  <c r="D30" i="5"/>
  <c r="C30" i="5"/>
  <c r="B30" i="5"/>
  <c r="G10" i="1"/>
  <c r="G5" i="1"/>
  <c r="G9" i="1"/>
  <c r="G4" i="1"/>
  <c r="C5" i="1"/>
  <c r="B11" i="5"/>
  <c r="B13" i="5"/>
  <c r="C8" i="5"/>
  <c r="D8" i="5"/>
  <c r="E8" i="5"/>
  <c r="F8" i="5"/>
  <c r="G8" i="5" s="1"/>
  <c r="H8" i="5" s="1"/>
  <c r="I8" i="5" s="1"/>
  <c r="J8" i="5" s="1"/>
  <c r="K8" i="5" s="1"/>
  <c r="C31" i="5"/>
  <c r="C33" i="5" s="1"/>
  <c r="C35" i="5" s="1"/>
  <c r="D31" i="5"/>
  <c r="E31" i="5"/>
  <c r="F31" i="5"/>
  <c r="G31" i="5"/>
  <c r="H31" i="5"/>
  <c r="I31" i="5" s="1"/>
  <c r="D21" i="5"/>
  <c r="E22" i="5"/>
  <c r="E21" i="5"/>
  <c r="F22" i="5" s="1"/>
  <c r="E4" i="5" l="1"/>
  <c r="T2" i="5"/>
  <c r="S3" i="5"/>
  <c r="J31" i="5"/>
  <c r="I33" i="5"/>
  <c r="I35" i="5" s="1"/>
  <c r="C7" i="5"/>
  <c r="C9" i="5" s="1"/>
  <c r="C10" i="5" s="1"/>
  <c r="B7" i="5"/>
  <c r="B9" i="5" s="1"/>
  <c r="C6" i="5"/>
  <c r="D6" i="5" s="1"/>
  <c r="E6" i="5" s="1"/>
  <c r="F6" i="5" s="1"/>
  <c r="G6" i="5" s="1"/>
  <c r="H6" i="5" s="1"/>
  <c r="I6" i="5" s="1"/>
  <c r="J6" i="5" s="1"/>
  <c r="K6" i="5" s="1"/>
  <c r="L6" i="5" s="1"/>
  <c r="M6" i="5" s="1"/>
  <c r="N6" i="5" s="1"/>
  <c r="O6" i="5" s="1"/>
  <c r="P6" i="5" s="1"/>
  <c r="Q6" i="5" s="1"/>
  <c r="R6" i="5" s="1"/>
  <c r="S6" i="5" s="1"/>
  <c r="T6" i="5" s="1"/>
  <c r="U6" i="5" s="1"/>
  <c r="V6" i="5" s="1"/>
  <c r="E32" i="5"/>
  <c r="F32" i="5" s="1"/>
  <c r="G32" i="5" s="1"/>
  <c r="H32" i="5" s="1"/>
  <c r="I32" i="5" s="1"/>
  <c r="J32" i="5" s="1"/>
  <c r="K32" i="5" s="1"/>
  <c r="L32" i="5" s="1"/>
  <c r="D33" i="5"/>
  <c r="D35" i="5" s="1"/>
  <c r="F21" i="5"/>
  <c r="R3" i="5"/>
  <c r="D5" i="5"/>
  <c r="H33" i="5"/>
  <c r="H35" i="5" s="1"/>
  <c r="E5" i="5" l="1"/>
  <c r="D7" i="5"/>
  <c r="D9" i="5" s="1"/>
  <c r="D10" i="5" s="1"/>
  <c r="F4" i="5"/>
  <c r="J33" i="5"/>
  <c r="J35" i="5" s="1"/>
  <c r="K31" i="5"/>
  <c r="U2" i="5"/>
  <c r="T3" i="5"/>
  <c r="E33" i="5"/>
  <c r="E35" i="5" s="1"/>
  <c r="G22" i="5"/>
  <c r="G21" i="5" s="1"/>
  <c r="G33" i="5"/>
  <c r="G35" i="5" s="1"/>
  <c r="F33" i="5"/>
  <c r="F35" i="5" s="1"/>
  <c r="H22" i="5" l="1"/>
  <c r="U3" i="5"/>
  <c r="V2" i="5"/>
  <c r="V3" i="5" s="1"/>
  <c r="E7" i="5"/>
  <c r="E9" i="5" s="1"/>
  <c r="E10" i="5" s="1"/>
  <c r="F5" i="5"/>
  <c r="L31" i="5"/>
  <c r="L33" i="5" s="1"/>
  <c r="K33" i="5"/>
  <c r="K35" i="5" s="1"/>
  <c r="G4" i="5"/>
  <c r="F7" i="5" l="1"/>
  <c r="F9" i="5" s="1"/>
  <c r="F10" i="5" s="1"/>
  <c r="G5" i="5"/>
  <c r="L34" i="5"/>
  <c r="L35" i="5" s="1"/>
  <c r="H4" i="5"/>
  <c r="H21" i="5"/>
  <c r="B41" i="5" l="1"/>
  <c r="B36" i="5"/>
  <c r="G46" i="1" s="1"/>
  <c r="H5" i="5"/>
  <c r="G7" i="5"/>
  <c r="G9" i="5" s="1"/>
  <c r="G10" i="5" s="1"/>
  <c r="I4" i="5"/>
  <c r="I22" i="5"/>
  <c r="I21" i="5"/>
  <c r="J22" i="5" l="1"/>
  <c r="J21" i="5"/>
  <c r="H7" i="5"/>
  <c r="H9" i="5" s="1"/>
  <c r="H10" i="5" s="1"/>
  <c r="I5" i="5"/>
  <c r="J4" i="5"/>
  <c r="K4" i="5" l="1"/>
  <c r="I7" i="5"/>
  <c r="I9" i="5" s="1"/>
  <c r="I10" i="5" s="1"/>
  <c r="J5" i="5"/>
  <c r="K22" i="5"/>
  <c r="K21" i="5"/>
  <c r="L22" i="5" l="1"/>
  <c r="J7" i="5"/>
  <c r="J9" i="5" s="1"/>
  <c r="J10" i="5" s="1"/>
  <c r="K5" i="5"/>
  <c r="L4" i="5"/>
  <c r="L5" i="5" l="1"/>
  <c r="K7" i="5"/>
  <c r="K9" i="5" s="1"/>
  <c r="K10" i="5" s="1"/>
  <c r="M4" i="5"/>
  <c r="L21" i="5"/>
  <c r="G8" i="1" l="1"/>
  <c r="G3" i="1"/>
  <c r="N4" i="5"/>
  <c r="L7" i="5"/>
  <c r="L9" i="5" s="1"/>
  <c r="L10" i="5" s="1"/>
  <c r="M5" i="5"/>
  <c r="N5" i="5" l="1"/>
  <c r="M7" i="5"/>
  <c r="M9" i="5" s="1"/>
  <c r="M10" i="5" s="1"/>
  <c r="O4" i="5"/>
  <c r="P4" i="5" l="1"/>
  <c r="O5" i="5"/>
  <c r="N7" i="5"/>
  <c r="N9" i="5" s="1"/>
  <c r="N10" i="5" s="1"/>
  <c r="P5" i="5" l="1"/>
  <c r="O7" i="5"/>
  <c r="O9" i="5" s="1"/>
  <c r="O10" i="5" s="1"/>
  <c r="Q4" i="5"/>
  <c r="R4" i="5" l="1"/>
  <c r="P7" i="5"/>
  <c r="P9" i="5" s="1"/>
  <c r="P10" i="5" s="1"/>
  <c r="Q5" i="5"/>
  <c r="Q7" i="5" l="1"/>
  <c r="Q9" i="5" s="1"/>
  <c r="Q10" i="5" s="1"/>
  <c r="R5" i="5"/>
  <c r="S4" i="5"/>
  <c r="T4" i="5" l="1"/>
  <c r="S5" i="5"/>
  <c r="R7" i="5"/>
  <c r="R9" i="5" s="1"/>
  <c r="R10" i="5" s="1"/>
  <c r="S7" i="5" l="1"/>
  <c r="S9" i="5" s="1"/>
  <c r="S10" i="5" s="1"/>
  <c r="T5" i="5"/>
  <c r="U4" i="5"/>
  <c r="T7" i="5" l="1"/>
  <c r="T9" i="5" s="1"/>
  <c r="T10" i="5" s="1"/>
  <c r="U5" i="5"/>
  <c r="V4" i="5"/>
  <c r="U7" i="5" l="1"/>
  <c r="U9" i="5" s="1"/>
  <c r="U10" i="5" s="1"/>
  <c r="V5" i="5"/>
  <c r="V7" i="5" s="1"/>
  <c r="V9" i="5" s="1"/>
  <c r="V10" i="5" s="1"/>
  <c r="B12" i="5" s="1"/>
  <c r="F44" i="1" l="1"/>
  <c r="B18" i="5"/>
  <c r="B39" i="5"/>
  <c r="B14" i="5"/>
  <c r="G44" i="1" s="1"/>
  <c r="F45" i="1" l="1"/>
  <c r="B23" i="5"/>
  <c r="C23" i="5" s="1"/>
  <c r="D23" i="5" l="1"/>
  <c r="C24" i="5"/>
  <c r="C26" i="5" s="1"/>
  <c r="E23" i="5" l="1"/>
  <c r="D24" i="5"/>
  <c r="D26" i="5" s="1"/>
  <c r="F23" i="5" l="1"/>
  <c r="E24" i="5"/>
  <c r="E26" i="5" s="1"/>
  <c r="G23" i="5" l="1"/>
  <c r="F24" i="5"/>
  <c r="F26" i="5" s="1"/>
  <c r="H23" i="5" l="1"/>
  <c r="G24" i="5"/>
  <c r="G26" i="5" s="1"/>
  <c r="I23" i="5" l="1"/>
  <c r="H24" i="5"/>
  <c r="H26" i="5" s="1"/>
  <c r="J23" i="5" l="1"/>
  <c r="I24" i="5"/>
  <c r="I26" i="5" s="1"/>
  <c r="K23" i="5" l="1"/>
  <c r="J24" i="5"/>
  <c r="J26" i="5" s="1"/>
  <c r="L23" i="5" l="1"/>
  <c r="K24" i="5"/>
  <c r="K26" i="5" s="1"/>
  <c r="L24" i="5" l="1"/>
  <c r="L25" i="5"/>
  <c r="L26" i="5" s="1"/>
  <c r="B40" i="5" l="1"/>
  <c r="B27" i="5"/>
  <c r="G45" i="1" s="1"/>
  <c r="B42" i="5" l="1"/>
  <c r="B45" i="5"/>
  <c r="G47" i="1" l="1"/>
  <c r="B47" i="5"/>
  <c r="B49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12" authorId="0" shapeId="0" xr:uid="{00000000-0006-0000-01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expected life of a user who does not renew is set to 25% of the projected life (an approximation). With 15 years and a 95% renewal rate for instance, the actual expected life is 3.41 years.</t>
        </r>
      </text>
    </comment>
  </commentList>
</comments>
</file>

<file path=xl/sharedStrings.xml><?xml version="1.0" encoding="utf-8"?>
<sst xmlns="http://schemas.openxmlformats.org/spreadsheetml/2006/main" count="158" uniqueCount="141">
  <si>
    <t>Most Recent</t>
  </si>
  <si>
    <t>Prior year</t>
  </si>
  <si>
    <t>Operating Information</t>
  </si>
  <si>
    <t>Macroeconomic Data</t>
  </si>
  <si>
    <t>Risk free Rate</t>
  </si>
  <si>
    <t>Cost of capital (existing users)</t>
  </si>
  <si>
    <t>Cost of capital (new users)</t>
  </si>
  <si>
    <t>Existing User Data</t>
  </si>
  <si>
    <t>Base Year</t>
  </si>
  <si>
    <t>Value per new user (in today's $) =</t>
  </si>
  <si>
    <t>Inflation Rate</t>
  </si>
  <si>
    <t xml:space="preserve">Present Value </t>
  </si>
  <si>
    <t>Yes or No</t>
  </si>
  <si>
    <t>Yes</t>
  </si>
  <si>
    <t>No</t>
  </si>
  <si>
    <t>All dollar values in millions</t>
  </si>
  <si>
    <t>Cost of capital</t>
  </si>
  <si>
    <t>Lowest decile of US companies (7%)</t>
  </si>
  <si>
    <t>25th percentile of US companies (7.5%)</t>
  </si>
  <si>
    <t>Median of US companies (8%)</t>
  </si>
  <si>
    <t>75th percentile of US companies (10%)</t>
  </si>
  <si>
    <t>Ninth decile of US companies (12%)</t>
  </si>
  <si>
    <t>Direct input</t>
  </si>
  <si>
    <t>Cost of capital for existing users (input choice)</t>
  </si>
  <si>
    <t>Cost of capital for new users (input choice)</t>
  </si>
  <si>
    <t>G&amp;A Data</t>
  </si>
  <si>
    <t>Notes/Comments</t>
  </si>
  <si>
    <t>Number of users , with growth over last year</t>
  </si>
  <si>
    <t>Do not input</t>
  </si>
  <si>
    <t>A1. Grow at same rate as total users</t>
  </si>
  <si>
    <t>A2. Grow at inflation rate</t>
  </si>
  <si>
    <t>A3. Grow at risk free rate</t>
  </si>
  <si>
    <t>A4. Direct Input</t>
  </si>
  <si>
    <t>B6. Direct input</t>
  </si>
  <si>
    <t>Value Added by New Users</t>
  </si>
  <si>
    <t>Value Drag of Corporate Expenses (Cost)</t>
  </si>
  <si>
    <t>After-tax Corporate Expenses</t>
  </si>
  <si>
    <t>Terminal Value (Corporate Exp)</t>
  </si>
  <si>
    <t>PV of Corporate Expenses</t>
  </si>
  <si>
    <t>Input cell</t>
  </si>
  <si>
    <t>Computed Value</t>
  </si>
  <si>
    <t>Value Drag of Corporate Expenses</t>
  </si>
  <si>
    <t>Valuation Output Summary</t>
  </si>
  <si>
    <t>Value per user</t>
  </si>
  <si>
    <t>Aggregate Value</t>
  </si>
  <si>
    <t>Category</t>
  </si>
  <si>
    <t xml:space="preserve"> - Debt</t>
  </si>
  <si>
    <t>Membership Survival</t>
  </si>
  <si>
    <t>Tax rate</t>
  </si>
  <si>
    <t>Effective tax rate (current)</t>
  </si>
  <si>
    <t>Effective tax rate (steady state)</t>
  </si>
  <si>
    <t xml:space="preserve">Life Indicator </t>
  </si>
  <si>
    <t>After-tax Operating Income</t>
  </si>
  <si>
    <t>Present Value (at Cost of Capital)</t>
  </si>
  <si>
    <t>Growth rate in # Members (Years 1-5)</t>
  </si>
  <si>
    <t>Growth rate in # Members (Years 6-10)</t>
  </si>
  <si>
    <t>Effective tax rate in most recent year</t>
  </si>
  <si>
    <t>Effective tax rate in steady state</t>
  </si>
  <si>
    <t xml:space="preserve"> - PV of Corporate Expenses</t>
  </si>
  <si>
    <t>Allocated Costs</t>
  </si>
  <si>
    <t>Annual Renewal Probability</t>
  </si>
  <si>
    <t>Annual Subscription Revenue/ Subscriber</t>
  </si>
  <si>
    <t>Cost of Capital (in euros)</t>
  </si>
  <si>
    <t>Life of subscriber =</t>
  </si>
  <si>
    <t>Value per Subscriber =</t>
  </si>
  <si>
    <t xml:space="preserve"> + Cash &amp; Cross Holdings</t>
  </si>
  <si>
    <t>Value of Equity</t>
  </si>
  <si>
    <t>Other Company Data</t>
  </si>
  <si>
    <t>Cash &amp; Marketable Securities</t>
  </si>
  <si>
    <t>Cross Holdings in Other Companies</t>
  </si>
  <si>
    <t>Debt Outstanding</t>
  </si>
  <si>
    <t>Revenue/Subscriber</t>
  </si>
  <si>
    <t>Operating Profit/Loss per Subscriber</t>
  </si>
  <si>
    <t>Total Subscribers</t>
  </si>
  <si>
    <t>New Subscribers</t>
  </si>
  <si>
    <t>Value per Subscriber</t>
  </si>
  <si>
    <t>Value added by new Subscribers</t>
  </si>
  <si>
    <t>Terminal Value (New Subscribers)</t>
  </si>
  <si>
    <t>B1. Lowest decile of Global  companies (7%)</t>
  </si>
  <si>
    <t>b2. 25th percentile of Global companies (7.5%)</t>
  </si>
  <si>
    <t>B3. Median of Global companies (8.5%)</t>
  </si>
  <si>
    <t>B4. 75th percentile of Global companies (10%)</t>
  </si>
  <si>
    <t>B5. Ninth decile of Global companies (12%)</t>
  </si>
  <si>
    <t>Subscription Revenues/ # Users</t>
  </si>
  <si>
    <t>Growth rate in Subscription Charge</t>
  </si>
  <si>
    <t>Growth rate in Content Cost/Subscriber</t>
  </si>
  <si>
    <t>New User Information</t>
  </si>
  <si>
    <t>Content cost as % of subscription revenues (starting year)</t>
  </si>
  <si>
    <t>Typical subscriber life with company</t>
  </si>
  <si>
    <t>Annual Renewal probability (assumed to be constant over time)</t>
  </si>
  <si>
    <t>Growth Rate in Subscription Charge/Subscriber</t>
  </si>
  <si>
    <t>Growth Rate option for total other costs</t>
  </si>
  <si>
    <t>DO NOT INPUT</t>
  </si>
  <si>
    <t>Total Revenues from Advertising (most recent year)</t>
  </si>
  <si>
    <t>Growth rate in advertising revenues - Years 1-5</t>
  </si>
  <si>
    <t>Growth rate in advertising revenues - Years 6-10</t>
  </si>
  <si>
    <t>Cost of capital option (for existing subscribers)</t>
  </si>
  <si>
    <t>Cost of capital option (for new subscribers</t>
  </si>
  <si>
    <t>Cash and Marketable Securities</t>
  </si>
  <si>
    <t>Minority Cross Holdings</t>
  </si>
  <si>
    <t>Total Debt Outstanding</t>
  </si>
  <si>
    <t>Growth rate in # Members after year 10</t>
  </si>
  <si>
    <t>Value of Existing Subscribers</t>
  </si>
  <si>
    <t>Value of New Subscribers</t>
  </si>
  <si>
    <t>Equity Options oustanding (value)</t>
  </si>
  <si>
    <t xml:space="preserve"> - Value of Equity Options</t>
  </si>
  <si>
    <t>Value of Equity in common stock</t>
  </si>
  <si>
    <t>Value of Equity Options outstanding</t>
  </si>
  <si>
    <t>Total cost of acquiring new users in most recent year</t>
  </si>
  <si>
    <t>Customer Servicing Cost as % of revenues</t>
  </si>
  <si>
    <t>Lifetime of a Netflix Subscriber (in years)</t>
  </si>
  <si>
    <t>Growth rate in Service Cost/Subscriber</t>
  </si>
  <si>
    <t>Content Costs</t>
  </si>
  <si>
    <t>Content Cost Growth</t>
  </si>
  <si>
    <t>Valuing Netflix</t>
  </si>
  <si>
    <t>Number of Subscribers =</t>
  </si>
  <si>
    <t>Value of Existing Subscribers =</t>
  </si>
  <si>
    <t xml:space="preserve"> Number of Shares</t>
  </si>
  <si>
    <t>Value per Share</t>
  </si>
  <si>
    <t>Number of Shares outstanding</t>
  </si>
  <si>
    <t>Technology &amp; Content Costs</t>
  </si>
  <si>
    <t>Growth rate in content costs for next 10 years</t>
  </si>
  <si>
    <t>Number of  Subscribers</t>
  </si>
  <si>
    <t>Cost of Acquiring a New Subscriber</t>
  </si>
  <si>
    <t>Technology &amp; Development</t>
  </si>
  <si>
    <t>Value of Netflix</t>
  </si>
  <si>
    <t>Existing Subscribers</t>
  </si>
  <si>
    <t>Percentage of Content Costs directly attributed to subscribers</t>
  </si>
  <si>
    <t>Technology and Development Cost</t>
  </si>
  <si>
    <t>Technology &amp; Development Cost</t>
  </si>
  <si>
    <t>Cost/ Subscriber</t>
  </si>
  <si>
    <t>Content costs in income statement</t>
  </si>
  <si>
    <t>Selling and Marketing Cost + Capitalized Content Costs</t>
  </si>
  <si>
    <t>Growth Rate in # Subscribers - Years 1-5</t>
  </si>
  <si>
    <t>Growth Rate in # Subscribers - Years 6-10</t>
  </si>
  <si>
    <t>Growth Rate in # Subscribers after year 10</t>
  </si>
  <si>
    <t>Growth rate approach for technology &amp; development costs</t>
  </si>
  <si>
    <t>Growth rate in tech development costs for next 10 years</t>
  </si>
  <si>
    <t>Tech/Dev Cost Growth</t>
  </si>
  <si>
    <t>Growth rate approach for non-subscriber related Content</t>
  </si>
  <si>
    <t>Value of Operating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</si>
</sst>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&quot;$&quot;#,##0.00"/>
    <numFmt numFmtId="165" formatCode="&quot;$&quot;#,##0"/>
    <numFmt numFmtId="166" formatCode="0.000%"/>
    <numFmt numFmtId="167" formatCode="0.0000"/>
    <numFmt numFmtId="168" formatCode="0.0%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auto="1"/>
      </bottom>
      <diagonal/>
    </border>
  </borders>
  <cellStyleXfs count="1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44" fontId="0" fillId="0" borderId="0" xfId="0" applyNumberForma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0" fontId="0" fillId="0" borderId="2" xfId="0" applyNumberFormat="1" applyBorder="1"/>
    <xf numFmtId="10" fontId="0" fillId="2" borderId="2" xfId="0" applyNumberFormat="1" applyFill="1" applyBorder="1"/>
    <xf numFmtId="0" fontId="3" fillId="0" borderId="0" xfId="0" applyFont="1" applyAlignment="1">
      <alignment horizontal="center"/>
    </xf>
    <xf numFmtId="44" fontId="0" fillId="3" borderId="2" xfId="1" applyFont="1" applyFill="1" applyBorder="1"/>
    <xf numFmtId="44" fontId="0" fillId="3" borderId="2" xfId="0" applyNumberFormat="1" applyFill="1" applyBorder="1"/>
    <xf numFmtId="2" fontId="0" fillId="3" borderId="2" xfId="0" applyNumberFormat="1" applyFill="1" applyBorder="1"/>
    <xf numFmtId="0" fontId="0" fillId="3" borderId="2" xfId="0" applyFill="1" applyBorder="1" applyAlignment="1">
      <alignment horizontal="center"/>
    </xf>
    <xf numFmtId="2" fontId="0" fillId="3" borderId="2" xfId="0" applyNumberFormat="1" applyFill="1" applyBorder="1" applyAlignment="1">
      <alignment horizontal="center"/>
    </xf>
    <xf numFmtId="164" fontId="0" fillId="3" borderId="2" xfId="1" applyNumberFormat="1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44" fontId="2" fillId="3" borderId="2" xfId="1" applyFont="1" applyFill="1" applyBorder="1" applyAlignment="1">
      <alignment horizontal="center"/>
    </xf>
    <xf numFmtId="0" fontId="0" fillId="3" borderId="4" xfId="0" applyFill="1" applyBorder="1"/>
    <xf numFmtId="2" fontId="0" fillId="2" borderId="2" xfId="0" applyNumberFormat="1" applyFill="1" applyBorder="1" applyAlignment="1">
      <alignment horizontal="center"/>
    </xf>
    <xf numFmtId="164" fontId="0" fillId="3" borderId="2" xfId="1" applyNumberFormat="1" applyFont="1" applyFill="1" applyBorder="1"/>
    <xf numFmtId="164" fontId="0" fillId="3" borderId="2" xfId="0" applyNumberFormat="1" applyFill="1" applyBorder="1"/>
    <xf numFmtId="2" fontId="0" fillId="2" borderId="2" xfId="0" applyNumberFormat="1" applyFill="1" applyBorder="1" applyAlignment="1" applyProtection="1">
      <alignment horizontal="center"/>
      <protection locked="0"/>
    </xf>
    <xf numFmtId="10" fontId="0" fillId="2" borderId="2" xfId="2" applyNumberFormat="1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10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1" applyNumberFormat="1" applyFont="1" applyFill="1" applyBorder="1" applyAlignment="1" applyProtection="1">
      <alignment horizontal="center"/>
      <protection locked="0"/>
    </xf>
    <xf numFmtId="9" fontId="0" fillId="2" borderId="2" xfId="0" applyNumberFormat="1" applyFill="1" applyBorder="1" applyAlignment="1" applyProtection="1">
      <alignment horizontal="center"/>
      <protection locked="0"/>
    </xf>
    <xf numFmtId="9" fontId="0" fillId="0" borderId="0" xfId="0" applyNumberFormat="1" applyAlignment="1" applyProtection="1">
      <alignment horizontal="center"/>
      <protection locked="0"/>
    </xf>
    <xf numFmtId="10" fontId="0" fillId="3" borderId="2" xfId="2" applyNumberFormat="1" applyFont="1" applyFill="1" applyBorder="1" applyAlignment="1" applyProtection="1">
      <alignment horizontal="center"/>
    </xf>
    <xf numFmtId="0" fontId="2" fillId="0" borderId="0" xfId="0" applyFont="1" applyAlignment="1">
      <alignment horizontal="center"/>
    </xf>
    <xf numFmtId="10" fontId="0" fillId="0" borderId="2" xfId="2" applyNumberFormat="1" applyFont="1" applyFill="1" applyBorder="1"/>
    <xf numFmtId="0" fontId="0" fillId="2" borderId="2" xfId="0" applyFill="1" applyBorder="1" applyAlignment="1" applyProtection="1">
      <alignment horizontal="center"/>
      <protection locked="0"/>
    </xf>
    <xf numFmtId="10" fontId="0" fillId="3" borderId="2" xfId="0" applyNumberFormat="1" applyFill="1" applyBorder="1" applyAlignment="1" applyProtection="1">
      <alignment horizontal="center"/>
      <protection locked="0"/>
    </xf>
    <xf numFmtId="44" fontId="2" fillId="3" borderId="0" xfId="1" applyFont="1" applyFill="1" applyBorder="1" applyAlignment="1">
      <alignment horizontal="center"/>
    </xf>
    <xf numFmtId="0" fontId="2" fillId="0" borderId="6" xfId="0" applyFont="1" applyBorder="1"/>
    <xf numFmtId="0" fontId="0" fillId="3" borderId="4" xfId="0" applyFill="1" applyBorder="1" applyAlignment="1">
      <alignment horizontal="center"/>
    </xf>
    <xf numFmtId="0" fontId="2" fillId="0" borderId="3" xfId="0" applyFont="1" applyBorder="1"/>
    <xf numFmtId="2" fontId="0" fillId="3" borderId="4" xfId="1" applyNumberFormat="1" applyFont="1" applyFill="1" applyBorder="1"/>
    <xf numFmtId="44" fontId="2" fillId="3" borderId="1" xfId="1" applyFont="1" applyFill="1" applyBorder="1"/>
    <xf numFmtId="44" fontId="2" fillId="3" borderId="1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164" fontId="0" fillId="0" borderId="0" xfId="0" applyNumberFormat="1"/>
    <xf numFmtId="164" fontId="2" fillId="3" borderId="1" xfId="0" applyNumberFormat="1" applyFont="1" applyFill="1" applyBorder="1"/>
    <xf numFmtId="0" fontId="3" fillId="3" borderId="8" xfId="0" applyFont="1" applyFill="1" applyBorder="1"/>
    <xf numFmtId="0" fontId="3" fillId="3" borderId="9" xfId="0" applyFont="1" applyFill="1" applyBorder="1" applyAlignment="1">
      <alignment horizontal="center"/>
    </xf>
    <xf numFmtId="165" fontId="0" fillId="3" borderId="11" xfId="0" applyNumberFormat="1" applyFill="1" applyBorder="1" applyAlignment="1">
      <alignment horizontal="center"/>
    </xf>
    <xf numFmtId="0" fontId="2" fillId="3" borderId="13" xfId="0" applyFont="1" applyFill="1" applyBorder="1"/>
    <xf numFmtId="165" fontId="2" fillId="3" borderId="14" xfId="0" applyNumberFormat="1" applyFont="1" applyFill="1" applyBorder="1" applyAlignment="1">
      <alignment horizontal="center"/>
    </xf>
    <xf numFmtId="10" fontId="0" fillId="3" borderId="2" xfId="0" applyNumberFormat="1" applyFill="1" applyBorder="1"/>
    <xf numFmtId="0" fontId="2" fillId="4" borderId="0" xfId="0" applyFont="1" applyFill="1" applyAlignment="1">
      <alignment horizontal="center"/>
    </xf>
    <xf numFmtId="0" fontId="0" fillId="0" borderId="15" xfId="0" applyBorder="1"/>
    <xf numFmtId="0" fontId="0" fillId="4" borderId="2" xfId="0" applyFill="1" applyBorder="1"/>
    <xf numFmtId="0" fontId="3" fillId="0" borderId="7" xfId="0" applyFont="1" applyBorder="1"/>
    <xf numFmtId="0" fontId="0" fillId="0" borderId="10" xfId="0" applyBorder="1"/>
    <xf numFmtId="0" fontId="2" fillId="0" borderId="12" xfId="0" applyFont="1" applyBorder="1"/>
    <xf numFmtId="164" fontId="0" fillId="2" borderId="2" xfId="1" applyNumberFormat="1" applyFont="1" applyFill="1" applyBorder="1" applyAlignment="1" applyProtection="1">
      <alignment horizontal="center"/>
      <protection locked="0"/>
    </xf>
    <xf numFmtId="164" fontId="0" fillId="2" borderId="2" xfId="1" applyNumberFormat="1" applyFont="1" applyFill="1" applyBorder="1" applyAlignment="1">
      <alignment horizontal="center"/>
    </xf>
    <xf numFmtId="164" fontId="0" fillId="3" borderId="0" xfId="1" applyNumberFormat="1" applyFont="1" applyFill="1" applyBorder="1"/>
    <xf numFmtId="164" fontId="0" fillId="2" borderId="2" xfId="2" applyNumberFormat="1" applyFont="1" applyFill="1" applyBorder="1" applyAlignment="1" applyProtection="1">
      <alignment horizontal="center"/>
      <protection locked="0"/>
    </xf>
    <xf numFmtId="44" fontId="0" fillId="3" borderId="0" xfId="1" applyFont="1" applyFill="1"/>
    <xf numFmtId="166" fontId="0" fillId="3" borderId="0" xfId="0" applyNumberFormat="1" applyFill="1"/>
    <xf numFmtId="10" fontId="0" fillId="3" borderId="0" xfId="0" applyNumberFormat="1" applyFill="1"/>
    <xf numFmtId="0" fontId="0" fillId="4" borderId="0" xfId="0" applyFill="1"/>
    <xf numFmtId="164" fontId="0" fillId="0" borderId="2" xfId="2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167" fontId="0" fillId="0" borderId="2" xfId="0" applyNumberFormat="1" applyBorder="1"/>
    <xf numFmtId="168" fontId="0" fillId="2" borderId="2" xfId="0" applyNumberFormat="1" applyFill="1" applyBorder="1" applyAlignment="1" applyProtection="1">
      <alignment horizontal="center"/>
      <protection locked="0"/>
    </xf>
    <xf numFmtId="9" fontId="0" fillId="2" borderId="0" xfId="0" applyNumberFormat="1" applyFill="1" applyAlignment="1" applyProtection="1">
      <alignment horizontal="center"/>
      <protection locked="0"/>
    </xf>
    <xf numFmtId="164" fontId="0" fillId="0" borderId="0" xfId="0" applyNumberFormat="1" applyAlignment="1">
      <alignment horizontal="center"/>
    </xf>
    <xf numFmtId="167" fontId="0" fillId="3" borderId="2" xfId="0" applyNumberFormat="1" applyFill="1" applyBorder="1" applyAlignment="1">
      <alignment horizontal="center"/>
    </xf>
    <xf numFmtId="10" fontId="0" fillId="2" borderId="2" xfId="2" applyNumberFormat="1" applyFont="1" applyFill="1" applyBorder="1" applyAlignment="1">
      <alignment horizontal="center"/>
    </xf>
    <xf numFmtId="0" fontId="0" fillId="4" borderId="2" xfId="0" applyFill="1" applyBorder="1" applyAlignment="1">
      <alignment wrapText="1"/>
    </xf>
    <xf numFmtId="0" fontId="0" fillId="0" borderId="0" xfId="0" applyAlignment="1">
      <alignment wrapText="1"/>
    </xf>
    <xf numFmtId="0" fontId="0" fillId="4" borderId="2" xfId="0" applyFill="1" applyBorder="1" applyAlignment="1">
      <alignment horizontal="left"/>
    </xf>
    <xf numFmtId="44" fontId="0" fillId="2" borderId="2" xfId="1" applyFont="1" applyFill="1" applyBorder="1" applyAlignment="1">
      <alignment horizontal="center"/>
    </xf>
    <xf numFmtId="10" fontId="0" fillId="0" borderId="0" xfId="0" applyNumberFormat="1" applyAlignment="1" applyProtection="1">
      <alignment horizontal="center"/>
      <protection locked="0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0" fillId="2" borderId="2" xfId="0" applyFill="1" applyBorder="1" applyAlignment="1">
      <alignment horizontal="center"/>
    </xf>
    <xf numFmtId="164" fontId="2" fillId="3" borderId="2" xfId="0" applyNumberFormat="1" applyFont="1" applyFill="1" applyBorder="1"/>
    <xf numFmtId="0" fontId="0" fillId="0" borderId="5" xfId="0" applyBorder="1"/>
    <xf numFmtId="10" fontId="0" fillId="2" borderId="5" xfId="0" applyNumberFormat="1" applyFill="1" applyBorder="1"/>
    <xf numFmtId="9" fontId="0" fillId="2" borderId="2" xfId="2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7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  <cellStyle name="Percent" xfId="2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zoomScale="63" zoomScaleNormal="63" zoomScalePageLayoutView="75" workbookViewId="0">
      <selection activeCell="B21" sqref="B21"/>
    </sheetView>
  </sheetViews>
  <sheetFormatPr baseColWidth="10" defaultRowHeight="16" x14ac:dyDescent="0.2"/>
  <cols>
    <col min="1" max="1" width="56" customWidth="1"/>
    <col min="2" max="2" width="42.6640625" style="5" customWidth="1"/>
    <col min="3" max="3" width="21.6640625" style="5" customWidth="1"/>
    <col min="5" max="5" width="64" customWidth="1"/>
    <col min="6" max="6" width="45.33203125" customWidth="1"/>
    <col min="7" max="7" width="14.83203125" customWidth="1"/>
    <col min="8" max="8" width="33.83203125" customWidth="1"/>
  </cols>
  <sheetData>
    <row r="1" spans="1:7" x14ac:dyDescent="0.2">
      <c r="A1" s="42" t="s">
        <v>39</v>
      </c>
      <c r="B1" s="41" t="s">
        <v>40</v>
      </c>
    </row>
    <row r="2" spans="1:7" x14ac:dyDescent="0.2">
      <c r="A2" s="1" t="s">
        <v>2</v>
      </c>
      <c r="E2" s="51" t="s">
        <v>26</v>
      </c>
      <c r="F2" s="86" t="s">
        <v>138</v>
      </c>
      <c r="G2" s="86"/>
    </row>
    <row r="3" spans="1:7" x14ac:dyDescent="0.2">
      <c r="A3" s="8" t="s">
        <v>15</v>
      </c>
      <c r="B3" s="4" t="s">
        <v>0</v>
      </c>
      <c r="C3" s="4" t="s">
        <v>1</v>
      </c>
      <c r="E3" s="64"/>
      <c r="F3" s="52" t="s">
        <v>29</v>
      </c>
      <c r="G3" s="31">
        <f>(Valuation!L21/Valuation!B21)^(1/10)-1</f>
        <v>0.12472218792019918</v>
      </c>
    </row>
    <row r="4" spans="1:7" x14ac:dyDescent="0.2">
      <c r="A4" s="3" t="s">
        <v>122</v>
      </c>
      <c r="B4" s="22">
        <v>117.6</v>
      </c>
      <c r="C4" s="19">
        <v>93.8</v>
      </c>
      <c r="E4" s="53" t="s">
        <v>27</v>
      </c>
      <c r="F4" s="52" t="s">
        <v>30</v>
      </c>
      <c r="G4" s="6">
        <f>B31</f>
        <v>0.02</v>
      </c>
    </row>
    <row r="5" spans="1:7" x14ac:dyDescent="0.2">
      <c r="A5" s="3" t="s">
        <v>61</v>
      </c>
      <c r="B5" s="57">
        <f>9.43*12</f>
        <v>113.16</v>
      </c>
      <c r="C5" s="58">
        <f>8.61*12</f>
        <v>103.32</v>
      </c>
      <c r="E5" s="53" t="s">
        <v>83</v>
      </c>
      <c r="F5" s="52" t="s">
        <v>31</v>
      </c>
      <c r="G5" s="6">
        <f>B30</f>
        <v>2.75E-2</v>
      </c>
    </row>
    <row r="6" spans="1:7" x14ac:dyDescent="0.2">
      <c r="A6" s="3" t="s">
        <v>109</v>
      </c>
      <c r="B6" s="23">
        <v>7.3899999999999993E-2</v>
      </c>
      <c r="E6" s="53" t="s">
        <v>87</v>
      </c>
      <c r="F6" s="52" t="s">
        <v>32</v>
      </c>
      <c r="G6" s="7">
        <v>0.05</v>
      </c>
    </row>
    <row r="7" spans="1:7" x14ac:dyDescent="0.2">
      <c r="A7" s="3" t="s">
        <v>49</v>
      </c>
      <c r="B7" s="23">
        <v>0.25</v>
      </c>
      <c r="C7" s="72">
        <v>0</v>
      </c>
      <c r="E7" s="53" t="s">
        <v>56</v>
      </c>
      <c r="F7" s="86" t="s">
        <v>113</v>
      </c>
      <c r="G7" s="86"/>
    </row>
    <row r="8" spans="1:7" x14ac:dyDescent="0.2">
      <c r="A8" s="3" t="s">
        <v>50</v>
      </c>
      <c r="B8" s="23">
        <v>0.25</v>
      </c>
      <c r="E8" s="53" t="s">
        <v>57</v>
      </c>
      <c r="F8" s="52" t="s">
        <v>29</v>
      </c>
      <c r="G8" s="31">
        <f>(Valuation!L21/Valuation!B21)^(1/10)-1</f>
        <v>0.12472218792019918</v>
      </c>
    </row>
    <row r="9" spans="1:7" x14ac:dyDescent="0.2">
      <c r="A9" s="66" t="s">
        <v>59</v>
      </c>
      <c r="B9" s="65"/>
      <c r="F9" s="52" t="s">
        <v>30</v>
      </c>
      <c r="G9" s="6">
        <f>B31</f>
        <v>0.02</v>
      </c>
    </row>
    <row r="10" spans="1:7" x14ac:dyDescent="0.2">
      <c r="A10" s="3" t="s">
        <v>129</v>
      </c>
      <c r="B10" s="60">
        <v>1053</v>
      </c>
      <c r="C10"/>
      <c r="E10" s="53" t="s">
        <v>128</v>
      </c>
      <c r="F10" s="52" t="s">
        <v>31</v>
      </c>
      <c r="G10" s="6">
        <f>B30</f>
        <v>2.75E-2</v>
      </c>
    </row>
    <row r="11" spans="1:7" x14ac:dyDescent="0.2">
      <c r="A11" s="3" t="s">
        <v>112</v>
      </c>
      <c r="B11" s="60">
        <v>7660</v>
      </c>
      <c r="C11"/>
      <c r="E11" s="64" t="s">
        <v>131</v>
      </c>
      <c r="F11" s="52" t="s">
        <v>32</v>
      </c>
      <c r="G11" s="7">
        <v>0.03</v>
      </c>
    </row>
    <row r="12" spans="1:7" x14ac:dyDescent="0.2">
      <c r="A12" s="3" t="s">
        <v>127</v>
      </c>
      <c r="B12" s="85">
        <v>0.2</v>
      </c>
      <c r="C12"/>
      <c r="E12" s="64"/>
      <c r="F12" s="83"/>
      <c r="G12" s="84"/>
    </row>
    <row r="13" spans="1:7" x14ac:dyDescent="0.2">
      <c r="A13" s="1" t="s">
        <v>7</v>
      </c>
      <c r="B13" s="24"/>
      <c r="F13" s="87" t="s">
        <v>62</v>
      </c>
      <c r="G13" s="87"/>
    </row>
    <row r="14" spans="1:7" x14ac:dyDescent="0.2">
      <c r="A14" s="3" t="s">
        <v>110</v>
      </c>
      <c r="B14" s="26">
        <v>15</v>
      </c>
      <c r="E14" s="53" t="s">
        <v>88</v>
      </c>
      <c r="F14" s="52" t="s">
        <v>78</v>
      </c>
      <c r="G14" s="6">
        <v>7.0000000000000007E-2</v>
      </c>
    </row>
    <row r="15" spans="1:7" x14ac:dyDescent="0.2">
      <c r="A15" s="3" t="s">
        <v>60</v>
      </c>
      <c r="B15" s="68">
        <v>0.92500000000000004</v>
      </c>
      <c r="E15" s="53" t="s">
        <v>89</v>
      </c>
      <c r="F15" s="52" t="s">
        <v>79</v>
      </c>
      <c r="G15" s="6">
        <v>7.4999999999999997E-2</v>
      </c>
    </row>
    <row r="16" spans="1:7" ht="17" x14ac:dyDescent="0.2">
      <c r="A16" s="3" t="s">
        <v>84</v>
      </c>
      <c r="B16" s="25">
        <v>0.05</v>
      </c>
      <c r="E16" s="73" t="s">
        <v>90</v>
      </c>
      <c r="F16" s="52" t="s">
        <v>80</v>
      </c>
      <c r="G16" s="6">
        <v>8.5000000000000006E-2</v>
      </c>
    </row>
    <row r="17" spans="1:7" ht="17" x14ac:dyDescent="0.2">
      <c r="A17" s="3" t="s">
        <v>111</v>
      </c>
      <c r="B17" s="23">
        <v>0.02</v>
      </c>
      <c r="E17" s="73" t="s">
        <v>85</v>
      </c>
      <c r="F17" s="52" t="s">
        <v>81</v>
      </c>
      <c r="G17" s="6">
        <v>0.1</v>
      </c>
    </row>
    <row r="18" spans="1:7" x14ac:dyDescent="0.2">
      <c r="A18" s="1" t="s">
        <v>86</v>
      </c>
      <c r="B18" s="28"/>
      <c r="C18" s="30"/>
      <c r="E18" s="74"/>
      <c r="F18" s="52" t="s">
        <v>82</v>
      </c>
      <c r="G18" s="6">
        <v>0.12</v>
      </c>
    </row>
    <row r="19" spans="1:7" x14ac:dyDescent="0.2">
      <c r="A19" s="3" t="s">
        <v>108</v>
      </c>
      <c r="B19" s="57">
        <f>1278+(9805-B11)</f>
        <v>3423</v>
      </c>
      <c r="E19" s="75" t="s">
        <v>132</v>
      </c>
      <c r="F19" s="52" t="s">
        <v>33</v>
      </c>
      <c r="G19" s="7">
        <v>7.9500000000000001E-2</v>
      </c>
    </row>
    <row r="20" spans="1:7" x14ac:dyDescent="0.2">
      <c r="A20" s="3" t="s">
        <v>54</v>
      </c>
      <c r="B20" s="27">
        <v>0.15</v>
      </c>
      <c r="E20" s="53" t="s">
        <v>133</v>
      </c>
    </row>
    <row r="21" spans="1:7" x14ac:dyDescent="0.2">
      <c r="A21" s="3" t="s">
        <v>55</v>
      </c>
      <c r="B21" s="27">
        <v>0.1</v>
      </c>
      <c r="C21" s="30"/>
      <c r="E21" s="53" t="s">
        <v>134</v>
      </c>
    </row>
    <row r="22" spans="1:7" x14ac:dyDescent="0.2">
      <c r="A22" t="s">
        <v>101</v>
      </c>
      <c r="B22" s="69">
        <v>0.01</v>
      </c>
      <c r="C22" s="30"/>
      <c r="E22" s="64" t="s">
        <v>135</v>
      </c>
    </row>
    <row r="23" spans="1:7" x14ac:dyDescent="0.2">
      <c r="A23" s="1" t="s">
        <v>25</v>
      </c>
      <c r="B23" s="24"/>
    </row>
    <row r="24" spans="1:7" x14ac:dyDescent="0.2">
      <c r="A24" t="s">
        <v>136</v>
      </c>
      <c r="B24" s="32" t="s">
        <v>32</v>
      </c>
      <c r="E24" s="53" t="s">
        <v>91</v>
      </c>
    </row>
    <row r="25" spans="1:7" x14ac:dyDescent="0.2">
      <c r="A25" s="3" t="s">
        <v>137</v>
      </c>
      <c r="B25" s="33">
        <f>VLOOKUP(B24,F3:G6,2)</f>
        <v>0.05</v>
      </c>
      <c r="E25" s="53" t="s">
        <v>92</v>
      </c>
    </row>
    <row r="26" spans="1:7" x14ac:dyDescent="0.2">
      <c r="A26" t="s">
        <v>139</v>
      </c>
      <c r="B26" s="32" t="s">
        <v>32</v>
      </c>
    </row>
    <row r="27" spans="1:7" x14ac:dyDescent="0.2">
      <c r="A27" s="3" t="s">
        <v>121</v>
      </c>
      <c r="B27" s="33">
        <f>VLOOKUP(B26,F8:G11,2)</f>
        <v>0.03</v>
      </c>
      <c r="E27" s="53" t="s">
        <v>93</v>
      </c>
    </row>
    <row r="28" spans="1:7" x14ac:dyDescent="0.2">
      <c r="B28" s="77"/>
      <c r="E28" s="53" t="s">
        <v>94</v>
      </c>
    </row>
    <row r="29" spans="1:7" x14ac:dyDescent="0.2">
      <c r="A29" s="1" t="s">
        <v>3</v>
      </c>
      <c r="B29" s="24"/>
      <c r="E29" s="53" t="s">
        <v>95</v>
      </c>
    </row>
    <row r="30" spans="1:7" x14ac:dyDescent="0.2">
      <c r="A30" s="3" t="s">
        <v>4</v>
      </c>
      <c r="B30" s="23">
        <v>2.75E-2</v>
      </c>
    </row>
    <row r="31" spans="1:7" x14ac:dyDescent="0.2">
      <c r="A31" s="3" t="s">
        <v>10</v>
      </c>
      <c r="B31" s="23">
        <v>0.02</v>
      </c>
      <c r="E31" s="53" t="s">
        <v>4</v>
      </c>
    </row>
    <row r="32" spans="1:7" x14ac:dyDescent="0.2">
      <c r="A32" s="3" t="s">
        <v>23</v>
      </c>
      <c r="B32" s="23" t="s">
        <v>33</v>
      </c>
      <c r="E32" s="53" t="s">
        <v>10</v>
      </c>
    </row>
    <row r="33" spans="1:7" x14ac:dyDescent="0.2">
      <c r="A33" s="3" t="s">
        <v>5</v>
      </c>
      <c r="B33" s="29">
        <f>VLOOKUP(B32,F14:G19,2)</f>
        <v>7.9500000000000001E-2</v>
      </c>
      <c r="E33" s="53" t="s">
        <v>96</v>
      </c>
    </row>
    <row r="34" spans="1:7" x14ac:dyDescent="0.2">
      <c r="A34" s="3" t="s">
        <v>24</v>
      </c>
      <c r="B34" s="23" t="s">
        <v>33</v>
      </c>
      <c r="E34" s="53" t="s">
        <v>92</v>
      </c>
    </row>
    <row r="35" spans="1:7" x14ac:dyDescent="0.2">
      <c r="A35" s="3" t="s">
        <v>6</v>
      </c>
      <c r="B35" s="29">
        <f>VLOOKUP(B34,F14:G19,2)</f>
        <v>7.9500000000000001E-2</v>
      </c>
      <c r="C35" s="30" t="s">
        <v>28</v>
      </c>
      <c r="E35" s="53" t="s">
        <v>97</v>
      </c>
    </row>
    <row r="36" spans="1:7" x14ac:dyDescent="0.2">
      <c r="A36" s="1" t="s">
        <v>67</v>
      </c>
      <c r="E36" s="53" t="s">
        <v>92</v>
      </c>
    </row>
    <row r="37" spans="1:7" x14ac:dyDescent="0.2">
      <c r="A37" s="3" t="s">
        <v>68</v>
      </c>
      <c r="B37" s="58">
        <v>2823</v>
      </c>
    </row>
    <row r="38" spans="1:7" x14ac:dyDescent="0.2">
      <c r="A38" s="3" t="s">
        <v>69</v>
      </c>
      <c r="B38" s="58">
        <v>0</v>
      </c>
      <c r="E38" s="53" t="s">
        <v>98</v>
      </c>
    </row>
    <row r="39" spans="1:7" x14ac:dyDescent="0.2">
      <c r="A39" s="3" t="s">
        <v>70</v>
      </c>
      <c r="B39" s="58">
        <v>6500</v>
      </c>
      <c r="E39" s="53" t="s">
        <v>99</v>
      </c>
    </row>
    <row r="40" spans="1:7" x14ac:dyDescent="0.2">
      <c r="A40" t="s">
        <v>104</v>
      </c>
      <c r="B40" s="76">
        <v>4978</v>
      </c>
      <c r="E40" s="53" t="s">
        <v>100</v>
      </c>
    </row>
    <row r="41" spans="1:7" ht="17" thickBot="1" x14ac:dyDescent="0.25">
      <c r="A41" t="s">
        <v>119</v>
      </c>
      <c r="B41" s="81">
        <v>446.81</v>
      </c>
      <c r="E41" s="64" t="s">
        <v>107</v>
      </c>
    </row>
    <row r="42" spans="1:7" ht="17" thickBot="1" x14ac:dyDescent="0.25">
      <c r="E42" s="88" t="s">
        <v>42</v>
      </c>
      <c r="F42" s="89"/>
      <c r="G42" s="90"/>
    </row>
    <row r="43" spans="1:7" x14ac:dyDescent="0.2">
      <c r="E43" s="54" t="s">
        <v>45</v>
      </c>
      <c r="F43" s="45" t="s">
        <v>43</v>
      </c>
      <c r="G43" s="46" t="s">
        <v>44</v>
      </c>
    </row>
    <row r="44" spans="1:7" x14ac:dyDescent="0.2">
      <c r="B44" s="70"/>
      <c r="E44" s="55" t="s">
        <v>126</v>
      </c>
      <c r="F44" s="10">
        <f>Valuation!B12</f>
        <v>508.89338597918123</v>
      </c>
      <c r="G44" s="47">
        <f>Valuation!B14</f>
        <v>59845.862191151711</v>
      </c>
    </row>
    <row r="45" spans="1:7" x14ac:dyDescent="0.2">
      <c r="E45" s="55" t="s">
        <v>74</v>
      </c>
      <c r="F45" s="10">
        <f>Valuation!B18</f>
        <v>397.88317031516306</v>
      </c>
      <c r="G45" s="47">
        <f>Valuation!B27</f>
        <v>137276.49074301607</v>
      </c>
    </row>
    <row r="46" spans="1:7" x14ac:dyDescent="0.2">
      <c r="E46" s="55" t="s">
        <v>120</v>
      </c>
      <c r="F46" s="16"/>
      <c r="G46" s="47">
        <f>Valuation!B36</f>
        <v>111251.70434372904</v>
      </c>
    </row>
    <row r="47" spans="1:7" ht="17" thickBot="1" x14ac:dyDescent="0.25">
      <c r="E47" s="56" t="s">
        <v>125</v>
      </c>
      <c r="F47" s="48"/>
      <c r="G47" s="49">
        <f>Valuation!B45</f>
        <v>82193.648590438737</v>
      </c>
    </row>
    <row r="49" spans="7:7" x14ac:dyDescent="0.2">
      <c r="G49" s="2"/>
    </row>
  </sheetData>
  <sheetProtection selectLockedCells="1"/>
  <mergeCells count="4">
    <mergeCell ref="F2:G2"/>
    <mergeCell ref="F13:G13"/>
    <mergeCell ref="E42:G42"/>
    <mergeCell ref="F7:G7"/>
  </mergeCells>
  <dataValidations count="2">
    <dataValidation type="list" allowBlank="1" showInputMessage="1" showErrorMessage="1" sqref="B24 B26" xr:uid="{00000000-0002-0000-0000-000000000000}">
      <formula1>$F$3:$F$6</formula1>
    </dataValidation>
    <dataValidation type="list" allowBlank="1" showInputMessage="1" showErrorMessage="1" sqref="B32 B34" xr:uid="{00000000-0002-0000-0000-000001000000}">
      <formula1>$F$14:$F$19</formula1>
    </dataValidation>
  </dataValidation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8F3F6-BC67-0541-801A-707CD2C689C6}">
  <dimension ref="A1:V49"/>
  <sheetViews>
    <sheetView tabSelected="1" topLeftCell="A11" workbookViewId="0">
      <selection activeCell="B39" sqref="B39:B41"/>
    </sheetView>
  </sheetViews>
  <sheetFormatPr baseColWidth="10" defaultRowHeight="16" x14ac:dyDescent="0.2"/>
  <cols>
    <col min="1" max="1" width="33.83203125" customWidth="1"/>
    <col min="2" max="2" width="14.6640625" customWidth="1"/>
    <col min="3" max="3" width="14.1640625" customWidth="1"/>
    <col min="4" max="6" width="11.33203125" bestFit="1" customWidth="1"/>
    <col min="7" max="7" width="12.1640625" bestFit="1" customWidth="1"/>
    <col min="8" max="8" width="11.33203125" bestFit="1" customWidth="1"/>
    <col min="9" max="11" width="12.1640625" bestFit="1" customWidth="1"/>
    <col min="12" max="12" width="12.5" bestFit="1" customWidth="1"/>
    <col min="14" max="15" width="11.5" bestFit="1" customWidth="1"/>
  </cols>
  <sheetData>
    <row r="1" spans="1:22" x14ac:dyDescent="0.2">
      <c r="A1" s="1" t="s">
        <v>102</v>
      </c>
    </row>
    <row r="2" spans="1:22" x14ac:dyDescent="0.2">
      <c r="A2" s="3"/>
      <c r="B2" s="3" t="s">
        <v>8</v>
      </c>
      <c r="C2" s="12">
        <v>1</v>
      </c>
      <c r="D2" s="12">
        <v>2</v>
      </c>
      <c r="E2" s="12">
        <v>3</v>
      </c>
      <c r="F2" s="12">
        <v>4</v>
      </c>
      <c r="G2" s="12">
        <v>5</v>
      </c>
      <c r="H2" s="12">
        <v>6</v>
      </c>
      <c r="I2" s="12">
        <v>7</v>
      </c>
      <c r="J2" s="12">
        <v>8</v>
      </c>
      <c r="K2" s="12">
        <v>9</v>
      </c>
      <c r="L2" s="12">
        <v>10</v>
      </c>
      <c r="M2" s="12">
        <f t="shared" ref="M2:V2" si="0">L2+1</f>
        <v>11</v>
      </c>
      <c r="N2" s="12">
        <f t="shared" si="0"/>
        <v>12</v>
      </c>
      <c r="O2" s="12">
        <f t="shared" si="0"/>
        <v>13</v>
      </c>
      <c r="P2" s="12">
        <f t="shared" si="0"/>
        <v>14</v>
      </c>
      <c r="Q2" s="12">
        <f t="shared" si="0"/>
        <v>15</v>
      </c>
      <c r="R2" s="12">
        <f t="shared" si="0"/>
        <v>16</v>
      </c>
      <c r="S2" s="12">
        <f t="shared" si="0"/>
        <v>17</v>
      </c>
      <c r="T2" s="12">
        <f t="shared" si="0"/>
        <v>18</v>
      </c>
      <c r="U2" s="12">
        <f t="shared" si="0"/>
        <v>19</v>
      </c>
      <c r="V2" s="12">
        <f t="shared" si="0"/>
        <v>20</v>
      </c>
    </row>
    <row r="3" spans="1:22" x14ac:dyDescent="0.2">
      <c r="A3" s="3" t="s">
        <v>51</v>
      </c>
      <c r="B3" s="3"/>
      <c r="C3" s="12">
        <f>IF(C2&gt;Inputs!$B$14,0,1)</f>
        <v>1</v>
      </c>
      <c r="D3" s="12">
        <f>IF(D2&gt;Inputs!$B$14,0,1)</f>
        <v>1</v>
      </c>
      <c r="E3" s="12">
        <f>IF(E2&gt;Inputs!$B$14,0,1)</f>
        <v>1</v>
      </c>
      <c r="F3" s="12">
        <f>IF(F2&gt;Inputs!$B$14,0,1)</f>
        <v>1</v>
      </c>
      <c r="G3" s="12">
        <f>IF(G2&gt;Inputs!$B$14,0,1)</f>
        <v>1</v>
      </c>
      <c r="H3" s="12">
        <f>IF(H2&gt;Inputs!$B$14,0,1)</f>
        <v>1</v>
      </c>
      <c r="I3" s="12">
        <f>IF(I2&gt;Inputs!$B$14,0,1)</f>
        <v>1</v>
      </c>
      <c r="J3" s="12">
        <f>IF(J2&gt;Inputs!$B$14,0,1)</f>
        <v>1</v>
      </c>
      <c r="K3" s="12">
        <f>IF(K2&gt;Inputs!$B$14,0,1)</f>
        <v>1</v>
      </c>
      <c r="L3" s="12">
        <f>IF(L2&gt;Inputs!$B$14,0,1)</f>
        <v>1</v>
      </c>
      <c r="M3" s="12">
        <f>IF(M2&gt;Inputs!$B$14,0,1)</f>
        <v>1</v>
      </c>
      <c r="N3" s="12">
        <f>IF(N2&gt;Inputs!$B$14,0,1)</f>
        <v>1</v>
      </c>
      <c r="O3" s="12">
        <f>IF(O2&gt;Inputs!$B$14,0,1)</f>
        <v>1</v>
      </c>
      <c r="P3" s="12">
        <f>IF(P2&gt;Inputs!$B$14,0,1)</f>
        <v>1</v>
      </c>
      <c r="Q3" s="12">
        <f>IF(Q2&gt;Inputs!$B$14,0,1)</f>
        <v>1</v>
      </c>
      <c r="R3" s="12">
        <f>IF(R2&gt;Inputs!$B$14,0,1)</f>
        <v>0</v>
      </c>
      <c r="S3" s="12">
        <f>IF(S2&gt;Inputs!$B$14,0,1)</f>
        <v>0</v>
      </c>
      <c r="T3" s="12">
        <f>IF(T2&gt;Inputs!$B$14,0,1)</f>
        <v>0</v>
      </c>
      <c r="U3" s="12">
        <f>IF(U2&gt;Inputs!$B$14,0,1)</f>
        <v>0</v>
      </c>
      <c r="V3" s="12">
        <f>IF(V2&gt;Inputs!$B$14,0,1)</f>
        <v>0</v>
      </c>
    </row>
    <row r="4" spans="1:22" x14ac:dyDescent="0.2">
      <c r="A4" s="3" t="s">
        <v>47</v>
      </c>
      <c r="B4" s="67">
        <f>1</f>
        <v>1</v>
      </c>
      <c r="C4" s="71">
        <f>B4*Inputs!$B$15</f>
        <v>0.92500000000000004</v>
      </c>
      <c r="D4" s="71">
        <f>C4*Inputs!$B$15</f>
        <v>0.85562500000000008</v>
      </c>
      <c r="E4" s="71">
        <f>D4*Inputs!$B$15</f>
        <v>0.79145312500000009</v>
      </c>
      <c r="F4" s="71">
        <f>E4*Inputs!$B$15</f>
        <v>0.73209414062500011</v>
      </c>
      <c r="G4" s="71">
        <f>F4*Inputs!$B$15</f>
        <v>0.67718708007812511</v>
      </c>
      <c r="H4" s="71">
        <f>G4*Inputs!$B$15</f>
        <v>0.62639804907226571</v>
      </c>
      <c r="I4" s="71">
        <f>H4*Inputs!$B$15</f>
        <v>0.5794181953918458</v>
      </c>
      <c r="J4" s="71">
        <f>I4*Inputs!$B$15</f>
        <v>0.5359618307374574</v>
      </c>
      <c r="K4" s="71">
        <f>J4*Inputs!$B$15</f>
        <v>0.49576469343214813</v>
      </c>
      <c r="L4" s="71">
        <f>K4*Inputs!$B$15</f>
        <v>0.45858234142473703</v>
      </c>
      <c r="M4" s="71">
        <f>L4*Inputs!$B$15</f>
        <v>0.42418866581788178</v>
      </c>
      <c r="N4" s="71">
        <f>M4*Inputs!$B$15</f>
        <v>0.39237451588154065</v>
      </c>
      <c r="O4" s="71">
        <f>N4*Inputs!$B$15</f>
        <v>0.36294642719042514</v>
      </c>
      <c r="P4" s="71">
        <f>O4*Inputs!$B$15</f>
        <v>0.33572544515114328</v>
      </c>
      <c r="Q4" s="71">
        <f>P4*Inputs!$B$15</f>
        <v>0.31054603676480752</v>
      </c>
      <c r="R4" s="71">
        <f>Q4*Inputs!$B$15</f>
        <v>0.28725508400744698</v>
      </c>
      <c r="S4" s="71">
        <f>R4*Inputs!$B$15</f>
        <v>0.26571095270688849</v>
      </c>
      <c r="T4" s="71">
        <f>S4*Inputs!$B$15</f>
        <v>0.24578263125387187</v>
      </c>
      <c r="U4" s="71">
        <f>T4*Inputs!$B$15</f>
        <v>0.22734893390983149</v>
      </c>
      <c r="V4" s="71">
        <f>U4*Inputs!$B$15</f>
        <v>0.21029776386659413</v>
      </c>
    </row>
    <row r="5" spans="1:22" x14ac:dyDescent="0.2">
      <c r="A5" s="3" t="s">
        <v>71</v>
      </c>
      <c r="B5" s="10">
        <f>Inputs!B5</f>
        <v>113.16</v>
      </c>
      <c r="C5" s="9">
        <f>B5*(1+Inputs!$B$16)</f>
        <v>118.818</v>
      </c>
      <c r="D5" s="9">
        <f>C5*(1+Inputs!$B$16)</f>
        <v>124.7589</v>
      </c>
      <c r="E5" s="9">
        <f>D5*(1+Inputs!$B$16)</f>
        <v>130.99684500000001</v>
      </c>
      <c r="F5" s="9">
        <f>E5*(1+Inputs!$B$16)</f>
        <v>137.54668725000002</v>
      </c>
      <c r="G5" s="9">
        <f>F5*(1+Inputs!$B$16)</f>
        <v>144.42402161250001</v>
      </c>
      <c r="H5" s="9">
        <f>G5*(1+Inputs!$B$16)</f>
        <v>151.64522269312502</v>
      </c>
      <c r="I5" s="9">
        <f>H5*(1+Inputs!$B$16)</f>
        <v>159.22748382778127</v>
      </c>
      <c r="J5" s="9">
        <f>I5*(1+Inputs!$B$16)</f>
        <v>167.18885801917034</v>
      </c>
      <c r="K5" s="9">
        <f>J5*(1+Inputs!$B$16)</f>
        <v>175.54830092012887</v>
      </c>
      <c r="L5" s="9">
        <f>K5*(1+Inputs!$B$16)</f>
        <v>184.32571596613531</v>
      </c>
      <c r="M5" s="9">
        <f>L5*(1+Inputs!$B$16)</f>
        <v>193.54200176444209</v>
      </c>
      <c r="N5" s="9">
        <f>M5*(1+Inputs!$B$16)</f>
        <v>203.21910185266421</v>
      </c>
      <c r="O5" s="9">
        <f>N5*(1+Inputs!$B$16)</f>
        <v>213.38005694529744</v>
      </c>
      <c r="P5" s="9">
        <f>O5*(1+Inputs!$B$16)</f>
        <v>224.04905979256233</v>
      </c>
      <c r="Q5" s="9">
        <f>P5*(1+Inputs!$B$16)</f>
        <v>235.25151278219045</v>
      </c>
      <c r="R5" s="9">
        <f>Q5*(1+Inputs!$B$16)</f>
        <v>247.01408842129999</v>
      </c>
      <c r="S5" s="9">
        <f>R5*(1+Inputs!$B$16)</f>
        <v>259.36479284236498</v>
      </c>
      <c r="T5" s="9">
        <f>S5*(1+Inputs!$B$16)</f>
        <v>272.33303248448323</v>
      </c>
      <c r="U5" s="9">
        <f>T5*(1+Inputs!$B$16)</f>
        <v>285.9496841087074</v>
      </c>
      <c r="V5" s="9">
        <f>U5*(1+Inputs!$B$16)</f>
        <v>300.24716831414281</v>
      </c>
    </row>
    <row r="6" spans="1:22" x14ac:dyDescent="0.2">
      <c r="A6" s="3" t="s">
        <v>130</v>
      </c>
      <c r="B6" s="10">
        <f>Inputs!B6*B5+(Inputs!B12*Inputs!B11)/Inputs!B4</f>
        <v>21.389734884353743</v>
      </c>
      <c r="C6" s="61">
        <f>B6*(1+Inputs!$B$17)</f>
        <v>21.817529582040819</v>
      </c>
      <c r="D6" s="61">
        <f>C6*(1+Inputs!$B$17)</f>
        <v>22.253880173681637</v>
      </c>
      <c r="E6" s="61">
        <f>D6*(1+Inputs!$B$17)</f>
        <v>22.698957777155268</v>
      </c>
      <c r="F6" s="61">
        <f>E6*(1+Inputs!$B$17)</f>
        <v>23.152936932698374</v>
      </c>
      <c r="G6" s="61">
        <f>F6*(1+Inputs!$B$17)</f>
        <v>23.615995671352341</v>
      </c>
      <c r="H6" s="61">
        <f>G6*(1+Inputs!$B$31)</f>
        <v>24.088315584779387</v>
      </c>
      <c r="I6" s="61">
        <f>H6*(1+Inputs!$B$31)</f>
        <v>24.570081896474974</v>
      </c>
      <c r="J6" s="61">
        <f>I6*(1+Inputs!$B$31)</f>
        <v>25.061483534404474</v>
      </c>
      <c r="K6" s="61">
        <f>J6*(1+Inputs!$B$31)</f>
        <v>25.562713205092564</v>
      </c>
      <c r="L6" s="61">
        <f>K6*(1+Inputs!$B$31)</f>
        <v>26.073967469194415</v>
      </c>
      <c r="M6" s="61">
        <f>L6*(1+Inputs!$B$31)</f>
        <v>26.595446818578303</v>
      </c>
      <c r="N6" s="61">
        <f>M6*(1+Inputs!$B$31)</f>
        <v>27.127355754949868</v>
      </c>
      <c r="O6" s="61">
        <f>N6*(1+Inputs!$B$31)</f>
        <v>27.669902870048865</v>
      </c>
      <c r="P6" s="61">
        <f>O6*(1+Inputs!$B$31)</f>
        <v>28.223300927449841</v>
      </c>
      <c r="Q6" s="61">
        <f>P6*(1+Inputs!$B$31)</f>
        <v>28.78776694599884</v>
      </c>
      <c r="R6" s="61">
        <f>Q6*(1+Inputs!$B$31)</f>
        <v>29.363522284918815</v>
      </c>
      <c r="S6" s="61">
        <f>R6*(1+Inputs!$B$31)</f>
        <v>29.950792730617191</v>
      </c>
      <c r="T6" s="61">
        <f>S6*(1+Inputs!$B$31)</f>
        <v>30.549808585229535</v>
      </c>
      <c r="U6" s="61">
        <f>T6*(1+Inputs!$B$31)</f>
        <v>31.160804756934127</v>
      </c>
      <c r="V6" s="61">
        <f>U6*(1+Inputs!$B$31)</f>
        <v>31.78402085207281</v>
      </c>
    </row>
    <row r="7" spans="1:22" x14ac:dyDescent="0.2">
      <c r="A7" s="3" t="s">
        <v>72</v>
      </c>
      <c r="B7" s="10">
        <f t="shared" ref="B7:V7" si="1">B5-B6</f>
        <v>91.770265115646254</v>
      </c>
      <c r="C7" s="10">
        <f t="shared" si="1"/>
        <v>97.000470417959178</v>
      </c>
      <c r="D7" s="10">
        <f t="shared" si="1"/>
        <v>102.50501982631836</v>
      </c>
      <c r="E7" s="10">
        <f t="shared" si="1"/>
        <v>108.29788722284474</v>
      </c>
      <c r="F7" s="10">
        <f t="shared" si="1"/>
        <v>114.39375031730165</v>
      </c>
      <c r="G7" s="10">
        <f t="shared" si="1"/>
        <v>120.80802594114768</v>
      </c>
      <c r="H7" s="10">
        <f t="shared" si="1"/>
        <v>127.55690710834563</v>
      </c>
      <c r="I7" s="10">
        <f t="shared" si="1"/>
        <v>134.65740193130631</v>
      </c>
      <c r="J7" s="10">
        <f t="shared" si="1"/>
        <v>142.12737448476588</v>
      </c>
      <c r="K7" s="10">
        <f t="shared" si="1"/>
        <v>149.9855877150363</v>
      </c>
      <c r="L7" s="10">
        <f t="shared" si="1"/>
        <v>158.25174849694088</v>
      </c>
      <c r="M7" s="10">
        <f t="shared" si="1"/>
        <v>166.9465549458638</v>
      </c>
      <c r="N7" s="10">
        <f t="shared" si="1"/>
        <v>176.09174609771435</v>
      </c>
      <c r="O7" s="10">
        <f t="shared" si="1"/>
        <v>185.71015407524857</v>
      </c>
      <c r="P7" s="10">
        <f t="shared" si="1"/>
        <v>195.8257588651125</v>
      </c>
      <c r="Q7" s="10">
        <f t="shared" si="1"/>
        <v>206.46374583619161</v>
      </c>
      <c r="R7" s="10">
        <f t="shared" si="1"/>
        <v>217.65056613638117</v>
      </c>
      <c r="S7" s="10">
        <f t="shared" si="1"/>
        <v>229.41400011174778</v>
      </c>
      <c r="T7" s="10">
        <f t="shared" si="1"/>
        <v>241.7832238992537</v>
      </c>
      <c r="U7" s="10">
        <f t="shared" si="1"/>
        <v>254.78887935177329</v>
      </c>
      <c r="V7" s="10">
        <f t="shared" si="1"/>
        <v>268.46314746207003</v>
      </c>
    </row>
    <row r="8" spans="1:22" x14ac:dyDescent="0.2">
      <c r="A8" s="3" t="s">
        <v>48</v>
      </c>
      <c r="B8" s="50">
        <f>Inputs!B7</f>
        <v>0.25</v>
      </c>
      <c r="C8" s="62">
        <f t="shared" ref="C8:K8" si="2">B8+($L$8-$B$8)/10</f>
        <v>0.25</v>
      </c>
      <c r="D8" s="62">
        <f t="shared" si="2"/>
        <v>0.25</v>
      </c>
      <c r="E8" s="62">
        <f t="shared" si="2"/>
        <v>0.25</v>
      </c>
      <c r="F8" s="62">
        <f t="shared" si="2"/>
        <v>0.25</v>
      </c>
      <c r="G8" s="62">
        <f t="shared" si="2"/>
        <v>0.25</v>
      </c>
      <c r="H8" s="62">
        <f t="shared" si="2"/>
        <v>0.25</v>
      </c>
      <c r="I8" s="62">
        <f t="shared" si="2"/>
        <v>0.25</v>
      </c>
      <c r="J8" s="62">
        <f t="shared" si="2"/>
        <v>0.25</v>
      </c>
      <c r="K8" s="62">
        <f t="shared" si="2"/>
        <v>0.25</v>
      </c>
      <c r="L8" s="63">
        <f>Inputs!B8</f>
        <v>0.25</v>
      </c>
      <c r="M8" s="63">
        <f t="shared" ref="M8:V8" si="3">L8</f>
        <v>0.25</v>
      </c>
      <c r="N8" s="63">
        <f t="shared" si="3"/>
        <v>0.25</v>
      </c>
      <c r="O8" s="63">
        <f t="shared" si="3"/>
        <v>0.25</v>
      </c>
      <c r="P8" s="63">
        <f t="shared" si="3"/>
        <v>0.25</v>
      </c>
      <c r="Q8" s="63">
        <f t="shared" si="3"/>
        <v>0.25</v>
      </c>
      <c r="R8" s="63">
        <f t="shared" si="3"/>
        <v>0.25</v>
      </c>
      <c r="S8" s="63">
        <f t="shared" si="3"/>
        <v>0.25</v>
      </c>
      <c r="T8" s="63">
        <f t="shared" si="3"/>
        <v>0.25</v>
      </c>
      <c r="U8" s="63">
        <f t="shared" si="3"/>
        <v>0.25</v>
      </c>
      <c r="V8" s="63">
        <f t="shared" si="3"/>
        <v>0.25</v>
      </c>
    </row>
    <row r="9" spans="1:22" x14ac:dyDescent="0.2">
      <c r="A9" s="3" t="s">
        <v>52</v>
      </c>
      <c r="B9" s="20">
        <f>B7*(1-B8)</f>
        <v>68.827698836734697</v>
      </c>
      <c r="C9" s="20">
        <f t="shared" ref="C9:V9" si="4">C3*C4*C7*(1-C8)</f>
        <v>67.294076352459186</v>
      </c>
      <c r="D9" s="20">
        <f t="shared" si="4"/>
        <v>65.779393191670238</v>
      </c>
      <c r="E9" s="20">
        <f t="shared" si="4"/>
        <v>64.284525955063543</v>
      </c>
      <c r="F9" s="20">
        <f t="shared" si="4"/>
        <v>62.81024574856184</v>
      </c>
      <c r="G9" s="20">
        <f t="shared" si="4"/>
        <v>61.357225752816134</v>
      </c>
      <c r="H9" s="20">
        <f t="shared" si="4"/>
        <v>59.926048318769944</v>
      </c>
      <c r="I9" s="20">
        <f t="shared" si="4"/>
        <v>58.517211617393968</v>
      </c>
      <c r="J9" s="20">
        <f t="shared" si="4"/>
        <v>57.131135870072484</v>
      </c>
      <c r="K9" s="20">
        <f t="shared" si="4"/>
        <v>55.768169184589155</v>
      </c>
      <c r="L9" s="20">
        <f t="shared" si="4"/>
        <v>54.428593020214322</v>
      </c>
      <c r="M9" s="20">
        <f t="shared" si="4"/>
        <v>53.112627304033239</v>
      </c>
      <c r="N9" s="20">
        <f t="shared" si="4"/>
        <v>51.820435219369386</v>
      </c>
      <c r="O9" s="20">
        <f t="shared" si="4"/>
        <v>50.552127685946132</v>
      </c>
      <c r="P9" s="20">
        <f t="shared" si="4"/>
        <v>49.30776755028775</v>
      </c>
      <c r="Q9" s="20">
        <f t="shared" si="4"/>
        <v>48.087373503784377</v>
      </c>
      <c r="R9" s="20">
        <f t="shared" si="4"/>
        <v>0</v>
      </c>
      <c r="S9" s="20">
        <f t="shared" si="4"/>
        <v>0</v>
      </c>
      <c r="T9" s="20">
        <f t="shared" si="4"/>
        <v>0</v>
      </c>
      <c r="U9" s="20">
        <f t="shared" si="4"/>
        <v>0</v>
      </c>
      <c r="V9" s="20">
        <f t="shared" si="4"/>
        <v>0</v>
      </c>
    </row>
    <row r="10" spans="1:22" x14ac:dyDescent="0.2">
      <c r="A10" s="3" t="s">
        <v>53</v>
      </c>
      <c r="B10" s="20"/>
      <c r="C10" s="59">
        <f>C9/(1+Inputs!$B$33)^Valuation!C2</f>
        <v>62.338190229235011</v>
      </c>
      <c r="D10" s="59">
        <f>D9/(1+Inputs!$B$33)^Valuation!D2</f>
        <v>56.447481446984426</v>
      </c>
      <c r="E10" s="59">
        <f>E9/(1+Inputs!$B$33)^Valuation!E2</f>
        <v>51.102071547427308</v>
      </c>
      <c r="F10" s="59">
        <f>F9/(1+Inputs!$B$33)^Valuation!F2</f>
        <v>46.252999926860603</v>
      </c>
      <c r="G10" s="59">
        <f>G9/(1+Inputs!$B$33)^Valuation!G2</f>
        <v>41.855494914354125</v>
      </c>
      <c r="H10" s="59">
        <f>H9/(1+Inputs!$B$33)^Valuation!H2</f>
        <v>37.868644515483851</v>
      </c>
      <c r="I10" s="59">
        <f>I9/(1+Inputs!$B$33)^Valuation!I2</f>
        <v>34.25508873368036</v>
      </c>
      <c r="J10" s="59">
        <f>J9/(1+Inputs!$B$33)^Valuation!J2</f>
        <v>30.980732746632963</v>
      </c>
      <c r="K10" s="59">
        <f>K9/(1+Inputs!$B$33)^Valuation!K2</f>
        <v>28.014480106078583</v>
      </c>
      <c r="L10" s="59">
        <f>L9/(1+Inputs!$B$33)^Valuation!L2</f>
        <v>25.327985054008721</v>
      </c>
      <c r="M10" s="59">
        <f>M9/(1+Inputs!$B$33)^Valuation!M2</f>
        <v>22.895423000576443</v>
      </c>
      <c r="N10" s="59">
        <f>N9/(1+Inputs!$B$33)^Valuation!N2</f>
        <v>20.693278183495291</v>
      </c>
      <c r="O10" s="59">
        <f>O9/(1+Inputs!$B$33)^Valuation!O2</f>
        <v>18.700147521061815</v>
      </c>
      <c r="P10" s="59">
        <f>P9/(1+Inputs!$B$33)^Valuation!P2</f>
        <v>16.896559677388897</v>
      </c>
      <c r="Q10" s="59">
        <f>Q9/(1+Inputs!$B$33)^Valuation!Q2</f>
        <v>15.264808375912851</v>
      </c>
      <c r="R10" s="59">
        <f>R9/(1+Inputs!$B$33)^Valuation!R2</f>
        <v>0</v>
      </c>
      <c r="S10" s="59">
        <f>S9/(1+Inputs!$B$33)^Valuation!S2</f>
        <v>0</v>
      </c>
      <c r="T10" s="59">
        <f>T9/(1+Inputs!$B$33)^Valuation!T2</f>
        <v>0</v>
      </c>
      <c r="U10" s="59">
        <f>U9/(1+Inputs!$B$33)^Valuation!U2</f>
        <v>0</v>
      </c>
      <c r="V10" s="59">
        <f>V9/(1+Inputs!$B$33)^Valuation!V2</f>
        <v>0</v>
      </c>
    </row>
    <row r="11" spans="1:22" x14ac:dyDescent="0.2">
      <c r="A11" s="3" t="s">
        <v>63</v>
      </c>
      <c r="B11" s="11">
        <f>Inputs!B14</f>
        <v>15</v>
      </c>
    </row>
    <row r="12" spans="1:22" x14ac:dyDescent="0.2">
      <c r="A12" s="3" t="s">
        <v>64</v>
      </c>
      <c r="B12" s="20">
        <f>SUM(C10:V10)</f>
        <v>508.89338597918123</v>
      </c>
    </row>
    <row r="13" spans="1:22" ht="17" thickBot="1" x14ac:dyDescent="0.25">
      <c r="A13" s="3" t="s">
        <v>115</v>
      </c>
      <c r="B13" s="38">
        <f>Inputs!B4</f>
        <v>117.6</v>
      </c>
      <c r="E13" s="2"/>
    </row>
    <row r="14" spans="1:22" ht="17" thickBot="1" x14ac:dyDescent="0.25">
      <c r="A14" s="37" t="s">
        <v>116</v>
      </c>
      <c r="B14" s="39">
        <f>B13*B12</f>
        <v>59845.862191151711</v>
      </c>
    </row>
    <row r="16" spans="1:22" x14ac:dyDescent="0.2">
      <c r="A16" s="1" t="s">
        <v>103</v>
      </c>
    </row>
    <row r="17" spans="1:14" x14ac:dyDescent="0.2">
      <c r="A17" s="3" t="s">
        <v>123</v>
      </c>
      <c r="B17" s="9">
        <f>Inputs!B19/(Inputs!B4-Inputs!C4*Inputs!B15)</f>
        <v>111.01021566401819</v>
      </c>
    </row>
    <row r="18" spans="1:14" x14ac:dyDescent="0.2">
      <c r="A18" s="3" t="s">
        <v>9</v>
      </c>
      <c r="B18" s="21">
        <f>B12-B17</f>
        <v>397.88317031516306</v>
      </c>
    </row>
    <row r="20" spans="1:14" s="80" customFormat="1" x14ac:dyDescent="0.2">
      <c r="A20" s="78"/>
      <c r="B20" s="79" t="s">
        <v>8</v>
      </c>
      <c r="C20" s="79">
        <v>1</v>
      </c>
      <c r="D20" s="79">
        <v>2</v>
      </c>
      <c r="E20" s="79">
        <v>3</v>
      </c>
      <c r="F20" s="79">
        <v>4</v>
      </c>
      <c r="G20" s="79">
        <v>5</v>
      </c>
      <c r="H20" s="79">
        <v>6</v>
      </c>
      <c r="I20" s="79">
        <v>7</v>
      </c>
      <c r="J20" s="79">
        <v>8</v>
      </c>
      <c r="K20" s="79">
        <v>9</v>
      </c>
      <c r="L20" s="79">
        <v>10</v>
      </c>
    </row>
    <row r="21" spans="1:14" x14ac:dyDescent="0.2">
      <c r="A21" s="3" t="s">
        <v>73</v>
      </c>
      <c r="B21" s="13">
        <f>Inputs!B4</f>
        <v>117.6</v>
      </c>
      <c r="C21" s="13">
        <f>B21*Inputs!$B$15+C22</f>
        <v>135.23999999999998</v>
      </c>
      <c r="D21" s="13">
        <f>C21*Inputs!$B$15+D22</f>
        <v>155.52599999999995</v>
      </c>
      <c r="E21" s="13">
        <f>D21*Inputs!$B$15+E22</f>
        <v>178.85489999999993</v>
      </c>
      <c r="F21" s="13">
        <f>E21*Inputs!$B$15+F22</f>
        <v>205.68313499999994</v>
      </c>
      <c r="G21" s="13">
        <f>F21*Inputs!$B$15+G22</f>
        <v>236.53560524999992</v>
      </c>
      <c r="H21" s="13">
        <f>G21*Inputs!$B$15+H22</f>
        <v>260.18916577499994</v>
      </c>
      <c r="I21" s="13">
        <f>H21*Inputs!$B$15+I22</f>
        <v>286.20808235249996</v>
      </c>
      <c r="J21" s="13">
        <f>I21*Inputs!$B$15+J22</f>
        <v>314.82889058774998</v>
      </c>
      <c r="K21" s="13">
        <f>J21*Inputs!$B$15+K22</f>
        <v>346.311779646525</v>
      </c>
      <c r="L21" s="13">
        <f>K21*Inputs!$B$15+L22</f>
        <v>380.94295761117752</v>
      </c>
      <c r="N21" s="2"/>
    </row>
    <row r="22" spans="1:14" x14ac:dyDescent="0.2">
      <c r="A22" s="3" t="s">
        <v>74</v>
      </c>
      <c r="B22" s="13">
        <v>0</v>
      </c>
      <c r="C22" s="13">
        <f>(B21)*(1+Inputs!$B$20)-(B21)+B21*(1-Inputs!$B$15)</f>
        <v>26.45999999999998</v>
      </c>
      <c r="D22" s="13">
        <f>(C21)*(1+Inputs!$B$20)-(C21)+C21*(1-Inputs!$B$15)</f>
        <v>30.428999999999967</v>
      </c>
      <c r="E22" s="13">
        <f>(D21)*(1+Inputs!$B$20)-(D21)+D21*(1-Inputs!$B$15)</f>
        <v>34.993349999999964</v>
      </c>
      <c r="F22" s="13">
        <f>(E21)*(1+Inputs!$B$20)-(E21)+E21*(1-Inputs!$B$15)</f>
        <v>40.242352499999967</v>
      </c>
      <c r="G22" s="13">
        <f>(F21)*(1+Inputs!$B$20)-(F21)+F21*(1-Inputs!$B$15)</f>
        <v>46.278705374999966</v>
      </c>
      <c r="H22" s="13">
        <f>(G21)*(1+Inputs!$B$21)-(G21)+G21*(1-Inputs!$B$15)</f>
        <v>41.393730918750002</v>
      </c>
      <c r="I22" s="13">
        <f>(H21)*(1+Inputs!$B$21)-(H21)+H21*(1-Inputs!$B$15)</f>
        <v>45.53310401062501</v>
      </c>
      <c r="J22" s="13">
        <f>(I21)*(1+Inputs!$B$21)-(I21)+I21*(1-Inputs!$B$15)</f>
        <v>50.086414411687507</v>
      </c>
      <c r="K22" s="13">
        <f>(J21)*(1+Inputs!$B$21)-(J21)+J21*(1-Inputs!$B$15)</f>
        <v>55.095055852856248</v>
      </c>
      <c r="L22" s="13">
        <f>(K21)*(1+Inputs!$B$21)-(K21)+K21*(1-Inputs!$B$15)</f>
        <v>60.604561438141886</v>
      </c>
    </row>
    <row r="23" spans="1:14" x14ac:dyDescent="0.2">
      <c r="A23" s="3" t="s">
        <v>75</v>
      </c>
      <c r="B23" s="14">
        <f>B18</f>
        <v>397.88317031516306</v>
      </c>
      <c r="C23" s="14">
        <f>B23*(1+Inputs!$B$31)</f>
        <v>405.84083372146631</v>
      </c>
      <c r="D23" s="14">
        <f>C23*(1+Inputs!$B$31)</f>
        <v>413.95765039589566</v>
      </c>
      <c r="E23" s="14">
        <f>D23*(1+Inputs!$B$31)</f>
        <v>422.23680340381355</v>
      </c>
      <c r="F23" s="14">
        <f>E23*(1+Inputs!$B$31)</f>
        <v>430.68153947188983</v>
      </c>
      <c r="G23" s="14">
        <f>F23*(1+Inputs!$B$31)</f>
        <v>439.29517026132766</v>
      </c>
      <c r="H23" s="14">
        <f>G23*(1+Inputs!$B$31)</f>
        <v>448.08107366655423</v>
      </c>
      <c r="I23" s="14">
        <f>H23*(1+Inputs!$B$31)</f>
        <v>457.04269513988532</v>
      </c>
      <c r="J23" s="14">
        <f>I23*(1+Inputs!$B$31)</f>
        <v>466.18354904268301</v>
      </c>
      <c r="K23" s="14">
        <f>J23*(1+Inputs!$B$31)</f>
        <v>475.50722002353666</v>
      </c>
      <c r="L23" s="14">
        <f>K23*(1+Inputs!$B$31)</f>
        <v>485.01736442400738</v>
      </c>
    </row>
    <row r="24" spans="1:14" x14ac:dyDescent="0.2">
      <c r="A24" s="3" t="s">
        <v>76</v>
      </c>
      <c r="B24" s="12"/>
      <c r="C24" s="15">
        <f t="shared" ref="C24:L24" si="5">C22*C23</f>
        <v>10738.548460269991</v>
      </c>
      <c r="D24" s="15">
        <f t="shared" si="5"/>
        <v>12596.317343896695</v>
      </c>
      <c r="E24" s="15">
        <f t="shared" si="5"/>
        <v>14775.480244390823</v>
      </c>
      <c r="F24" s="15">
        <f t="shared" si="5"/>
        <v>17331.63832667044</v>
      </c>
      <c r="G24" s="15">
        <f t="shared" si="5"/>
        <v>20330.011757184428</v>
      </c>
      <c r="H24" s="15">
        <f t="shared" si="5"/>
        <v>18547.747393137943</v>
      </c>
      <c r="I24" s="15">
        <f t="shared" si="5"/>
        <v>20810.572575100778</v>
      </c>
      <c r="J24" s="15">
        <f t="shared" si="5"/>
        <v>23349.462429263069</v>
      </c>
      <c r="K24" s="15">
        <f t="shared" si="5"/>
        <v>26198.096845633157</v>
      </c>
      <c r="L24" s="15">
        <f t="shared" si="5"/>
        <v>29394.264660800407</v>
      </c>
    </row>
    <row r="25" spans="1:14" x14ac:dyDescent="0.2">
      <c r="A25" s="3" t="s">
        <v>77</v>
      </c>
      <c r="B25" s="12"/>
      <c r="C25" s="15"/>
      <c r="D25" s="15"/>
      <c r="E25" s="15"/>
      <c r="F25" s="15"/>
      <c r="G25" s="15"/>
      <c r="H25" s="15"/>
      <c r="I25" s="15"/>
      <c r="J25" s="15"/>
      <c r="K25" s="15"/>
      <c r="L25" s="15">
        <f>(L21*Inputs!B22*Valuation!L23*(1+Inputs!B31))/(Inputs!B35-Inputs!B31)</f>
        <v>31673.81987939309</v>
      </c>
    </row>
    <row r="26" spans="1:14" ht="17" thickBot="1" x14ac:dyDescent="0.25">
      <c r="A26" s="3" t="s">
        <v>11</v>
      </c>
      <c r="B26" s="36"/>
      <c r="C26" s="17">
        <f>C24/(1+Inputs!$B$35)^Valuation!C20</f>
        <v>9947.7058455488568</v>
      </c>
      <c r="D26" s="17">
        <f>D24/(1+Inputs!$B$35)^Valuation!D20</f>
        <v>10809.318162879859</v>
      </c>
      <c r="E26" s="17">
        <f>E24/(1+Inputs!$B$35)^Valuation!E20</f>
        <v>11745.558318719848</v>
      </c>
      <c r="F26" s="17">
        <f>F24/(1+Inputs!$B$35)^Valuation!F20</f>
        <v>12762.890141601099</v>
      </c>
      <c r="G26" s="17">
        <f>G24/(1+Inputs!$B$35)^Valuation!G20</f>
        <v>13868.337319220096</v>
      </c>
      <c r="H26" s="17">
        <f>H24/(1+Inputs!$B$35)^Valuation!H20</f>
        <v>11720.747025692586</v>
      </c>
      <c r="I26" s="17">
        <f>I24/(1+Inputs!$B$35)^Valuation!I20</f>
        <v>12182.193758987576</v>
      </c>
      <c r="J26" s="17">
        <f>J24/(1+Inputs!$B$35)^Valuation!J20</f>
        <v>12661.807686506769</v>
      </c>
      <c r="K26" s="17">
        <f>K24/(1+Inputs!$B$35)^Valuation!K20</f>
        <v>13160.304052117272</v>
      </c>
      <c r="L26" s="17">
        <f>(L25+L24)/(1+Inputs!B35)^Valuation!L20</f>
        <v>28417.628431742094</v>
      </c>
    </row>
    <row r="27" spans="1:14" ht="17" thickBot="1" x14ac:dyDescent="0.25">
      <c r="A27" s="35" t="s">
        <v>34</v>
      </c>
      <c r="B27" s="40">
        <f>SUM(C26:L26)</f>
        <v>137276.49074301607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</row>
    <row r="29" spans="1:14" x14ac:dyDescent="0.2">
      <c r="A29" s="1" t="s">
        <v>35</v>
      </c>
    </row>
    <row r="30" spans="1:14" s="8" customFormat="1" x14ac:dyDescent="0.2">
      <c r="B30" s="8" t="str">
        <f>B20</f>
        <v>Base Year</v>
      </c>
      <c r="C30" s="8">
        <f t="shared" ref="C30:L30" si="6">C20</f>
        <v>1</v>
      </c>
      <c r="D30" s="8">
        <f t="shared" si="6"/>
        <v>2</v>
      </c>
      <c r="E30" s="8">
        <f t="shared" si="6"/>
        <v>3</v>
      </c>
      <c r="F30" s="8">
        <f t="shared" si="6"/>
        <v>4</v>
      </c>
      <c r="G30" s="8">
        <f t="shared" si="6"/>
        <v>5</v>
      </c>
      <c r="H30" s="8">
        <f t="shared" si="6"/>
        <v>6</v>
      </c>
      <c r="I30" s="8">
        <f t="shared" si="6"/>
        <v>7</v>
      </c>
      <c r="J30" s="8">
        <f t="shared" si="6"/>
        <v>8</v>
      </c>
      <c r="K30" s="8">
        <f t="shared" si="6"/>
        <v>9</v>
      </c>
      <c r="L30" s="8">
        <f t="shared" si="6"/>
        <v>10</v>
      </c>
    </row>
    <row r="31" spans="1:14" x14ac:dyDescent="0.2">
      <c r="A31" t="s">
        <v>124</v>
      </c>
      <c r="B31" s="20">
        <f>Inputs!B10</f>
        <v>1053</v>
      </c>
      <c r="C31" s="21">
        <f>B31*(1+Inputs!$B$25)</f>
        <v>1105.6500000000001</v>
      </c>
      <c r="D31" s="21">
        <f>C31*(1+Inputs!$B$25)</f>
        <v>1160.9325000000001</v>
      </c>
      <c r="E31" s="21">
        <f>D31*(1+Inputs!$B$25)</f>
        <v>1218.9791250000001</v>
      </c>
      <c r="F31" s="21">
        <f>E31*(1+Inputs!$B$25)</f>
        <v>1279.9280812500001</v>
      </c>
      <c r="G31" s="21">
        <f>F31*(1+Inputs!$B$25)</f>
        <v>1343.9244853125001</v>
      </c>
      <c r="H31" s="21">
        <f>G31*(1+Inputs!$B$25)</f>
        <v>1411.1207095781251</v>
      </c>
      <c r="I31" s="21">
        <f>H31*(1+Inputs!$B$25)</f>
        <v>1481.6767450570314</v>
      </c>
      <c r="J31" s="21">
        <f>I31*(1+Inputs!$B$25)</f>
        <v>1555.7605823098831</v>
      </c>
      <c r="K31" s="21">
        <f>J31*(1+Inputs!$B$25)</f>
        <v>1633.5486114253774</v>
      </c>
      <c r="L31" s="21">
        <f>K31*(1+Inputs!$B$25)</f>
        <v>1715.2260419966465</v>
      </c>
    </row>
    <row r="32" spans="1:14" x14ac:dyDescent="0.2">
      <c r="A32" t="s">
        <v>112</v>
      </c>
      <c r="B32" s="20">
        <f>Inputs!B11*(1-Inputs!B12)</f>
        <v>6128</v>
      </c>
      <c r="C32" s="21">
        <f>B32*(1+Inputs!$B$27)</f>
        <v>6311.84</v>
      </c>
      <c r="D32" s="21">
        <f>C32*(1+Inputs!$B$27)</f>
        <v>6501.1952000000001</v>
      </c>
      <c r="E32" s="21">
        <f>D32*(1+Inputs!$B$27)</f>
        <v>6696.2310560000005</v>
      </c>
      <c r="F32" s="21">
        <f>E32*(1+Inputs!$B$27)</f>
        <v>6897.1179876800006</v>
      </c>
      <c r="G32" s="21">
        <f>F32*(1+Inputs!$B$27)</f>
        <v>7104.0315273104006</v>
      </c>
      <c r="H32" s="21">
        <f>G32*(1+Inputs!$B$27)</f>
        <v>7317.1524731297131</v>
      </c>
      <c r="I32" s="21">
        <f>H32*(1+Inputs!$B$27)</f>
        <v>7536.6670473236045</v>
      </c>
      <c r="J32" s="21">
        <f>I32*(1+Inputs!$B$27)</f>
        <v>7762.7670587433131</v>
      </c>
      <c r="K32" s="21">
        <f>J32*(1+Inputs!$B$27)</f>
        <v>7995.6500705056123</v>
      </c>
      <c r="L32" s="21">
        <f>K32*(1+Inputs!$B$27)</f>
        <v>8235.5195726207803</v>
      </c>
      <c r="N32" s="43"/>
    </row>
    <row r="33" spans="1:12" x14ac:dyDescent="0.2">
      <c r="A33" t="s">
        <v>36</v>
      </c>
      <c r="B33" s="16"/>
      <c r="C33" s="9">
        <f>(C31+C32)*(1-C8)</f>
        <v>5563.1175000000003</v>
      </c>
      <c r="D33" s="9">
        <f t="shared" ref="D33:L33" si="7">(D31+D32)*(1-D8)</f>
        <v>5746.5957749999998</v>
      </c>
      <c r="E33" s="9">
        <f t="shared" si="7"/>
        <v>5936.4076357499998</v>
      </c>
      <c r="F33" s="9">
        <f t="shared" si="7"/>
        <v>6132.7845516975003</v>
      </c>
      <c r="G33" s="9">
        <f t="shared" si="7"/>
        <v>6335.9670094671756</v>
      </c>
      <c r="H33" s="9">
        <f t="shared" si="7"/>
        <v>6546.204887030879</v>
      </c>
      <c r="I33" s="9">
        <f t="shared" si="7"/>
        <v>6763.7578442854774</v>
      </c>
      <c r="J33" s="9">
        <f t="shared" si="7"/>
        <v>6988.8957307898982</v>
      </c>
      <c r="K33" s="9">
        <f t="shared" si="7"/>
        <v>7221.8990114482422</v>
      </c>
      <c r="L33" s="9">
        <f t="shared" si="7"/>
        <v>7463.0592109630697</v>
      </c>
    </row>
    <row r="34" spans="1:12" x14ac:dyDescent="0.2">
      <c r="A34" t="s">
        <v>37</v>
      </c>
      <c r="B34" s="16"/>
      <c r="C34" s="9"/>
      <c r="D34" s="9"/>
      <c r="E34" s="9"/>
      <c r="F34" s="9"/>
      <c r="G34" s="9"/>
      <c r="H34" s="9"/>
      <c r="I34" s="9"/>
      <c r="J34" s="9"/>
      <c r="K34" s="9"/>
      <c r="L34" s="9">
        <f>L33*(1+Inputs!B30)/(Inputs!B33-Inputs!B30)</f>
        <v>147467.17960124143</v>
      </c>
    </row>
    <row r="35" spans="1:12" ht="17" thickBot="1" x14ac:dyDescent="0.25">
      <c r="A35" t="s">
        <v>38</v>
      </c>
      <c r="B35" s="18"/>
      <c r="C35" s="21">
        <f>C33/(1+Inputs!$B$33)^Valuation!C20</f>
        <v>5153.4205650764252</v>
      </c>
      <c r="D35" s="21">
        <f>D33/(1+Inputs!$B$33)^Valuation!D20</f>
        <v>4931.3446453882534</v>
      </c>
      <c r="E35" s="21">
        <f>E33/(1+Inputs!$B$33)^Valuation!E20</f>
        <v>4719.0629973509995</v>
      </c>
      <c r="F35" s="21">
        <f>F33/(1+Inputs!$B$33)^Valuation!F20</f>
        <v>4516.1371371900941</v>
      </c>
      <c r="G35" s="21">
        <f>G33/(1+Inputs!$B$33)^Valuation!G20</f>
        <v>4322.1483971689695</v>
      </c>
      <c r="H35" s="21">
        <f>H33/(1+Inputs!$B$33)^Valuation!H20</f>
        <v>4136.6970248704001</v>
      </c>
      <c r="I35" s="21">
        <f>I33/(1+Inputs!$B$33)^Valuation!I20</f>
        <v>3959.4013235629959</v>
      </c>
      <c r="J35" s="21">
        <f>J33/(1+Inputs!$B$33)^Valuation!J20</f>
        <v>3789.8968317748449</v>
      </c>
      <c r="K35" s="21">
        <f>K33/(1+Inputs!$B$33)^Valuation!K20</f>
        <v>3627.8355402822399</v>
      </c>
      <c r="L35" s="21">
        <f>(L33+L34)/(1+Inputs!$B$33)^Valuation!L20</f>
        <v>72095.759881063816</v>
      </c>
    </row>
    <row r="36" spans="1:12" ht="17" thickBot="1" x14ac:dyDescent="0.25">
      <c r="A36" t="s">
        <v>41</v>
      </c>
      <c r="B36" s="44">
        <f>SUM(C35:L35)</f>
        <v>111251.70434372904</v>
      </c>
      <c r="C36" s="43"/>
      <c r="D36" s="43"/>
      <c r="E36" s="43"/>
      <c r="F36" s="43"/>
      <c r="G36" s="43"/>
      <c r="H36" s="43"/>
      <c r="I36" s="43"/>
      <c r="J36" s="43"/>
      <c r="K36" s="43"/>
      <c r="L36" s="43"/>
    </row>
    <row r="38" spans="1:12" x14ac:dyDescent="0.2">
      <c r="A38" s="91" t="s">
        <v>114</v>
      </c>
      <c r="B38" s="91"/>
    </row>
    <row r="39" spans="1:12" x14ac:dyDescent="0.2">
      <c r="A39" s="3" t="s">
        <v>102</v>
      </c>
      <c r="B39" s="21">
        <f>B21*B12</f>
        <v>59845.862191151711</v>
      </c>
    </row>
    <row r="40" spans="1:12" x14ac:dyDescent="0.2">
      <c r="A40" s="3" t="s">
        <v>103</v>
      </c>
      <c r="B40" s="21">
        <f>SUM(C26:L26)</f>
        <v>137276.49074301607</v>
      </c>
    </row>
    <row r="41" spans="1:12" x14ac:dyDescent="0.2">
      <c r="A41" s="3" t="s">
        <v>58</v>
      </c>
      <c r="B41" s="21">
        <f>SUM(C35:L35)</f>
        <v>111251.70434372904</v>
      </c>
    </row>
    <row r="42" spans="1:12" x14ac:dyDescent="0.2">
      <c r="A42" s="3" t="s">
        <v>140</v>
      </c>
      <c r="B42" s="21">
        <f>SUM(B39:B40)-B41</f>
        <v>85870.648590438737</v>
      </c>
    </row>
    <row r="43" spans="1:12" x14ac:dyDescent="0.2">
      <c r="A43" s="3" t="s">
        <v>65</v>
      </c>
      <c r="B43" s="21">
        <f>Inputs!B37+Inputs!B38</f>
        <v>2823</v>
      </c>
    </row>
    <row r="44" spans="1:12" x14ac:dyDescent="0.2">
      <c r="A44" s="3" t="s">
        <v>46</v>
      </c>
      <c r="B44" s="21">
        <f>Inputs!B39</f>
        <v>6500</v>
      </c>
    </row>
    <row r="45" spans="1:12" x14ac:dyDescent="0.2">
      <c r="A45" s="66" t="s">
        <v>66</v>
      </c>
      <c r="B45" s="82">
        <f>B39+B40-B41+B43-B44</f>
        <v>82193.648590438737</v>
      </c>
    </row>
    <row r="46" spans="1:12" x14ac:dyDescent="0.2">
      <c r="A46" s="3" t="s">
        <v>105</v>
      </c>
      <c r="B46" s="9">
        <f>Inputs!B40</f>
        <v>4978</v>
      </c>
    </row>
    <row r="47" spans="1:12" x14ac:dyDescent="0.2">
      <c r="A47" s="66" t="s">
        <v>106</v>
      </c>
      <c r="B47" s="82">
        <f>B45-B46</f>
        <v>77215.648590438737</v>
      </c>
    </row>
    <row r="48" spans="1:12" x14ac:dyDescent="0.2">
      <c r="A48" s="3" t="s">
        <v>117</v>
      </c>
      <c r="B48" s="16">
        <f>Inputs!B41</f>
        <v>446.81</v>
      </c>
    </row>
    <row r="49" spans="1:2" x14ac:dyDescent="0.2">
      <c r="A49" s="66" t="s">
        <v>118</v>
      </c>
      <c r="B49" s="9">
        <f>B47/B48</f>
        <v>172.81539936536501</v>
      </c>
    </row>
  </sheetData>
  <mergeCells count="1">
    <mergeCell ref="A38:B38"/>
  </mergeCells>
  <pageMargins left="0.7" right="0.7" top="0.75" bottom="0.75" header="0.3" footer="0.3"/>
  <pageSetup orientation="portrait" horizontalDpi="0" verticalDpi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workbookViewId="0">
      <selection activeCell="B47" sqref="B47"/>
    </sheetView>
  </sheetViews>
  <sheetFormatPr baseColWidth="10" defaultRowHeight="16" x14ac:dyDescent="0.2"/>
  <cols>
    <col min="2" max="2" width="39.6640625" customWidth="1"/>
  </cols>
  <sheetData>
    <row r="1" spans="1:2" x14ac:dyDescent="0.2">
      <c r="A1" s="1" t="s">
        <v>12</v>
      </c>
      <c r="B1" s="1" t="s">
        <v>16</v>
      </c>
    </row>
    <row r="2" spans="1:2" x14ac:dyDescent="0.2">
      <c r="A2" t="s">
        <v>13</v>
      </c>
      <c r="B2" t="s">
        <v>17</v>
      </c>
    </row>
    <row r="3" spans="1:2" x14ac:dyDescent="0.2">
      <c r="A3" t="s">
        <v>14</v>
      </c>
      <c r="B3" t="s">
        <v>18</v>
      </c>
    </row>
    <row r="4" spans="1:2" x14ac:dyDescent="0.2">
      <c r="B4" t="s">
        <v>19</v>
      </c>
    </row>
    <row r="5" spans="1:2" x14ac:dyDescent="0.2">
      <c r="B5" t="s">
        <v>20</v>
      </c>
    </row>
    <row r="6" spans="1:2" x14ac:dyDescent="0.2">
      <c r="B6" t="s">
        <v>21</v>
      </c>
    </row>
    <row r="7" spans="1:2" x14ac:dyDescent="0.2">
      <c r="B7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Inputs</vt:lpstr>
      <vt:lpstr>Valuation</vt:lpstr>
      <vt:lpstr>Input choices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2017-06-26T12:13:33Z</dcterms:created>
  <dcterms:modified xsi:type="dcterms:W3CDTF">2025-01-25T02:51:54Z</dcterms:modified>
</cp:coreProperties>
</file>