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chartsheets/sheet1.xml" ContentType="application/vnd.openxmlformats-officedocument.spreadsheetml.chart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drawings/drawing4.xml" ContentType="application/vnd.openxmlformats-officedocument.drawingml.chartshape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inv4ed/"/>
    </mc:Choice>
  </mc:AlternateContent>
  <xr:revisionPtr revIDLastSave="0" documentId="13_ncr:1_{A59607B1-06CE-0F48-A847-A44A43D629E0}" xr6:coauthVersionLast="47" xr6:coauthVersionMax="47" xr10:uidLastSave="{00000000-0000-0000-0000-000000000000}"/>
  <bookViews>
    <workbookView xWindow="640" yWindow="7800" windowWidth="38400" windowHeight="23500" tabRatio="772" activeTab="1" xr2:uid="{00000000-000D-0000-FFFF-FFFF00000000}"/>
  </bookViews>
  <sheets>
    <sheet name="Master Inputs" sheetId="30" r:id="rId1"/>
    <sheet name="Input sheet" sheetId="11" r:id="rId2"/>
    <sheet name="Valuation output" sheetId="13" r:id="rId3"/>
    <sheet name="Stories to Numbers" sheetId="28" r:id="rId4"/>
    <sheet name="Diagnostics" sheetId="12" r:id="rId5"/>
    <sheet name="TeslaValue" sheetId="32" r:id="rId6"/>
    <sheet name="Business Value" sheetId="31" r:id="rId7"/>
    <sheet name="Option value" sheetId="14" r:id="rId8"/>
    <sheet name="Cost of capital worksheet" sheetId="19" r:id="rId9"/>
    <sheet name="Synthetic rating" sheetId="20" r:id="rId10"/>
    <sheet name="R&amp; D converter" sheetId="25" r:id="rId11"/>
    <sheet name="Operating lease converter" sheetId="18" r:id="rId12"/>
    <sheet name="Country equity risk premiums" sheetId="23" r:id="rId13"/>
    <sheet name="Industry Average Beta (US)" sheetId="8" r:id="rId14"/>
    <sheet name="Industry Average Beta (Global)" sheetId="26" r:id="rId15"/>
    <sheet name="Trailing 12 month" sheetId="24" r:id="rId16"/>
    <sheet name="Answer keys" sheetId="21" r:id="rId17"/>
  </sheets>
  <definedNames>
    <definedName name="_xlchart.v1.0" hidden="1">'Business Value'!$A$2:$A$5</definedName>
    <definedName name="_xlchart.v1.1" hidden="1">'Business Value'!$B$1</definedName>
    <definedName name="_xlchart.v1.2" hidden="1">'Business Value'!$B$2:$B$5</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20" i="11" l="1"/>
  <c r="C14" i="11"/>
  <c r="B14" i="11"/>
  <c r="D12" i="20"/>
  <c r="B5" i="31"/>
  <c r="B4" i="31"/>
  <c r="C17" i="11"/>
  <c r="B17" i="11"/>
  <c r="B11" i="18"/>
  <c r="B10" i="18"/>
  <c r="B9" i="18"/>
  <c r="B8" i="18"/>
  <c r="B7" i="18"/>
  <c r="B49" i="11"/>
  <c r="B10" i="11"/>
  <c r="B9" i="11"/>
  <c r="B8" i="11"/>
  <c r="G29" i="19"/>
  <c r="G28" i="19"/>
  <c r="G27" i="19"/>
  <c r="G26" i="19"/>
  <c r="G25" i="19"/>
  <c r="G24" i="19"/>
  <c r="G23" i="19"/>
  <c r="G22" i="19"/>
  <c r="I21" i="19"/>
  <c r="I14" i="19"/>
  <c r="I13" i="19"/>
  <c r="I12" i="19"/>
  <c r="I11" i="19"/>
  <c r="I10" i="19"/>
  <c r="I9" i="19"/>
  <c r="I8" i="19"/>
  <c r="I7" i="19"/>
  <c r="I15" i="19"/>
  <c r="G21" i="19"/>
  <c r="B983250" i="23"/>
  <c r="B983249" i="23"/>
  <c r="B983248" i="23"/>
  <c r="B983247" i="23"/>
  <c r="B983246" i="23"/>
  <c r="B983245" i="23"/>
  <c r="B983244" i="23"/>
  <c r="B983243" i="23"/>
  <c r="B983242" i="23"/>
  <c r="B983241" i="23"/>
  <c r="D983235" i="23"/>
  <c r="D983234" i="23"/>
  <c r="D983233" i="23"/>
  <c r="D983232" i="23"/>
  <c r="D983231" i="23"/>
  <c r="D983230" i="23"/>
  <c r="D983229" i="23"/>
  <c r="D983228" i="23"/>
  <c r="D983227" i="23"/>
  <c r="D983226" i="23"/>
  <c r="D983225" i="23"/>
  <c r="D983224" i="23"/>
  <c r="D983223" i="23"/>
  <c r="D983222" i="23"/>
  <c r="D983221" i="23"/>
  <c r="D983220" i="23"/>
  <c r="D983219" i="23"/>
  <c r="D983218" i="23"/>
  <c r="D983217" i="23"/>
  <c r="D983216" i="23"/>
  <c r="D983215" i="23"/>
  <c r="D983214" i="23"/>
  <c r="D983213" i="23"/>
  <c r="D983212" i="23"/>
  <c r="D983211" i="23"/>
  <c r="D983210" i="23"/>
  <c r="D983209" i="23"/>
  <c r="D983208" i="23"/>
  <c r="D983207" i="23"/>
  <c r="D983206" i="23"/>
  <c r="D983205" i="23"/>
  <c r="D983204" i="23"/>
  <c r="D983203" i="23"/>
  <c r="D983202" i="23"/>
  <c r="D983201" i="23"/>
  <c r="D983200" i="23"/>
  <c r="D983199" i="23"/>
  <c r="D983198" i="23"/>
  <c r="D983197" i="23"/>
  <c r="D983196" i="23"/>
  <c r="D983195" i="23"/>
  <c r="D983194" i="23"/>
  <c r="D983193" i="23"/>
  <c r="D983192" i="23"/>
  <c r="D983191" i="23"/>
  <c r="D983190" i="23"/>
  <c r="D983189" i="23"/>
  <c r="D983188" i="23"/>
  <c r="D983187" i="23"/>
  <c r="D983186" i="23"/>
  <c r="D983185" i="23"/>
  <c r="D983184" i="23"/>
  <c r="D983183" i="23"/>
  <c r="D983182" i="23"/>
  <c r="D983181" i="23"/>
  <c r="D983180" i="23"/>
  <c r="D983179" i="23"/>
  <c r="D983178" i="23"/>
  <c r="D983177" i="23"/>
  <c r="D983176" i="23"/>
  <c r="D983175" i="23"/>
  <c r="D983174" i="23"/>
  <c r="D983173" i="23"/>
  <c r="D983172" i="23"/>
  <c r="D983171" i="23"/>
  <c r="D983170" i="23"/>
  <c r="D983169" i="23"/>
  <c r="D983168" i="23"/>
  <c r="D983167" i="23"/>
  <c r="D983166" i="23"/>
  <c r="D983165" i="23"/>
  <c r="D983164" i="23"/>
  <c r="D983163" i="23"/>
  <c r="D983162" i="23"/>
  <c r="D983161" i="23"/>
  <c r="D983160" i="23"/>
  <c r="D983159" i="23"/>
  <c r="D983158" i="23"/>
  <c r="F983157" i="23"/>
  <c r="E983157" i="23"/>
  <c r="D983157" i="23" s="1"/>
  <c r="C983157" i="23"/>
  <c r="D983156" i="23"/>
  <c r="D983155" i="23"/>
  <c r="D983154" i="23"/>
  <c r="D983153" i="23"/>
  <c r="D983152" i="23"/>
  <c r="D983151" i="23"/>
  <c r="D983150" i="23"/>
  <c r="D983149" i="23"/>
  <c r="D983148" i="23"/>
  <c r="D983147" i="23"/>
  <c r="D983146" i="23"/>
  <c r="D983145" i="23"/>
  <c r="D983144" i="23"/>
  <c r="D983143" i="23"/>
  <c r="D983142" i="23"/>
  <c r="D983141" i="23"/>
  <c r="D983140" i="23"/>
  <c r="D983139" i="23"/>
  <c r="D983138" i="23"/>
  <c r="D983137" i="23"/>
  <c r="D983136" i="23"/>
  <c r="D983135" i="23"/>
  <c r="D983134" i="23"/>
  <c r="D983133" i="23"/>
  <c r="D983132" i="23"/>
  <c r="D983131" i="23"/>
  <c r="D983130" i="23"/>
  <c r="D983129" i="23"/>
  <c r="D983128" i="23"/>
  <c r="D983127" i="23"/>
  <c r="D983126" i="23"/>
  <c r="D983125" i="23"/>
  <c r="D983124" i="23"/>
  <c r="D983123" i="23"/>
  <c r="D983122" i="23"/>
  <c r="D983121" i="23"/>
  <c r="D983120" i="23"/>
  <c r="D983119" i="23"/>
  <c r="D983118" i="23"/>
  <c r="D983117" i="23"/>
  <c r="D983116" i="23"/>
  <c r="D983115" i="23"/>
  <c r="D983114" i="23"/>
  <c r="D983113" i="23"/>
  <c r="F983112" i="23"/>
  <c r="E983112" i="23"/>
  <c r="D983112" i="23" s="1"/>
  <c r="C983112" i="23"/>
  <c r="D983111" i="23"/>
  <c r="D983110" i="23"/>
  <c r="D983109" i="23"/>
  <c r="D983108" i="23"/>
  <c r="D983107" i="23"/>
  <c r="D983106" i="23"/>
  <c r="D983105" i="23"/>
  <c r="D983104" i="23"/>
  <c r="D983103" i="23"/>
  <c r="D983102" i="23"/>
  <c r="D983101" i="23"/>
  <c r="D983100" i="23"/>
  <c r="D983099" i="23"/>
  <c r="D983098" i="23"/>
  <c r="D983097" i="23"/>
  <c r="D983096" i="23"/>
  <c r="D983095" i="23"/>
  <c r="D983094" i="23"/>
  <c r="D983093" i="23"/>
  <c r="D983092" i="23"/>
  <c r="D983091" i="23"/>
  <c r="D983090" i="23"/>
  <c r="D983089" i="23"/>
  <c r="D983088" i="23"/>
  <c r="D983087" i="23"/>
  <c r="D983086" i="23"/>
  <c r="D983085" i="23"/>
  <c r="D983084" i="23"/>
  <c r="D983083" i="23"/>
  <c r="D983082" i="23"/>
  <c r="D983081" i="23"/>
  <c r="D983080" i="23"/>
  <c r="D983079" i="23"/>
  <c r="D983078" i="23"/>
  <c r="D983077" i="23"/>
  <c r="D983076" i="23"/>
  <c r="D983075" i="23"/>
  <c r="D983074" i="23"/>
  <c r="D983073" i="23"/>
  <c r="D983072" i="23"/>
  <c r="D983071" i="23"/>
  <c r="D983070" i="23"/>
  <c r="D983069" i="23"/>
  <c r="D983068" i="23"/>
  <c r="D983067" i="23"/>
  <c r="D983066" i="23"/>
  <c r="D983065" i="23"/>
  <c r="D983064" i="23"/>
  <c r="D983063" i="23"/>
  <c r="D983062" i="23"/>
  <c r="D983061" i="23"/>
  <c r="D983060" i="23"/>
  <c r="D983059" i="23"/>
  <c r="D983058" i="23"/>
  <c r="D983057" i="23"/>
  <c r="D983056" i="23"/>
  <c r="D983055" i="23"/>
  <c r="D983054" i="23"/>
  <c r="D983053" i="23"/>
  <c r="D983052" i="23"/>
  <c r="D983051" i="23"/>
  <c r="D983050" i="23"/>
  <c r="D983049" i="23"/>
  <c r="D983048" i="23"/>
  <c r="D983047" i="23"/>
  <c r="D983046" i="23"/>
  <c r="D983045" i="23"/>
  <c r="B917714" i="23"/>
  <c r="B917713" i="23"/>
  <c r="B917712" i="23"/>
  <c r="B917711" i="23"/>
  <c r="B917710" i="23"/>
  <c r="B917709" i="23"/>
  <c r="B917708" i="23"/>
  <c r="B917707" i="23"/>
  <c r="B917706" i="23"/>
  <c r="B917705" i="23"/>
  <c r="D917699" i="23"/>
  <c r="D917698" i="23"/>
  <c r="D917697" i="23"/>
  <c r="D917696" i="23"/>
  <c r="D917695" i="23"/>
  <c r="D917694" i="23"/>
  <c r="D917693" i="23"/>
  <c r="D917692" i="23"/>
  <c r="D917691" i="23"/>
  <c r="D917690" i="23"/>
  <c r="D917689" i="23"/>
  <c r="D917688" i="23"/>
  <c r="D917687" i="23"/>
  <c r="D917686" i="23"/>
  <c r="D917685" i="23"/>
  <c r="D917684" i="23"/>
  <c r="D917683" i="23"/>
  <c r="D917682" i="23"/>
  <c r="D917681" i="23"/>
  <c r="D917680" i="23"/>
  <c r="D917679" i="23"/>
  <c r="D917678" i="23"/>
  <c r="D917677" i="23"/>
  <c r="D917676" i="23"/>
  <c r="D917675" i="23"/>
  <c r="D917674" i="23"/>
  <c r="D917673" i="23"/>
  <c r="D917672" i="23"/>
  <c r="D917671" i="23"/>
  <c r="D917670" i="23"/>
  <c r="D917669" i="23"/>
  <c r="D917668" i="23"/>
  <c r="D917667" i="23"/>
  <c r="D917666" i="23"/>
  <c r="D917665" i="23"/>
  <c r="D917664" i="23"/>
  <c r="D917663" i="23"/>
  <c r="D917662" i="23"/>
  <c r="D917661" i="23"/>
  <c r="D917660" i="23"/>
  <c r="D917659" i="23"/>
  <c r="D917658" i="23"/>
  <c r="D917657" i="23"/>
  <c r="D917656" i="23"/>
  <c r="D917655" i="23"/>
  <c r="D917654" i="23"/>
  <c r="D917653" i="23"/>
  <c r="D917652" i="23"/>
  <c r="D917651" i="23"/>
  <c r="D917650" i="23"/>
  <c r="D917649" i="23"/>
  <c r="D917648" i="23"/>
  <c r="D917647" i="23"/>
  <c r="D917646" i="23"/>
  <c r="D917645" i="23"/>
  <c r="D917644" i="23"/>
  <c r="D917643" i="23"/>
  <c r="D917642" i="23"/>
  <c r="D917641" i="23"/>
  <c r="D917640" i="23"/>
  <c r="D917639" i="23"/>
  <c r="D917638" i="23"/>
  <c r="D917637" i="23"/>
  <c r="D917636" i="23"/>
  <c r="D917635" i="23"/>
  <c r="D917634" i="23"/>
  <c r="D917633" i="23"/>
  <c r="D917632" i="23"/>
  <c r="D917631" i="23"/>
  <c r="D917630" i="23"/>
  <c r="D917629" i="23"/>
  <c r="D917628" i="23"/>
  <c r="D917627" i="23"/>
  <c r="D917626" i="23"/>
  <c r="D917625" i="23"/>
  <c r="D917624" i="23"/>
  <c r="D917623" i="23"/>
  <c r="D917622" i="23"/>
  <c r="F917621" i="23"/>
  <c r="E917621" i="23"/>
  <c r="D917621" i="23"/>
  <c r="C917621" i="23"/>
  <c r="D917620" i="23"/>
  <c r="D917619" i="23"/>
  <c r="D917618" i="23"/>
  <c r="D917617" i="23"/>
  <c r="D917616" i="23"/>
  <c r="D917615" i="23"/>
  <c r="D917614" i="23"/>
  <c r="D917613" i="23"/>
  <c r="D917612" i="23"/>
  <c r="D917611" i="23"/>
  <c r="D917610" i="23"/>
  <c r="D917609" i="23"/>
  <c r="D917608" i="23"/>
  <c r="D917607" i="23"/>
  <c r="D917606" i="23"/>
  <c r="D917605" i="23"/>
  <c r="D917604" i="23"/>
  <c r="D917603" i="23"/>
  <c r="D917602" i="23"/>
  <c r="D917601" i="23"/>
  <c r="D917600" i="23"/>
  <c r="D917599" i="23"/>
  <c r="D917598" i="23"/>
  <c r="D917597" i="23"/>
  <c r="D917596" i="23"/>
  <c r="D917595" i="23"/>
  <c r="D917594" i="23"/>
  <c r="D917593" i="23"/>
  <c r="D917592" i="23"/>
  <c r="D917591" i="23"/>
  <c r="D917590" i="23"/>
  <c r="D917589" i="23"/>
  <c r="D917588" i="23"/>
  <c r="D917587" i="23"/>
  <c r="D917586" i="23"/>
  <c r="D917585" i="23"/>
  <c r="D917584" i="23"/>
  <c r="D917583" i="23"/>
  <c r="D917582" i="23"/>
  <c r="D917581" i="23"/>
  <c r="D917580" i="23"/>
  <c r="D917579" i="23"/>
  <c r="D917578" i="23"/>
  <c r="D917577" i="23"/>
  <c r="F917576" i="23"/>
  <c r="E917576" i="23"/>
  <c r="D917576" i="23"/>
  <c r="C917576" i="23"/>
  <c r="D917575" i="23"/>
  <c r="D917574" i="23"/>
  <c r="D917573" i="23"/>
  <c r="D917572" i="23"/>
  <c r="D917571" i="23"/>
  <c r="D917570" i="23"/>
  <c r="D917569" i="23"/>
  <c r="D917568" i="23"/>
  <c r="D917567" i="23"/>
  <c r="D917566" i="23"/>
  <c r="D917565" i="23"/>
  <c r="D917564" i="23"/>
  <c r="D917563" i="23"/>
  <c r="D917562" i="23"/>
  <c r="D917561" i="23"/>
  <c r="D917560" i="23"/>
  <c r="D917559" i="23"/>
  <c r="D917558" i="23"/>
  <c r="D917557" i="23"/>
  <c r="D917556" i="23"/>
  <c r="D917555" i="23"/>
  <c r="D917554" i="23"/>
  <c r="D917553" i="23"/>
  <c r="D917552" i="23"/>
  <c r="D917551" i="23"/>
  <c r="D917550" i="23"/>
  <c r="D917549" i="23"/>
  <c r="D917548" i="23"/>
  <c r="D917547" i="23"/>
  <c r="D917546" i="23"/>
  <c r="D917545" i="23"/>
  <c r="D917544" i="23"/>
  <c r="D917543" i="23"/>
  <c r="D917542" i="23"/>
  <c r="D917541" i="23"/>
  <c r="D917540" i="23"/>
  <c r="D917539" i="23"/>
  <c r="D917538" i="23"/>
  <c r="D917537" i="23"/>
  <c r="D917536" i="23"/>
  <c r="D917535" i="23"/>
  <c r="D917534" i="23"/>
  <c r="D917533" i="23"/>
  <c r="D917532" i="23"/>
  <c r="D917531" i="23"/>
  <c r="D917530" i="23"/>
  <c r="D917529" i="23"/>
  <c r="D917528" i="23"/>
  <c r="D917527" i="23"/>
  <c r="D917526" i="23"/>
  <c r="D917525" i="23"/>
  <c r="D917524" i="23"/>
  <c r="D917523" i="23"/>
  <c r="D917522" i="23"/>
  <c r="D917521" i="23"/>
  <c r="D917520" i="23"/>
  <c r="D917519" i="23"/>
  <c r="D917518" i="23"/>
  <c r="D917517" i="23"/>
  <c r="D917516" i="23"/>
  <c r="D917515" i="23"/>
  <c r="D917514" i="23"/>
  <c r="D917513" i="23"/>
  <c r="D917512" i="23"/>
  <c r="D917511" i="23"/>
  <c r="D917510" i="23"/>
  <c r="D917509" i="23"/>
  <c r="B852178" i="23"/>
  <c r="B852177" i="23"/>
  <c r="B852176" i="23"/>
  <c r="B852175" i="23"/>
  <c r="B852174" i="23"/>
  <c r="B852173" i="23"/>
  <c r="B852172" i="23"/>
  <c r="B852171" i="23"/>
  <c r="B852170" i="23"/>
  <c r="B852169" i="23"/>
  <c r="D852163" i="23"/>
  <c r="D852162" i="23"/>
  <c r="D852161" i="23"/>
  <c r="D852160" i="23"/>
  <c r="D852159" i="23"/>
  <c r="D852158" i="23"/>
  <c r="D852157" i="23"/>
  <c r="D852156" i="23"/>
  <c r="D852155" i="23"/>
  <c r="D852154" i="23"/>
  <c r="D852153" i="23"/>
  <c r="D852152" i="23"/>
  <c r="D852151" i="23"/>
  <c r="D852150" i="23"/>
  <c r="D852149" i="23"/>
  <c r="D852148" i="23"/>
  <c r="D852147" i="23"/>
  <c r="D852146" i="23"/>
  <c r="D852145" i="23"/>
  <c r="D852144" i="23"/>
  <c r="D852143" i="23"/>
  <c r="D852142" i="23"/>
  <c r="D852141" i="23"/>
  <c r="D852140" i="23"/>
  <c r="D852139" i="23"/>
  <c r="D852138" i="23"/>
  <c r="D852137" i="23"/>
  <c r="D852136" i="23"/>
  <c r="D852135" i="23"/>
  <c r="D852134" i="23"/>
  <c r="D852133" i="23"/>
  <c r="D852132" i="23"/>
  <c r="D852131" i="23"/>
  <c r="D852130" i="23"/>
  <c r="D852129" i="23"/>
  <c r="D852128" i="23"/>
  <c r="D852127" i="23"/>
  <c r="D852126" i="23"/>
  <c r="D852125" i="23"/>
  <c r="D852124" i="23"/>
  <c r="D852123" i="23"/>
  <c r="D852122" i="23"/>
  <c r="D852121" i="23"/>
  <c r="D852120" i="23"/>
  <c r="D852119" i="23"/>
  <c r="D852118" i="23"/>
  <c r="D852117" i="23"/>
  <c r="D852116" i="23"/>
  <c r="D852115" i="23"/>
  <c r="D852114" i="23"/>
  <c r="D852113" i="23"/>
  <c r="D852112" i="23"/>
  <c r="D852111" i="23"/>
  <c r="D852110" i="23"/>
  <c r="D852109" i="23"/>
  <c r="D852108" i="23"/>
  <c r="D852107" i="23"/>
  <c r="D852106" i="23"/>
  <c r="D852105" i="23"/>
  <c r="D852104" i="23"/>
  <c r="D852103" i="23"/>
  <c r="D852102" i="23"/>
  <c r="D852101" i="23"/>
  <c r="D852100" i="23"/>
  <c r="D852099" i="23"/>
  <c r="D852098" i="23"/>
  <c r="D852097" i="23"/>
  <c r="D852096" i="23"/>
  <c r="D852095" i="23"/>
  <c r="D852094" i="23"/>
  <c r="D852093" i="23"/>
  <c r="D852092" i="23"/>
  <c r="D852091" i="23"/>
  <c r="D852090" i="23"/>
  <c r="D852089" i="23"/>
  <c r="D852088" i="23"/>
  <c r="D852087" i="23"/>
  <c r="D852086" i="23"/>
  <c r="F852085" i="23"/>
  <c r="E852085" i="23"/>
  <c r="D852085" i="23" s="1"/>
  <c r="C852085" i="23"/>
  <c r="D852084" i="23"/>
  <c r="D852083" i="23"/>
  <c r="D852082" i="23"/>
  <c r="D852081" i="23"/>
  <c r="D852080" i="23"/>
  <c r="D852079" i="23"/>
  <c r="D852078" i="23"/>
  <c r="D852077" i="23"/>
  <c r="D852076" i="23"/>
  <c r="D852075" i="23"/>
  <c r="D852074" i="23"/>
  <c r="D852073" i="23"/>
  <c r="D852072" i="23"/>
  <c r="D852071" i="23"/>
  <c r="D852070" i="23"/>
  <c r="D852069" i="23"/>
  <c r="D852068" i="23"/>
  <c r="D852067" i="23"/>
  <c r="D852066" i="23"/>
  <c r="D852065" i="23"/>
  <c r="D852064" i="23"/>
  <c r="D852063" i="23"/>
  <c r="D852062" i="23"/>
  <c r="D852061" i="23"/>
  <c r="D852060" i="23"/>
  <c r="D852059" i="23"/>
  <c r="D852058" i="23"/>
  <c r="D852057" i="23"/>
  <c r="D852056" i="23"/>
  <c r="D852055" i="23"/>
  <c r="D852054" i="23"/>
  <c r="D852053" i="23"/>
  <c r="D852052" i="23"/>
  <c r="D852051" i="23"/>
  <c r="D852050" i="23"/>
  <c r="D852049" i="23"/>
  <c r="D852048" i="23"/>
  <c r="D852047" i="23"/>
  <c r="D852046" i="23"/>
  <c r="D852045" i="23"/>
  <c r="D852044" i="23"/>
  <c r="D852043" i="23"/>
  <c r="D852042" i="23"/>
  <c r="D852041" i="23"/>
  <c r="F852040" i="23"/>
  <c r="E852040" i="23"/>
  <c r="D852040" i="23" s="1"/>
  <c r="C852040" i="23"/>
  <c r="D852039" i="23"/>
  <c r="D852038" i="23"/>
  <c r="D852037" i="23"/>
  <c r="D852036" i="23"/>
  <c r="D852035" i="23"/>
  <c r="D852034" i="23"/>
  <c r="D852033" i="23"/>
  <c r="D852032" i="23"/>
  <c r="D852031" i="23"/>
  <c r="D852030" i="23"/>
  <c r="D852029" i="23"/>
  <c r="D852028" i="23"/>
  <c r="D852027" i="23"/>
  <c r="D852026" i="23"/>
  <c r="D852025" i="23"/>
  <c r="D852024" i="23"/>
  <c r="D852023" i="23"/>
  <c r="D852022" i="23"/>
  <c r="D852021" i="23"/>
  <c r="D852020" i="23"/>
  <c r="D852019" i="23"/>
  <c r="D852018" i="23"/>
  <c r="D852017" i="23"/>
  <c r="D852016" i="23"/>
  <c r="D852015" i="23"/>
  <c r="D852014" i="23"/>
  <c r="D852013" i="23"/>
  <c r="D852012" i="23"/>
  <c r="D852011" i="23"/>
  <c r="D852010" i="23"/>
  <c r="D852009" i="23"/>
  <c r="D852008" i="23"/>
  <c r="D852007" i="23"/>
  <c r="D852006" i="23"/>
  <c r="D852005" i="23"/>
  <c r="D852004" i="23"/>
  <c r="D852003" i="23"/>
  <c r="D852002" i="23"/>
  <c r="D852001" i="23"/>
  <c r="D852000" i="23"/>
  <c r="D851999" i="23"/>
  <c r="D851998" i="23"/>
  <c r="D851997" i="23"/>
  <c r="D851996" i="23"/>
  <c r="D851995" i="23"/>
  <c r="D851994" i="23"/>
  <c r="D851993" i="23"/>
  <c r="D851992" i="23"/>
  <c r="D851991" i="23"/>
  <c r="D851990" i="23"/>
  <c r="D851989" i="23"/>
  <c r="D851988" i="23"/>
  <c r="D851987" i="23"/>
  <c r="D851986" i="23"/>
  <c r="D851985" i="23"/>
  <c r="D851984" i="23"/>
  <c r="D851983" i="23"/>
  <c r="D851982" i="23"/>
  <c r="D851981" i="23"/>
  <c r="D851980" i="23"/>
  <c r="D851979" i="23"/>
  <c r="D851978" i="23"/>
  <c r="D851977" i="23"/>
  <c r="D851976" i="23"/>
  <c r="D851975" i="23"/>
  <c r="D851974" i="23"/>
  <c r="D851973" i="23"/>
  <c r="B786642" i="23"/>
  <c r="B786641" i="23"/>
  <c r="B786640" i="23"/>
  <c r="B786639" i="23"/>
  <c r="B786638" i="23"/>
  <c r="B786637" i="23"/>
  <c r="B786636" i="23"/>
  <c r="B786635" i="23"/>
  <c r="B786634" i="23"/>
  <c r="B786633" i="23"/>
  <c r="D786627" i="23"/>
  <c r="D786626" i="23"/>
  <c r="D786625" i="23"/>
  <c r="D786624" i="23"/>
  <c r="D786623" i="23"/>
  <c r="D786622" i="23"/>
  <c r="D786621" i="23"/>
  <c r="D786620" i="23"/>
  <c r="D786619" i="23"/>
  <c r="D786618" i="23"/>
  <c r="D786617" i="23"/>
  <c r="D786616" i="23"/>
  <c r="D786615" i="23"/>
  <c r="D786614" i="23"/>
  <c r="D786613" i="23"/>
  <c r="D786612" i="23"/>
  <c r="D786611" i="23"/>
  <c r="D786610" i="23"/>
  <c r="D786609" i="23"/>
  <c r="D786608" i="23"/>
  <c r="D786607" i="23"/>
  <c r="D786606" i="23"/>
  <c r="D786605" i="23"/>
  <c r="D786604" i="23"/>
  <c r="D786603" i="23"/>
  <c r="D786602" i="23"/>
  <c r="D786601" i="23"/>
  <c r="D786600" i="23"/>
  <c r="D786599" i="23"/>
  <c r="D786598" i="23"/>
  <c r="D786597" i="23"/>
  <c r="D786596" i="23"/>
  <c r="D786595" i="23"/>
  <c r="D786594" i="23"/>
  <c r="D786593" i="23"/>
  <c r="D786592" i="23"/>
  <c r="D786591" i="23"/>
  <c r="D786590" i="23"/>
  <c r="D786589" i="23"/>
  <c r="D786588" i="23"/>
  <c r="D786587" i="23"/>
  <c r="D786586" i="23"/>
  <c r="D786585" i="23"/>
  <c r="D786584" i="23"/>
  <c r="D786583" i="23"/>
  <c r="D786582" i="23"/>
  <c r="D786581" i="23"/>
  <c r="D786580" i="23"/>
  <c r="D786579" i="23"/>
  <c r="D786578" i="23"/>
  <c r="D786577" i="23"/>
  <c r="D786576" i="23"/>
  <c r="D786575" i="23"/>
  <c r="D786574" i="23"/>
  <c r="D786573" i="23"/>
  <c r="D786572" i="23"/>
  <c r="D786571" i="23"/>
  <c r="D786570" i="23"/>
  <c r="D786569" i="23"/>
  <c r="D786568" i="23"/>
  <c r="D786567" i="23"/>
  <c r="D786566" i="23"/>
  <c r="D786565" i="23"/>
  <c r="D786564" i="23"/>
  <c r="D786563" i="23"/>
  <c r="D786562" i="23"/>
  <c r="D786561" i="23"/>
  <c r="D786560" i="23"/>
  <c r="D786559" i="23"/>
  <c r="D786558" i="23"/>
  <c r="D786557" i="23"/>
  <c r="D786556" i="23"/>
  <c r="D786555" i="23"/>
  <c r="D786554" i="23"/>
  <c r="D786553" i="23"/>
  <c r="D786552" i="23"/>
  <c r="D786551" i="23"/>
  <c r="D786550" i="23"/>
  <c r="F786549" i="23"/>
  <c r="E786549" i="23"/>
  <c r="D786549" i="23"/>
  <c r="C786549" i="23"/>
  <c r="D786548" i="23"/>
  <c r="D786547" i="23"/>
  <c r="D786546" i="23"/>
  <c r="D786545" i="23"/>
  <c r="D786544" i="23"/>
  <c r="D786543" i="23"/>
  <c r="D786542" i="23"/>
  <c r="D786541" i="23"/>
  <c r="D786540" i="23"/>
  <c r="D786539" i="23"/>
  <c r="D786538" i="23"/>
  <c r="D786537" i="23"/>
  <c r="D786536" i="23"/>
  <c r="D786535" i="23"/>
  <c r="D786534" i="23"/>
  <c r="D786533" i="23"/>
  <c r="D786532" i="23"/>
  <c r="D786531" i="23"/>
  <c r="D786530" i="23"/>
  <c r="D786529" i="23"/>
  <c r="D786528" i="23"/>
  <c r="D786527" i="23"/>
  <c r="D786526" i="23"/>
  <c r="D786525" i="23"/>
  <c r="D786524" i="23"/>
  <c r="D786523" i="23"/>
  <c r="D786522" i="23"/>
  <c r="D786521" i="23"/>
  <c r="D786520" i="23"/>
  <c r="D786519" i="23"/>
  <c r="D786518" i="23"/>
  <c r="D786517" i="23"/>
  <c r="D786516" i="23"/>
  <c r="D786515" i="23"/>
  <c r="D786514" i="23"/>
  <c r="D786513" i="23"/>
  <c r="D786512" i="23"/>
  <c r="D786511" i="23"/>
  <c r="D786510" i="23"/>
  <c r="D786509" i="23"/>
  <c r="D786508" i="23"/>
  <c r="D786507" i="23"/>
  <c r="D786506" i="23"/>
  <c r="D786505" i="23"/>
  <c r="F786504" i="23"/>
  <c r="E786504" i="23"/>
  <c r="D786504" i="23"/>
  <c r="C786504" i="23"/>
  <c r="D786503" i="23"/>
  <c r="D786502" i="23"/>
  <c r="D786501" i="23"/>
  <c r="D786500" i="23"/>
  <c r="D786499" i="23"/>
  <c r="D786498" i="23"/>
  <c r="D786497" i="23"/>
  <c r="D786496" i="23"/>
  <c r="D786495" i="23"/>
  <c r="D786494" i="23"/>
  <c r="D786493" i="23"/>
  <c r="D786492" i="23"/>
  <c r="D786491" i="23"/>
  <c r="D786490" i="23"/>
  <c r="D786489" i="23"/>
  <c r="D786488" i="23"/>
  <c r="D786487" i="23"/>
  <c r="D786486" i="23"/>
  <c r="D786485" i="23"/>
  <c r="D786484" i="23"/>
  <c r="D786483" i="23"/>
  <c r="D786482" i="23"/>
  <c r="D786481" i="23"/>
  <c r="D786480" i="23"/>
  <c r="D786479" i="23"/>
  <c r="D786478" i="23"/>
  <c r="D786477" i="23"/>
  <c r="D786476" i="23"/>
  <c r="D786475" i="23"/>
  <c r="D786474" i="23"/>
  <c r="D786473" i="23"/>
  <c r="D786472" i="23"/>
  <c r="D786471" i="23"/>
  <c r="D786470" i="23"/>
  <c r="D786469" i="23"/>
  <c r="D786468" i="23"/>
  <c r="D786467" i="23"/>
  <c r="D786466" i="23"/>
  <c r="D786465" i="23"/>
  <c r="D786464" i="23"/>
  <c r="D786463" i="23"/>
  <c r="D786462" i="23"/>
  <c r="D786461" i="23"/>
  <c r="D786460" i="23"/>
  <c r="D786459" i="23"/>
  <c r="D786458" i="23"/>
  <c r="D786457" i="23"/>
  <c r="D786456" i="23"/>
  <c r="D786455" i="23"/>
  <c r="D786454" i="23"/>
  <c r="D786453" i="23"/>
  <c r="D786452" i="23"/>
  <c r="D786451" i="23"/>
  <c r="D786450" i="23"/>
  <c r="D786449" i="23"/>
  <c r="D786448" i="23"/>
  <c r="D786447" i="23"/>
  <c r="D786446" i="23"/>
  <c r="D786445" i="23"/>
  <c r="D786444" i="23"/>
  <c r="D786443" i="23"/>
  <c r="D786442" i="23"/>
  <c r="D786441" i="23"/>
  <c r="D786440" i="23"/>
  <c r="D786439" i="23"/>
  <c r="D786438" i="23"/>
  <c r="D786437" i="23"/>
  <c r="B721106" i="23"/>
  <c r="B721105" i="23"/>
  <c r="B721104" i="23"/>
  <c r="B721103" i="23"/>
  <c r="B721102" i="23"/>
  <c r="B721101" i="23"/>
  <c r="B721100" i="23"/>
  <c r="B721099" i="23"/>
  <c r="B721098" i="23"/>
  <c r="B721097" i="23"/>
  <c r="D721091" i="23"/>
  <c r="D721090" i="23"/>
  <c r="D721089" i="23"/>
  <c r="D721088" i="23"/>
  <c r="D721087" i="23"/>
  <c r="D721086" i="23"/>
  <c r="D721085" i="23"/>
  <c r="D721084" i="23"/>
  <c r="D721083" i="23"/>
  <c r="D721082" i="23"/>
  <c r="D721081" i="23"/>
  <c r="D721080" i="23"/>
  <c r="D721079" i="23"/>
  <c r="D721078" i="23"/>
  <c r="D721077" i="23"/>
  <c r="D721076" i="23"/>
  <c r="D721075" i="23"/>
  <c r="D721074" i="23"/>
  <c r="D721073" i="23"/>
  <c r="D721072" i="23"/>
  <c r="D721071" i="23"/>
  <c r="D721070" i="23"/>
  <c r="D721069" i="23"/>
  <c r="D721068" i="23"/>
  <c r="D721067" i="23"/>
  <c r="D721066" i="23"/>
  <c r="D721065" i="23"/>
  <c r="D721064" i="23"/>
  <c r="D721063" i="23"/>
  <c r="D721062" i="23"/>
  <c r="D721061" i="23"/>
  <c r="D721060" i="23"/>
  <c r="D721059" i="23"/>
  <c r="D721058" i="23"/>
  <c r="D721057" i="23"/>
  <c r="D721056" i="23"/>
  <c r="D721055" i="23"/>
  <c r="D721054" i="23"/>
  <c r="D721053" i="23"/>
  <c r="D721052" i="23"/>
  <c r="D721051" i="23"/>
  <c r="D721050" i="23"/>
  <c r="D721049" i="23"/>
  <c r="D721048" i="23"/>
  <c r="D721047" i="23"/>
  <c r="D721046" i="23"/>
  <c r="D721045" i="23"/>
  <c r="D721044" i="23"/>
  <c r="D721043" i="23"/>
  <c r="D721042" i="23"/>
  <c r="D721041" i="23"/>
  <c r="D721040" i="23"/>
  <c r="D721039" i="23"/>
  <c r="D721038" i="23"/>
  <c r="D721037" i="23"/>
  <c r="D721036" i="23"/>
  <c r="D721035" i="23"/>
  <c r="D721034" i="23"/>
  <c r="D721033" i="23"/>
  <c r="D721032" i="23"/>
  <c r="D721031" i="23"/>
  <c r="D721030" i="23"/>
  <c r="D721029" i="23"/>
  <c r="D721028" i="23"/>
  <c r="D721027" i="23"/>
  <c r="D721026" i="23"/>
  <c r="D721025" i="23"/>
  <c r="D721024" i="23"/>
  <c r="D721023" i="23"/>
  <c r="D721022" i="23"/>
  <c r="D721021" i="23"/>
  <c r="D721020" i="23"/>
  <c r="D721019" i="23"/>
  <c r="D721018" i="23"/>
  <c r="D721017" i="23"/>
  <c r="D721016" i="23"/>
  <c r="D721015" i="23"/>
  <c r="D721014" i="23"/>
  <c r="F721013" i="23"/>
  <c r="E721013" i="23"/>
  <c r="D721013" i="23"/>
  <c r="C721013" i="23"/>
  <c r="D721012" i="23"/>
  <c r="D721011" i="23"/>
  <c r="D721010" i="23"/>
  <c r="D721009" i="23"/>
  <c r="D721008" i="23"/>
  <c r="D721007" i="23"/>
  <c r="D721006" i="23"/>
  <c r="D721005" i="23"/>
  <c r="D721004" i="23"/>
  <c r="D721003" i="23"/>
  <c r="D721002" i="23"/>
  <c r="D721001" i="23"/>
  <c r="D721000" i="23"/>
  <c r="D720999" i="23"/>
  <c r="D720998" i="23"/>
  <c r="D720997" i="23"/>
  <c r="D720996" i="23"/>
  <c r="D720995" i="23"/>
  <c r="D720994" i="23"/>
  <c r="D720993" i="23"/>
  <c r="D720992" i="23"/>
  <c r="D720991" i="23"/>
  <c r="D720990" i="23"/>
  <c r="D720989" i="23"/>
  <c r="D720988" i="23"/>
  <c r="D720987" i="23"/>
  <c r="D720986" i="23"/>
  <c r="D720985" i="23"/>
  <c r="D720984" i="23"/>
  <c r="D720983" i="23"/>
  <c r="D720982" i="23"/>
  <c r="D720981" i="23"/>
  <c r="D720980" i="23"/>
  <c r="D720979" i="23"/>
  <c r="D720978" i="23"/>
  <c r="D720977" i="23"/>
  <c r="D720976" i="23"/>
  <c r="D720975" i="23"/>
  <c r="D720974" i="23"/>
  <c r="D720973" i="23"/>
  <c r="D720972" i="23"/>
  <c r="D720971" i="23"/>
  <c r="D720970" i="23"/>
  <c r="D720969" i="23"/>
  <c r="F720968" i="23"/>
  <c r="E720968" i="23"/>
  <c r="D720968" i="23"/>
  <c r="C720968" i="23"/>
  <c r="D720967" i="23"/>
  <c r="D720966" i="23"/>
  <c r="D720965" i="23"/>
  <c r="D720964" i="23"/>
  <c r="D720963" i="23"/>
  <c r="D720962" i="23"/>
  <c r="D720961" i="23"/>
  <c r="D720960" i="23"/>
  <c r="D720959" i="23"/>
  <c r="D720958" i="23"/>
  <c r="D720957" i="23"/>
  <c r="D720956" i="23"/>
  <c r="D720955" i="23"/>
  <c r="D720954" i="23"/>
  <c r="D720953" i="23"/>
  <c r="D720952" i="23"/>
  <c r="D720951" i="23"/>
  <c r="D720950" i="23"/>
  <c r="D720949" i="23"/>
  <c r="D720948" i="23"/>
  <c r="D720947" i="23"/>
  <c r="D720946" i="23"/>
  <c r="D720945" i="23"/>
  <c r="D720944" i="23"/>
  <c r="D720943" i="23"/>
  <c r="D720942" i="23"/>
  <c r="D720941" i="23"/>
  <c r="D720940" i="23"/>
  <c r="D720939" i="23"/>
  <c r="D720938" i="23"/>
  <c r="D720937" i="23"/>
  <c r="D720936" i="23"/>
  <c r="D720935" i="23"/>
  <c r="D720934" i="23"/>
  <c r="D720933" i="23"/>
  <c r="D720932" i="23"/>
  <c r="D720931" i="23"/>
  <c r="D720930" i="23"/>
  <c r="D720929" i="23"/>
  <c r="D720928" i="23"/>
  <c r="D720927" i="23"/>
  <c r="D720926" i="23"/>
  <c r="D720925" i="23"/>
  <c r="D720924" i="23"/>
  <c r="D720923" i="23"/>
  <c r="D720922" i="23"/>
  <c r="D720921" i="23"/>
  <c r="D720920" i="23"/>
  <c r="D720919" i="23"/>
  <c r="D720918" i="23"/>
  <c r="D720917" i="23"/>
  <c r="D720916" i="23"/>
  <c r="D720915" i="23"/>
  <c r="D720914" i="23"/>
  <c r="D720913" i="23"/>
  <c r="D720912" i="23"/>
  <c r="D720911" i="23"/>
  <c r="D720910" i="23"/>
  <c r="D720909" i="23"/>
  <c r="D720908" i="23"/>
  <c r="D720907" i="23"/>
  <c r="D720906" i="23"/>
  <c r="D720905" i="23"/>
  <c r="D720904" i="23"/>
  <c r="D720903" i="23"/>
  <c r="D720902" i="23"/>
  <c r="D720901" i="23"/>
  <c r="B655570" i="23"/>
  <c r="B655569" i="23"/>
  <c r="B655568" i="23"/>
  <c r="B655567" i="23"/>
  <c r="B655566" i="23"/>
  <c r="B655565" i="23"/>
  <c r="B655564" i="23"/>
  <c r="B655563" i="23"/>
  <c r="B655562" i="23"/>
  <c r="B655561" i="23"/>
  <c r="D655555" i="23"/>
  <c r="D655554" i="23"/>
  <c r="D655553" i="23"/>
  <c r="D655552" i="23"/>
  <c r="D655551" i="23"/>
  <c r="D655550" i="23"/>
  <c r="D655549" i="23"/>
  <c r="D655548" i="23"/>
  <c r="D655547" i="23"/>
  <c r="D655546" i="23"/>
  <c r="D655545" i="23"/>
  <c r="D655544" i="23"/>
  <c r="D655543" i="23"/>
  <c r="D655542" i="23"/>
  <c r="D655541" i="23"/>
  <c r="D655540" i="23"/>
  <c r="D655539" i="23"/>
  <c r="D655538" i="23"/>
  <c r="D655537" i="23"/>
  <c r="D655536" i="23"/>
  <c r="D655535" i="23"/>
  <c r="D655534" i="23"/>
  <c r="D655533" i="23"/>
  <c r="D655532" i="23"/>
  <c r="D655531" i="23"/>
  <c r="D655530" i="23"/>
  <c r="D655529" i="23"/>
  <c r="D655528" i="23"/>
  <c r="D655527" i="23"/>
  <c r="D655526" i="23"/>
  <c r="D655525" i="23"/>
  <c r="D655524" i="23"/>
  <c r="D655523" i="23"/>
  <c r="D655522" i="23"/>
  <c r="D655521" i="23"/>
  <c r="D655520" i="23"/>
  <c r="D655519" i="23"/>
  <c r="D655518" i="23"/>
  <c r="D655517" i="23"/>
  <c r="D655516" i="23"/>
  <c r="D655515" i="23"/>
  <c r="D655514" i="23"/>
  <c r="D655513" i="23"/>
  <c r="D655512" i="23"/>
  <c r="D655511" i="23"/>
  <c r="D655510" i="23"/>
  <c r="D655509" i="23"/>
  <c r="D655508" i="23"/>
  <c r="D655507" i="23"/>
  <c r="D655506" i="23"/>
  <c r="D655505" i="23"/>
  <c r="D655504" i="23"/>
  <c r="D655503" i="23"/>
  <c r="D655502" i="23"/>
  <c r="D655501" i="23"/>
  <c r="D655500" i="23"/>
  <c r="D655499" i="23"/>
  <c r="D655498" i="23"/>
  <c r="D655497" i="23"/>
  <c r="D655496" i="23"/>
  <c r="D655495" i="23"/>
  <c r="D655494" i="23"/>
  <c r="D655493" i="23"/>
  <c r="D655492" i="23"/>
  <c r="D655491" i="23"/>
  <c r="D655490" i="23"/>
  <c r="D655489" i="23"/>
  <c r="D655488" i="23"/>
  <c r="D655487" i="23"/>
  <c r="D655486" i="23"/>
  <c r="D655485" i="23"/>
  <c r="D655484" i="23"/>
  <c r="D655483" i="23"/>
  <c r="D655482" i="23"/>
  <c r="D655481" i="23"/>
  <c r="D655480" i="23"/>
  <c r="D655479" i="23"/>
  <c r="D655478" i="23"/>
  <c r="F655477" i="23"/>
  <c r="E655477" i="23"/>
  <c r="D655477" i="23"/>
  <c r="C655477" i="23"/>
  <c r="D655476" i="23"/>
  <c r="D655475" i="23"/>
  <c r="D655474" i="23"/>
  <c r="D655473" i="23"/>
  <c r="D655472" i="23"/>
  <c r="D655471" i="23"/>
  <c r="D655470" i="23"/>
  <c r="D655469" i="23"/>
  <c r="D655468" i="23"/>
  <c r="D655467" i="23"/>
  <c r="D655466" i="23"/>
  <c r="D655465" i="23"/>
  <c r="D655464" i="23"/>
  <c r="D655463" i="23"/>
  <c r="D655462" i="23"/>
  <c r="D655461" i="23"/>
  <c r="D655460" i="23"/>
  <c r="D655459" i="23"/>
  <c r="D655458" i="23"/>
  <c r="D655457" i="23"/>
  <c r="D655456" i="23"/>
  <c r="D655455" i="23"/>
  <c r="D655454" i="23"/>
  <c r="D655453" i="23"/>
  <c r="D655452" i="23"/>
  <c r="D655451" i="23"/>
  <c r="D655450" i="23"/>
  <c r="D655449" i="23"/>
  <c r="D655448" i="23"/>
  <c r="D655447" i="23"/>
  <c r="D655446" i="23"/>
  <c r="D655445" i="23"/>
  <c r="D655444" i="23"/>
  <c r="D655443" i="23"/>
  <c r="D655442" i="23"/>
  <c r="D655441" i="23"/>
  <c r="D655440" i="23"/>
  <c r="D655439" i="23"/>
  <c r="D655438" i="23"/>
  <c r="D655437" i="23"/>
  <c r="D655436" i="23"/>
  <c r="D655435" i="23"/>
  <c r="D655434" i="23"/>
  <c r="D655433" i="23"/>
  <c r="F655432" i="23"/>
  <c r="E655432" i="23"/>
  <c r="D655432" i="23"/>
  <c r="C655432" i="23"/>
  <c r="D655431" i="23"/>
  <c r="D655430" i="23"/>
  <c r="D655429" i="23"/>
  <c r="D655428" i="23"/>
  <c r="D655427" i="23"/>
  <c r="D655426" i="23"/>
  <c r="D655425" i="23"/>
  <c r="D655424" i="23"/>
  <c r="D655423" i="23"/>
  <c r="D655422" i="23"/>
  <c r="D655421" i="23"/>
  <c r="D655420" i="23"/>
  <c r="D655419" i="23"/>
  <c r="D655418" i="23"/>
  <c r="D655417" i="23"/>
  <c r="D655416" i="23"/>
  <c r="D655415" i="23"/>
  <c r="D655414" i="23"/>
  <c r="D655413" i="23"/>
  <c r="D655412" i="23"/>
  <c r="D655411" i="23"/>
  <c r="D655410" i="23"/>
  <c r="D655409" i="23"/>
  <c r="D655408" i="23"/>
  <c r="D655407" i="23"/>
  <c r="D655406" i="23"/>
  <c r="D655405" i="23"/>
  <c r="D655404" i="23"/>
  <c r="D655403" i="23"/>
  <c r="D655402" i="23"/>
  <c r="D655401" i="23"/>
  <c r="D655400" i="23"/>
  <c r="D655399" i="23"/>
  <c r="D655398" i="23"/>
  <c r="D655397" i="23"/>
  <c r="D655396" i="23"/>
  <c r="D655395" i="23"/>
  <c r="D655394" i="23"/>
  <c r="D655393" i="23"/>
  <c r="D655392" i="23"/>
  <c r="D655391" i="23"/>
  <c r="D655390" i="23"/>
  <c r="D655389" i="23"/>
  <c r="D655388" i="23"/>
  <c r="D655387" i="23"/>
  <c r="D655386" i="23"/>
  <c r="D655385" i="23"/>
  <c r="D655384" i="23"/>
  <c r="D655383" i="23"/>
  <c r="D655382" i="23"/>
  <c r="D655381" i="23"/>
  <c r="D655380" i="23"/>
  <c r="D655379" i="23"/>
  <c r="D655378" i="23"/>
  <c r="D655377" i="23"/>
  <c r="D655376" i="23"/>
  <c r="D655375" i="23"/>
  <c r="D655374" i="23"/>
  <c r="D655373" i="23"/>
  <c r="D655372" i="23"/>
  <c r="D655371" i="23"/>
  <c r="D655370" i="23"/>
  <c r="D655369" i="23"/>
  <c r="D655368" i="23"/>
  <c r="D655367" i="23"/>
  <c r="D655366" i="23"/>
  <c r="D655365" i="23"/>
  <c r="B590034" i="23"/>
  <c r="B590033" i="23"/>
  <c r="B590032" i="23"/>
  <c r="B590031" i="23"/>
  <c r="B590030" i="23"/>
  <c r="B590029" i="23"/>
  <c r="B590028" i="23"/>
  <c r="B590027" i="23"/>
  <c r="B590026" i="23"/>
  <c r="B590025" i="23"/>
  <c r="D590019" i="23"/>
  <c r="D590018" i="23"/>
  <c r="D590017" i="23"/>
  <c r="D590016" i="23"/>
  <c r="D590015" i="23"/>
  <c r="D590014" i="23"/>
  <c r="D590013" i="23"/>
  <c r="D590012" i="23"/>
  <c r="D590011" i="23"/>
  <c r="D590010" i="23"/>
  <c r="D590009" i="23"/>
  <c r="D590008" i="23"/>
  <c r="D590007" i="23"/>
  <c r="D590006" i="23"/>
  <c r="D590005" i="23"/>
  <c r="D590004" i="23"/>
  <c r="D590003" i="23"/>
  <c r="D590002" i="23"/>
  <c r="D590001" i="23"/>
  <c r="D590000" i="23"/>
  <c r="D589999" i="23"/>
  <c r="D589998" i="23"/>
  <c r="D589997" i="23"/>
  <c r="D589996" i="23"/>
  <c r="D589995" i="23"/>
  <c r="D589994" i="23"/>
  <c r="D589993" i="23"/>
  <c r="D589992" i="23"/>
  <c r="D589991" i="23"/>
  <c r="D589990" i="23"/>
  <c r="D589989" i="23"/>
  <c r="D589988" i="23"/>
  <c r="D589987" i="23"/>
  <c r="D589986" i="23"/>
  <c r="D589985" i="23"/>
  <c r="D589984" i="23"/>
  <c r="D589983" i="23"/>
  <c r="D589982" i="23"/>
  <c r="D589981" i="23"/>
  <c r="D589980" i="23"/>
  <c r="D589979" i="23"/>
  <c r="D589978" i="23"/>
  <c r="D589977" i="23"/>
  <c r="D589976" i="23"/>
  <c r="D589975" i="23"/>
  <c r="D589974" i="23"/>
  <c r="D589973" i="23"/>
  <c r="D589972" i="23"/>
  <c r="D589971" i="23"/>
  <c r="D589970" i="23"/>
  <c r="D589969" i="23"/>
  <c r="D589968" i="23"/>
  <c r="D589967" i="23"/>
  <c r="D589966" i="23"/>
  <c r="D589965" i="23"/>
  <c r="D589964" i="23"/>
  <c r="D589963" i="23"/>
  <c r="D589962" i="23"/>
  <c r="D589961" i="23"/>
  <c r="D589960" i="23"/>
  <c r="D589959" i="23"/>
  <c r="D589958" i="23"/>
  <c r="D589957" i="23"/>
  <c r="D589956" i="23"/>
  <c r="D589955" i="23"/>
  <c r="D589954" i="23"/>
  <c r="D589953" i="23"/>
  <c r="D589952" i="23"/>
  <c r="D589951" i="23"/>
  <c r="D589950" i="23"/>
  <c r="D589949" i="23"/>
  <c r="D589948" i="23"/>
  <c r="D589947" i="23"/>
  <c r="D589946" i="23"/>
  <c r="D589945" i="23"/>
  <c r="D589944" i="23"/>
  <c r="D589943" i="23"/>
  <c r="D589942" i="23"/>
  <c r="F589941" i="23"/>
  <c r="E589941" i="23"/>
  <c r="D589941" i="23" s="1"/>
  <c r="C589941" i="23"/>
  <c r="D589940" i="23"/>
  <c r="D589939" i="23"/>
  <c r="D589938" i="23"/>
  <c r="D589937" i="23"/>
  <c r="D589936" i="23"/>
  <c r="D589935" i="23"/>
  <c r="D589934" i="23"/>
  <c r="D589933" i="23"/>
  <c r="D589932" i="23"/>
  <c r="D589931" i="23"/>
  <c r="D589930" i="23"/>
  <c r="D589929" i="23"/>
  <c r="D589928" i="23"/>
  <c r="D589927" i="23"/>
  <c r="D589926" i="23"/>
  <c r="D589925" i="23"/>
  <c r="D589924" i="23"/>
  <c r="D589923" i="23"/>
  <c r="D589922" i="23"/>
  <c r="D589921" i="23"/>
  <c r="D589920" i="23"/>
  <c r="D589919" i="23"/>
  <c r="D589918" i="23"/>
  <c r="D589917" i="23"/>
  <c r="D589916" i="23"/>
  <c r="D589915" i="23"/>
  <c r="D589914" i="23"/>
  <c r="D589913" i="23"/>
  <c r="D589912" i="23"/>
  <c r="D589911" i="23"/>
  <c r="D589910" i="23"/>
  <c r="D589909" i="23"/>
  <c r="D589908" i="23"/>
  <c r="D589907" i="23"/>
  <c r="D589906" i="23"/>
  <c r="D589905" i="23"/>
  <c r="D589904" i="23"/>
  <c r="D589903" i="23"/>
  <c r="D589902" i="23"/>
  <c r="D589901" i="23"/>
  <c r="D589900" i="23"/>
  <c r="D589899" i="23"/>
  <c r="D589898" i="23"/>
  <c r="D589897" i="23"/>
  <c r="F589896" i="23"/>
  <c r="E589896" i="23"/>
  <c r="D589896" i="23" s="1"/>
  <c r="C589896" i="23"/>
  <c r="D589895" i="23"/>
  <c r="D589894" i="23"/>
  <c r="D589893" i="23"/>
  <c r="D589892" i="23"/>
  <c r="D589891" i="23"/>
  <c r="D589890" i="23"/>
  <c r="D589889" i="23"/>
  <c r="D589888" i="23"/>
  <c r="D589887" i="23"/>
  <c r="D589886" i="23"/>
  <c r="D589885" i="23"/>
  <c r="D589884" i="23"/>
  <c r="D589883" i="23"/>
  <c r="D589882" i="23"/>
  <c r="D589881" i="23"/>
  <c r="D589880" i="23"/>
  <c r="D589879" i="23"/>
  <c r="D589878" i="23"/>
  <c r="D589877" i="23"/>
  <c r="D589876" i="23"/>
  <c r="D589875" i="23"/>
  <c r="D589874" i="23"/>
  <c r="D589873" i="23"/>
  <c r="D589872" i="23"/>
  <c r="D589871" i="23"/>
  <c r="D589870" i="23"/>
  <c r="D589869" i="23"/>
  <c r="D589868" i="23"/>
  <c r="D589867" i="23"/>
  <c r="D589866" i="23"/>
  <c r="D589865" i="23"/>
  <c r="D589864" i="23"/>
  <c r="D589863" i="23"/>
  <c r="D589862" i="23"/>
  <c r="D589861" i="23"/>
  <c r="D589860" i="23"/>
  <c r="D589859" i="23"/>
  <c r="D589858" i="23"/>
  <c r="D589857" i="23"/>
  <c r="D589856" i="23"/>
  <c r="D589855" i="23"/>
  <c r="D589854" i="23"/>
  <c r="D589853" i="23"/>
  <c r="D589852" i="23"/>
  <c r="D589851" i="23"/>
  <c r="D589850" i="23"/>
  <c r="D589849" i="23"/>
  <c r="D589848" i="23"/>
  <c r="D589847" i="23"/>
  <c r="D589846" i="23"/>
  <c r="D589845" i="23"/>
  <c r="D589844" i="23"/>
  <c r="D589843" i="23"/>
  <c r="D589842" i="23"/>
  <c r="D589841" i="23"/>
  <c r="D589840" i="23"/>
  <c r="D589839" i="23"/>
  <c r="D589838" i="23"/>
  <c r="D589837" i="23"/>
  <c r="D589836" i="23"/>
  <c r="D589835" i="23"/>
  <c r="D589834" i="23"/>
  <c r="D589833" i="23"/>
  <c r="D589832" i="23"/>
  <c r="D589831" i="23"/>
  <c r="D589830" i="23"/>
  <c r="D589829" i="23"/>
  <c r="B524498" i="23"/>
  <c r="B524497" i="23"/>
  <c r="B524496" i="23"/>
  <c r="B524495" i="23"/>
  <c r="B524494" i="23"/>
  <c r="B524493" i="23"/>
  <c r="B524492" i="23"/>
  <c r="B524491" i="23"/>
  <c r="B524490" i="23"/>
  <c r="B524489" i="23"/>
  <c r="D524483" i="23"/>
  <c r="D524482" i="23"/>
  <c r="D524481" i="23"/>
  <c r="D524480" i="23"/>
  <c r="D524479" i="23"/>
  <c r="D524478" i="23"/>
  <c r="D524477" i="23"/>
  <c r="D524476" i="23"/>
  <c r="D524475" i="23"/>
  <c r="D524474" i="23"/>
  <c r="D524473" i="23"/>
  <c r="D524472" i="23"/>
  <c r="D524471" i="23"/>
  <c r="D524470" i="23"/>
  <c r="D524469" i="23"/>
  <c r="D524468" i="23"/>
  <c r="D524467" i="23"/>
  <c r="D524466" i="23"/>
  <c r="D524465" i="23"/>
  <c r="D524464" i="23"/>
  <c r="D524463" i="23"/>
  <c r="D524462" i="23"/>
  <c r="D524461" i="23"/>
  <c r="D524460" i="23"/>
  <c r="D524459" i="23"/>
  <c r="D524458" i="23"/>
  <c r="D524457" i="23"/>
  <c r="D524456" i="23"/>
  <c r="D524455" i="23"/>
  <c r="D524454" i="23"/>
  <c r="D524453" i="23"/>
  <c r="D524452" i="23"/>
  <c r="D524451" i="23"/>
  <c r="D524450" i="23"/>
  <c r="D524449" i="23"/>
  <c r="D524448" i="23"/>
  <c r="D524447" i="23"/>
  <c r="D524446" i="23"/>
  <c r="D524445" i="23"/>
  <c r="D524444" i="23"/>
  <c r="D524443" i="23"/>
  <c r="D524442" i="23"/>
  <c r="D524441" i="23"/>
  <c r="D524440" i="23"/>
  <c r="D524439" i="23"/>
  <c r="D524438" i="23"/>
  <c r="D524437" i="23"/>
  <c r="D524436" i="23"/>
  <c r="D524435" i="23"/>
  <c r="D524434" i="23"/>
  <c r="D524433" i="23"/>
  <c r="D524432" i="23"/>
  <c r="D524431" i="23"/>
  <c r="D524430" i="23"/>
  <c r="D524429" i="23"/>
  <c r="D524428" i="23"/>
  <c r="D524427" i="23"/>
  <c r="D524426" i="23"/>
  <c r="D524425" i="23"/>
  <c r="D524424" i="23"/>
  <c r="D524423" i="23"/>
  <c r="D524422" i="23"/>
  <c r="D524421" i="23"/>
  <c r="D524420" i="23"/>
  <c r="D524419" i="23"/>
  <c r="D524418" i="23"/>
  <c r="D524417" i="23"/>
  <c r="D524416" i="23"/>
  <c r="D524415" i="23"/>
  <c r="D524414" i="23"/>
  <c r="D524413" i="23"/>
  <c r="D524412" i="23"/>
  <c r="D524411" i="23"/>
  <c r="D524410" i="23"/>
  <c r="D524409" i="23"/>
  <c r="D524408" i="23"/>
  <c r="D524407" i="23"/>
  <c r="D524406" i="23"/>
  <c r="F524405" i="23"/>
  <c r="E524405" i="23"/>
  <c r="D524405" i="23"/>
  <c r="C524405" i="23"/>
  <c r="D524404" i="23"/>
  <c r="D524403" i="23"/>
  <c r="D524402" i="23"/>
  <c r="D524401" i="23"/>
  <c r="D524400" i="23"/>
  <c r="D524399" i="23"/>
  <c r="D524398" i="23"/>
  <c r="D524397" i="23"/>
  <c r="D524396" i="23"/>
  <c r="D524395" i="23"/>
  <c r="D524394" i="23"/>
  <c r="D524393" i="23"/>
  <c r="D524392" i="23"/>
  <c r="D524391" i="23"/>
  <c r="D524390" i="23"/>
  <c r="D524389" i="23"/>
  <c r="D524388" i="23"/>
  <c r="D524387" i="23"/>
  <c r="D524386" i="23"/>
  <c r="D524385" i="23"/>
  <c r="D524384" i="23"/>
  <c r="D524383" i="23"/>
  <c r="D524382" i="23"/>
  <c r="D524381" i="23"/>
  <c r="D524380" i="23"/>
  <c r="D524379" i="23"/>
  <c r="D524378" i="23"/>
  <c r="D524377" i="23"/>
  <c r="D524376" i="23"/>
  <c r="D524375" i="23"/>
  <c r="D524374" i="23"/>
  <c r="D524373" i="23"/>
  <c r="D524372" i="23"/>
  <c r="D524371" i="23"/>
  <c r="D524370" i="23"/>
  <c r="D524369" i="23"/>
  <c r="D524368" i="23"/>
  <c r="D524367" i="23"/>
  <c r="D524366" i="23"/>
  <c r="D524365" i="23"/>
  <c r="D524364" i="23"/>
  <c r="D524363" i="23"/>
  <c r="D524362" i="23"/>
  <c r="D524361" i="23"/>
  <c r="F524360" i="23"/>
  <c r="E524360" i="23"/>
  <c r="D524360" i="23"/>
  <c r="C524360" i="23"/>
  <c r="D524359" i="23"/>
  <c r="D524358" i="23"/>
  <c r="D524357" i="23"/>
  <c r="D524356" i="23"/>
  <c r="D524355" i="23"/>
  <c r="D524354" i="23"/>
  <c r="D524353" i="23"/>
  <c r="D524352" i="23"/>
  <c r="D524351" i="23"/>
  <c r="D524350" i="23"/>
  <c r="D524349" i="23"/>
  <c r="D524348" i="23"/>
  <c r="D524347" i="23"/>
  <c r="D524346" i="23"/>
  <c r="D524345" i="23"/>
  <c r="D524344" i="23"/>
  <c r="D524343" i="23"/>
  <c r="D524342" i="23"/>
  <c r="D524341" i="23"/>
  <c r="D524340" i="23"/>
  <c r="D524339" i="23"/>
  <c r="D524338" i="23"/>
  <c r="D524337" i="23"/>
  <c r="D524336" i="23"/>
  <c r="D524335" i="23"/>
  <c r="D524334" i="23"/>
  <c r="D524333" i="23"/>
  <c r="D524332" i="23"/>
  <c r="D524331" i="23"/>
  <c r="D524330" i="23"/>
  <c r="D524329" i="23"/>
  <c r="D524328" i="23"/>
  <c r="D524327" i="23"/>
  <c r="D524326" i="23"/>
  <c r="D524325" i="23"/>
  <c r="D524324" i="23"/>
  <c r="D524323" i="23"/>
  <c r="D524322" i="23"/>
  <c r="D524321" i="23"/>
  <c r="D524320" i="23"/>
  <c r="D524319" i="23"/>
  <c r="D524318" i="23"/>
  <c r="D524317" i="23"/>
  <c r="D524316" i="23"/>
  <c r="D524315" i="23"/>
  <c r="D524314" i="23"/>
  <c r="D524313" i="23"/>
  <c r="D524312" i="23"/>
  <c r="D524311" i="23"/>
  <c r="D524310" i="23"/>
  <c r="D524309" i="23"/>
  <c r="D524308" i="23"/>
  <c r="D524307" i="23"/>
  <c r="D524306" i="23"/>
  <c r="D524305" i="23"/>
  <c r="D524304" i="23"/>
  <c r="D524303" i="23"/>
  <c r="D524302" i="23"/>
  <c r="D524301" i="23"/>
  <c r="D524300" i="23"/>
  <c r="D524299" i="23"/>
  <c r="D524298" i="23"/>
  <c r="D524297" i="23"/>
  <c r="D524296" i="23"/>
  <c r="D524295" i="23"/>
  <c r="D524294" i="23"/>
  <c r="D524293" i="23"/>
  <c r="B458962" i="23"/>
  <c r="B458961" i="23"/>
  <c r="B458960" i="23"/>
  <c r="B458959" i="23"/>
  <c r="B458958" i="23"/>
  <c r="B458957" i="23"/>
  <c r="B458956" i="23"/>
  <c r="B458955" i="23"/>
  <c r="B458954" i="23"/>
  <c r="B458953" i="23"/>
  <c r="D458947" i="23"/>
  <c r="D458946" i="23"/>
  <c r="D458945" i="23"/>
  <c r="D458944" i="23"/>
  <c r="D458943" i="23"/>
  <c r="D458942" i="23"/>
  <c r="D458941" i="23"/>
  <c r="D458940" i="23"/>
  <c r="D458939" i="23"/>
  <c r="D458938" i="23"/>
  <c r="D458937" i="23"/>
  <c r="D458936" i="23"/>
  <c r="D458935" i="23"/>
  <c r="D458934" i="23"/>
  <c r="D458933" i="23"/>
  <c r="D458932" i="23"/>
  <c r="D458931" i="23"/>
  <c r="D458930" i="23"/>
  <c r="D458929" i="23"/>
  <c r="D458928" i="23"/>
  <c r="D458927" i="23"/>
  <c r="D458926" i="23"/>
  <c r="D458925" i="23"/>
  <c r="D458924" i="23"/>
  <c r="D458923" i="23"/>
  <c r="D458922" i="23"/>
  <c r="D458921" i="23"/>
  <c r="D458920" i="23"/>
  <c r="D458919" i="23"/>
  <c r="D458918" i="23"/>
  <c r="D458917" i="23"/>
  <c r="D458916" i="23"/>
  <c r="D458915" i="23"/>
  <c r="D458914" i="23"/>
  <c r="D458913" i="23"/>
  <c r="D458912" i="23"/>
  <c r="D458911" i="23"/>
  <c r="D458910" i="23"/>
  <c r="D458909" i="23"/>
  <c r="D458908" i="23"/>
  <c r="D458907" i="23"/>
  <c r="D458906" i="23"/>
  <c r="D458905" i="23"/>
  <c r="D458904" i="23"/>
  <c r="D458903" i="23"/>
  <c r="D458902" i="23"/>
  <c r="D458901" i="23"/>
  <c r="D458900" i="23"/>
  <c r="D458899" i="23"/>
  <c r="D458898" i="23"/>
  <c r="D458897" i="23"/>
  <c r="D458896" i="23"/>
  <c r="D458895" i="23"/>
  <c r="D458894" i="23"/>
  <c r="D458893" i="23"/>
  <c r="D458892" i="23"/>
  <c r="D458891" i="23"/>
  <c r="D458890" i="23"/>
  <c r="D458889" i="23"/>
  <c r="D458888" i="23"/>
  <c r="D458887" i="23"/>
  <c r="D458886" i="23"/>
  <c r="D458885" i="23"/>
  <c r="D458884" i="23"/>
  <c r="D458883" i="23"/>
  <c r="D458882" i="23"/>
  <c r="D458881" i="23"/>
  <c r="D458880" i="23"/>
  <c r="D458879" i="23"/>
  <c r="D458878" i="23"/>
  <c r="D458877" i="23"/>
  <c r="D458876" i="23"/>
  <c r="D458875" i="23"/>
  <c r="D458874" i="23"/>
  <c r="D458873" i="23"/>
  <c r="D458872" i="23"/>
  <c r="D458871" i="23"/>
  <c r="D458870" i="23"/>
  <c r="F458869" i="23"/>
  <c r="E458869" i="23"/>
  <c r="D458869" i="23" s="1"/>
  <c r="C458869" i="23"/>
  <c r="D458868" i="23"/>
  <c r="D458867" i="23"/>
  <c r="D458866" i="23"/>
  <c r="D458865" i="23"/>
  <c r="D458864" i="23"/>
  <c r="D458863" i="23"/>
  <c r="D458862" i="23"/>
  <c r="D458861" i="23"/>
  <c r="D458860" i="23"/>
  <c r="D458859" i="23"/>
  <c r="D458858" i="23"/>
  <c r="D458857" i="23"/>
  <c r="D458856" i="23"/>
  <c r="D458855" i="23"/>
  <c r="D458854" i="23"/>
  <c r="D458853" i="23"/>
  <c r="D458852" i="23"/>
  <c r="D458851" i="23"/>
  <c r="D458850" i="23"/>
  <c r="D458849" i="23"/>
  <c r="D458848" i="23"/>
  <c r="D458847" i="23"/>
  <c r="D458846" i="23"/>
  <c r="D458845" i="23"/>
  <c r="D458844" i="23"/>
  <c r="D458843" i="23"/>
  <c r="D458842" i="23"/>
  <c r="D458841" i="23"/>
  <c r="D458840" i="23"/>
  <c r="D458839" i="23"/>
  <c r="D458838" i="23"/>
  <c r="D458837" i="23"/>
  <c r="D458836" i="23"/>
  <c r="D458835" i="23"/>
  <c r="D458834" i="23"/>
  <c r="D458833" i="23"/>
  <c r="D458832" i="23"/>
  <c r="D458831" i="23"/>
  <c r="D458830" i="23"/>
  <c r="D458829" i="23"/>
  <c r="D458828" i="23"/>
  <c r="D458827" i="23"/>
  <c r="D458826" i="23"/>
  <c r="D458825" i="23"/>
  <c r="F458824" i="23"/>
  <c r="E458824" i="23"/>
  <c r="D458824" i="23"/>
  <c r="C458824" i="23"/>
  <c r="D458823" i="23"/>
  <c r="D458822" i="23"/>
  <c r="D458821" i="23"/>
  <c r="D458820" i="23"/>
  <c r="D458819" i="23"/>
  <c r="D458818" i="23"/>
  <c r="D458817" i="23"/>
  <c r="D458816" i="23"/>
  <c r="D458815" i="23"/>
  <c r="D458814" i="23"/>
  <c r="D458813" i="23"/>
  <c r="D458812" i="23"/>
  <c r="D458811" i="23"/>
  <c r="D458810" i="23"/>
  <c r="D458809" i="23"/>
  <c r="D458808" i="23"/>
  <c r="D458807" i="23"/>
  <c r="D458806" i="23"/>
  <c r="D458805" i="23"/>
  <c r="D458804" i="23"/>
  <c r="D458803" i="23"/>
  <c r="D458802" i="23"/>
  <c r="D458801" i="23"/>
  <c r="D458800" i="23"/>
  <c r="D458799" i="23"/>
  <c r="D458798" i="23"/>
  <c r="D458797" i="23"/>
  <c r="D458796" i="23"/>
  <c r="D458795" i="23"/>
  <c r="D458794" i="23"/>
  <c r="D458793" i="23"/>
  <c r="D458792" i="23"/>
  <c r="D458791" i="23"/>
  <c r="D458790" i="23"/>
  <c r="D458789" i="23"/>
  <c r="D458788" i="23"/>
  <c r="D458787" i="23"/>
  <c r="D458786" i="23"/>
  <c r="D458785" i="23"/>
  <c r="D458784" i="23"/>
  <c r="D458783" i="23"/>
  <c r="D458782" i="23"/>
  <c r="D458781" i="23"/>
  <c r="D458780" i="23"/>
  <c r="D458779" i="23"/>
  <c r="D458778" i="23"/>
  <c r="D458777" i="23"/>
  <c r="D458776" i="23"/>
  <c r="D458775" i="23"/>
  <c r="D458774" i="23"/>
  <c r="D458773" i="23"/>
  <c r="D458772" i="23"/>
  <c r="D458771" i="23"/>
  <c r="D458770" i="23"/>
  <c r="D458769" i="23"/>
  <c r="D458768" i="23"/>
  <c r="D458767" i="23"/>
  <c r="D458766" i="23"/>
  <c r="D458765" i="23"/>
  <c r="D458764" i="23"/>
  <c r="D458763" i="23"/>
  <c r="D458762" i="23"/>
  <c r="D458761" i="23"/>
  <c r="D458760" i="23"/>
  <c r="D458759" i="23"/>
  <c r="D458758" i="23"/>
  <c r="D458757" i="23"/>
  <c r="B393426" i="23"/>
  <c r="B393425" i="23"/>
  <c r="B393424" i="23"/>
  <c r="B393423" i="23"/>
  <c r="B393422" i="23"/>
  <c r="B393421" i="23"/>
  <c r="B393420" i="23"/>
  <c r="B393419" i="23"/>
  <c r="B393418" i="23"/>
  <c r="B393417" i="23"/>
  <c r="D393411" i="23"/>
  <c r="D393410" i="23"/>
  <c r="D393409" i="23"/>
  <c r="D393408" i="23"/>
  <c r="D393407" i="23"/>
  <c r="D393406" i="23"/>
  <c r="D393405" i="23"/>
  <c r="D393404" i="23"/>
  <c r="D393403" i="23"/>
  <c r="D393402" i="23"/>
  <c r="D393401" i="23"/>
  <c r="D393400" i="23"/>
  <c r="D393399" i="23"/>
  <c r="D393398" i="23"/>
  <c r="D393397" i="23"/>
  <c r="D393396" i="23"/>
  <c r="D393395" i="23"/>
  <c r="D393394" i="23"/>
  <c r="D393393" i="23"/>
  <c r="D393392" i="23"/>
  <c r="D393391" i="23"/>
  <c r="D393390" i="23"/>
  <c r="D393389" i="23"/>
  <c r="D393388" i="23"/>
  <c r="D393387" i="23"/>
  <c r="D393386" i="23"/>
  <c r="D393385" i="23"/>
  <c r="D393384" i="23"/>
  <c r="D393383" i="23"/>
  <c r="D393382" i="23"/>
  <c r="D393381" i="23"/>
  <c r="D393380" i="23"/>
  <c r="D393379" i="23"/>
  <c r="D393378" i="23"/>
  <c r="D393377" i="23"/>
  <c r="D393376" i="23"/>
  <c r="D393375" i="23"/>
  <c r="D393374" i="23"/>
  <c r="D393373" i="23"/>
  <c r="D393372" i="23"/>
  <c r="D393371" i="23"/>
  <c r="D393370" i="23"/>
  <c r="D393369" i="23"/>
  <c r="D393368" i="23"/>
  <c r="D393367" i="23"/>
  <c r="D393366" i="23"/>
  <c r="D393365" i="23"/>
  <c r="D393364" i="23"/>
  <c r="D393363" i="23"/>
  <c r="D393362" i="23"/>
  <c r="D393361" i="23"/>
  <c r="D393360" i="23"/>
  <c r="D393359" i="23"/>
  <c r="D393358" i="23"/>
  <c r="D393357" i="23"/>
  <c r="D393356" i="23"/>
  <c r="D393355" i="23"/>
  <c r="D393354" i="23"/>
  <c r="D393353" i="23"/>
  <c r="D393352" i="23"/>
  <c r="D393351" i="23"/>
  <c r="D393350" i="23"/>
  <c r="D393349" i="23"/>
  <c r="D393348" i="23"/>
  <c r="D393347" i="23"/>
  <c r="D393346" i="23"/>
  <c r="D393345" i="23"/>
  <c r="D393344" i="23"/>
  <c r="D393343" i="23"/>
  <c r="D393342" i="23"/>
  <c r="D393341" i="23"/>
  <c r="D393340" i="23"/>
  <c r="D393339" i="23"/>
  <c r="D393338" i="23"/>
  <c r="D393337" i="23"/>
  <c r="D393336" i="23"/>
  <c r="D393335" i="23"/>
  <c r="D393334" i="23"/>
  <c r="F393333" i="23"/>
  <c r="E393333" i="23"/>
  <c r="D393333" i="23" s="1"/>
  <c r="C393333" i="23"/>
  <c r="D393332" i="23"/>
  <c r="D393331" i="23"/>
  <c r="D393330" i="23"/>
  <c r="D393329" i="23"/>
  <c r="D393328" i="23"/>
  <c r="D393327" i="23"/>
  <c r="D393326" i="23"/>
  <c r="D393325" i="23"/>
  <c r="D393324" i="23"/>
  <c r="D393323" i="23"/>
  <c r="D393322" i="23"/>
  <c r="D393321" i="23"/>
  <c r="D393320" i="23"/>
  <c r="D393319" i="23"/>
  <c r="D393318" i="23"/>
  <c r="D393317" i="23"/>
  <c r="D393316" i="23"/>
  <c r="D393315" i="23"/>
  <c r="D393314" i="23"/>
  <c r="D393313" i="23"/>
  <c r="D393312" i="23"/>
  <c r="D393311" i="23"/>
  <c r="D393310" i="23"/>
  <c r="D393309" i="23"/>
  <c r="D393308" i="23"/>
  <c r="D393307" i="23"/>
  <c r="D393306" i="23"/>
  <c r="D393305" i="23"/>
  <c r="D393304" i="23"/>
  <c r="D393303" i="23"/>
  <c r="D393302" i="23"/>
  <c r="D393301" i="23"/>
  <c r="D393300" i="23"/>
  <c r="D393299" i="23"/>
  <c r="D393298" i="23"/>
  <c r="D393297" i="23"/>
  <c r="D393296" i="23"/>
  <c r="D393295" i="23"/>
  <c r="D393294" i="23"/>
  <c r="D393293" i="23"/>
  <c r="D393292" i="23"/>
  <c r="D393291" i="23"/>
  <c r="D393290" i="23"/>
  <c r="D393289" i="23"/>
  <c r="F393288" i="23"/>
  <c r="E393288" i="23"/>
  <c r="D393288" i="23" s="1"/>
  <c r="C393288" i="23"/>
  <c r="D393287" i="23"/>
  <c r="D393286" i="23"/>
  <c r="D393285" i="23"/>
  <c r="D393284" i="23"/>
  <c r="D393283" i="23"/>
  <c r="D393282" i="23"/>
  <c r="D393281" i="23"/>
  <c r="D393280" i="23"/>
  <c r="D393279" i="23"/>
  <c r="D393278" i="23"/>
  <c r="D393277" i="23"/>
  <c r="D393276" i="23"/>
  <c r="D393275" i="23"/>
  <c r="D393274" i="23"/>
  <c r="D393273" i="23"/>
  <c r="D393272" i="23"/>
  <c r="D393271" i="23"/>
  <c r="D393270" i="23"/>
  <c r="D393269" i="23"/>
  <c r="D393268" i="23"/>
  <c r="D393267" i="23"/>
  <c r="D393266" i="23"/>
  <c r="D393265" i="23"/>
  <c r="D393264" i="23"/>
  <c r="D393263" i="23"/>
  <c r="D393262" i="23"/>
  <c r="D393261" i="23"/>
  <c r="D393260" i="23"/>
  <c r="D393259" i="23"/>
  <c r="D393258" i="23"/>
  <c r="D393257" i="23"/>
  <c r="D393256" i="23"/>
  <c r="D393255" i="23"/>
  <c r="D393254" i="23"/>
  <c r="D393253" i="23"/>
  <c r="D393252" i="23"/>
  <c r="D393251" i="23"/>
  <c r="D393250" i="23"/>
  <c r="D393249" i="23"/>
  <c r="D393248" i="23"/>
  <c r="D393247" i="23"/>
  <c r="D393246" i="23"/>
  <c r="D393245" i="23"/>
  <c r="D393244" i="23"/>
  <c r="D393243" i="23"/>
  <c r="D393242" i="23"/>
  <c r="D393241" i="23"/>
  <c r="D393240" i="23"/>
  <c r="D393239" i="23"/>
  <c r="D393238" i="23"/>
  <c r="D393237" i="23"/>
  <c r="D393236" i="23"/>
  <c r="D393235" i="23"/>
  <c r="D393234" i="23"/>
  <c r="D393233" i="23"/>
  <c r="D393232" i="23"/>
  <c r="D393231" i="23"/>
  <c r="D393230" i="23"/>
  <c r="D393229" i="23"/>
  <c r="D393228" i="23"/>
  <c r="D393227" i="23"/>
  <c r="D393226" i="23"/>
  <c r="D393225" i="23"/>
  <c r="D393224" i="23"/>
  <c r="D393223" i="23"/>
  <c r="D393222" i="23"/>
  <c r="D393221" i="23"/>
  <c r="B327890" i="23"/>
  <c r="B327889" i="23"/>
  <c r="B327888" i="23"/>
  <c r="B327887" i="23"/>
  <c r="B327886" i="23"/>
  <c r="B327885" i="23"/>
  <c r="B327884" i="23"/>
  <c r="B327883" i="23"/>
  <c r="B327882" i="23"/>
  <c r="B327881" i="23"/>
  <c r="D327875" i="23"/>
  <c r="D327874" i="23"/>
  <c r="D327873" i="23"/>
  <c r="D327872" i="23"/>
  <c r="D327871" i="23"/>
  <c r="D327870" i="23"/>
  <c r="D327869" i="23"/>
  <c r="D327868" i="23"/>
  <c r="D327867" i="23"/>
  <c r="D327866" i="23"/>
  <c r="D327865" i="23"/>
  <c r="D327864" i="23"/>
  <c r="D327863" i="23"/>
  <c r="D327862" i="23"/>
  <c r="D327861" i="23"/>
  <c r="D327860" i="23"/>
  <c r="D327859" i="23"/>
  <c r="D327858" i="23"/>
  <c r="D327857" i="23"/>
  <c r="D327856" i="23"/>
  <c r="D327855" i="23"/>
  <c r="D327854" i="23"/>
  <c r="D327853" i="23"/>
  <c r="D327852" i="23"/>
  <c r="D327851" i="23"/>
  <c r="D327850" i="23"/>
  <c r="D327849" i="23"/>
  <c r="D327848" i="23"/>
  <c r="D327847" i="23"/>
  <c r="D327846" i="23"/>
  <c r="D327845" i="23"/>
  <c r="D327844" i="23"/>
  <c r="D327843" i="23"/>
  <c r="D327842" i="23"/>
  <c r="D327841" i="23"/>
  <c r="D327840" i="23"/>
  <c r="D327839" i="23"/>
  <c r="D327838" i="23"/>
  <c r="D327837" i="23"/>
  <c r="D327836" i="23"/>
  <c r="D327835" i="23"/>
  <c r="D327834" i="23"/>
  <c r="D327833" i="23"/>
  <c r="D327832" i="23"/>
  <c r="D327831" i="23"/>
  <c r="D327830" i="23"/>
  <c r="D327829" i="23"/>
  <c r="D327828" i="23"/>
  <c r="D327827" i="23"/>
  <c r="D327826" i="23"/>
  <c r="D327825" i="23"/>
  <c r="D327824" i="23"/>
  <c r="D327823" i="23"/>
  <c r="D327822" i="23"/>
  <c r="D327821" i="23"/>
  <c r="D327820" i="23"/>
  <c r="D327819" i="23"/>
  <c r="D327818" i="23"/>
  <c r="D327817" i="23"/>
  <c r="D327816" i="23"/>
  <c r="D327815" i="23"/>
  <c r="D327814" i="23"/>
  <c r="D327813" i="23"/>
  <c r="D327812" i="23"/>
  <c r="D327811" i="23"/>
  <c r="D327810" i="23"/>
  <c r="D327809" i="23"/>
  <c r="D327808" i="23"/>
  <c r="D327807" i="23"/>
  <c r="D327806" i="23"/>
  <c r="D327805" i="23"/>
  <c r="D327804" i="23"/>
  <c r="D327803" i="23"/>
  <c r="D327802" i="23"/>
  <c r="D327801" i="23"/>
  <c r="D327800" i="23"/>
  <c r="D327799" i="23"/>
  <c r="D327798" i="23"/>
  <c r="F327797" i="23"/>
  <c r="E327797" i="23"/>
  <c r="D327797" i="23" s="1"/>
  <c r="C327797" i="23"/>
  <c r="D327796" i="23"/>
  <c r="D327795" i="23"/>
  <c r="D327794" i="23"/>
  <c r="D327793" i="23"/>
  <c r="D327792" i="23"/>
  <c r="D327791" i="23"/>
  <c r="D327790" i="23"/>
  <c r="D327789" i="23"/>
  <c r="D327788" i="23"/>
  <c r="D327787" i="23"/>
  <c r="D327786" i="23"/>
  <c r="D327785" i="23"/>
  <c r="D327784" i="23"/>
  <c r="D327783" i="23"/>
  <c r="D327782" i="23"/>
  <c r="D327781" i="23"/>
  <c r="D327780" i="23"/>
  <c r="D327779" i="23"/>
  <c r="D327778" i="23"/>
  <c r="D327777" i="23"/>
  <c r="D327776" i="23"/>
  <c r="D327775" i="23"/>
  <c r="D327774" i="23"/>
  <c r="D327773" i="23"/>
  <c r="D327772" i="23"/>
  <c r="D327771" i="23"/>
  <c r="D327770" i="23"/>
  <c r="D327769" i="23"/>
  <c r="D327768" i="23"/>
  <c r="D327767" i="23"/>
  <c r="D327766" i="23"/>
  <c r="D327765" i="23"/>
  <c r="D327764" i="23"/>
  <c r="D327763" i="23"/>
  <c r="D327762" i="23"/>
  <c r="D327761" i="23"/>
  <c r="D327760" i="23"/>
  <c r="D327759" i="23"/>
  <c r="D327758" i="23"/>
  <c r="D327757" i="23"/>
  <c r="D327756" i="23"/>
  <c r="D327755" i="23"/>
  <c r="D327754" i="23"/>
  <c r="D327753" i="23"/>
  <c r="F327752" i="23"/>
  <c r="E327752" i="23"/>
  <c r="D327752" i="23" s="1"/>
  <c r="C327752" i="23"/>
  <c r="D327751" i="23"/>
  <c r="D327750" i="23"/>
  <c r="D327749" i="23"/>
  <c r="D327748" i="23"/>
  <c r="D327747" i="23"/>
  <c r="D327746" i="23"/>
  <c r="D327745" i="23"/>
  <c r="D327744" i="23"/>
  <c r="D327743" i="23"/>
  <c r="D327742" i="23"/>
  <c r="D327741" i="23"/>
  <c r="D327740" i="23"/>
  <c r="D327739" i="23"/>
  <c r="D327738" i="23"/>
  <c r="D327737" i="23"/>
  <c r="D327736" i="23"/>
  <c r="D327735" i="23"/>
  <c r="D327734" i="23"/>
  <c r="D327733" i="23"/>
  <c r="D327732" i="23"/>
  <c r="D327731" i="23"/>
  <c r="D327730" i="23"/>
  <c r="D327729" i="23"/>
  <c r="D327728" i="23"/>
  <c r="D327727" i="23"/>
  <c r="D327726" i="23"/>
  <c r="D327725" i="23"/>
  <c r="D327724" i="23"/>
  <c r="D327723" i="23"/>
  <c r="D327722" i="23"/>
  <c r="D327721" i="23"/>
  <c r="D327720" i="23"/>
  <c r="D327719" i="23"/>
  <c r="D327718" i="23"/>
  <c r="D327717" i="23"/>
  <c r="D327716" i="23"/>
  <c r="D327715" i="23"/>
  <c r="D327714" i="23"/>
  <c r="D327713" i="23"/>
  <c r="D327712" i="23"/>
  <c r="D327711" i="23"/>
  <c r="D327710" i="23"/>
  <c r="D327709" i="23"/>
  <c r="D327708" i="23"/>
  <c r="D327707" i="23"/>
  <c r="D327706" i="23"/>
  <c r="D327705" i="23"/>
  <c r="D327704" i="23"/>
  <c r="D327703" i="23"/>
  <c r="D327702" i="23"/>
  <c r="D327701" i="23"/>
  <c r="D327700" i="23"/>
  <c r="D327699" i="23"/>
  <c r="D327698" i="23"/>
  <c r="D327697" i="23"/>
  <c r="D327696" i="23"/>
  <c r="D327695" i="23"/>
  <c r="D327694" i="23"/>
  <c r="D327693" i="23"/>
  <c r="D327692" i="23"/>
  <c r="D327691" i="23"/>
  <c r="D327690" i="23"/>
  <c r="D327689" i="23"/>
  <c r="D327688" i="23"/>
  <c r="D327687" i="23"/>
  <c r="D327686" i="23"/>
  <c r="D327685" i="23"/>
  <c r="B262354" i="23"/>
  <c r="B262353" i="23"/>
  <c r="B262352" i="23"/>
  <c r="B262351" i="23"/>
  <c r="B262350" i="23"/>
  <c r="B262349" i="23"/>
  <c r="B262348" i="23"/>
  <c r="B262347" i="23"/>
  <c r="B262346" i="23"/>
  <c r="B262345" i="23"/>
  <c r="D262339" i="23"/>
  <c r="D262338" i="23"/>
  <c r="D262337" i="23"/>
  <c r="D262336" i="23"/>
  <c r="D262335" i="23"/>
  <c r="D262334" i="23"/>
  <c r="D262333" i="23"/>
  <c r="D262332" i="23"/>
  <c r="D262331" i="23"/>
  <c r="D262330" i="23"/>
  <c r="D262329" i="23"/>
  <c r="D262328" i="23"/>
  <c r="D262327" i="23"/>
  <c r="D262326" i="23"/>
  <c r="D262325" i="23"/>
  <c r="D262324" i="23"/>
  <c r="D262323" i="23"/>
  <c r="D262322" i="23"/>
  <c r="D262321" i="23"/>
  <c r="D262320" i="23"/>
  <c r="D262319" i="23"/>
  <c r="D262318" i="23"/>
  <c r="D262317" i="23"/>
  <c r="D262316" i="23"/>
  <c r="D262315" i="23"/>
  <c r="D262314" i="23"/>
  <c r="D262313" i="23"/>
  <c r="D262312" i="23"/>
  <c r="D262311" i="23"/>
  <c r="D262310" i="23"/>
  <c r="D262309" i="23"/>
  <c r="D262308" i="23"/>
  <c r="D262307" i="23"/>
  <c r="D262306" i="23"/>
  <c r="D262305" i="23"/>
  <c r="D262304" i="23"/>
  <c r="D262303" i="23"/>
  <c r="D262302" i="23"/>
  <c r="D262301" i="23"/>
  <c r="D262300" i="23"/>
  <c r="D262299" i="23"/>
  <c r="D262298" i="23"/>
  <c r="D262297" i="23"/>
  <c r="D262296" i="23"/>
  <c r="D262295" i="23"/>
  <c r="D262294" i="23"/>
  <c r="D262293" i="23"/>
  <c r="D262292" i="23"/>
  <c r="D262291" i="23"/>
  <c r="D262290" i="23"/>
  <c r="D262289" i="23"/>
  <c r="D262288" i="23"/>
  <c r="D262287" i="23"/>
  <c r="D262286" i="23"/>
  <c r="D262285" i="23"/>
  <c r="D262284" i="23"/>
  <c r="D262283" i="23"/>
  <c r="D262282" i="23"/>
  <c r="D262281" i="23"/>
  <c r="D262280" i="23"/>
  <c r="D262279" i="23"/>
  <c r="D262278" i="23"/>
  <c r="D262277" i="23"/>
  <c r="D262276" i="23"/>
  <c r="D262275" i="23"/>
  <c r="D262274" i="23"/>
  <c r="D262273" i="23"/>
  <c r="D262272" i="23"/>
  <c r="D262271" i="23"/>
  <c r="D262270" i="23"/>
  <c r="D262269" i="23"/>
  <c r="D262268" i="23"/>
  <c r="D262267" i="23"/>
  <c r="D262266" i="23"/>
  <c r="D262265" i="23"/>
  <c r="D262264" i="23"/>
  <c r="D262263" i="23"/>
  <c r="D262262" i="23"/>
  <c r="F262261" i="23"/>
  <c r="E262261" i="23"/>
  <c r="D262261" i="23"/>
  <c r="C262261" i="23"/>
  <c r="D262260" i="23"/>
  <c r="D262259" i="23"/>
  <c r="D262258" i="23"/>
  <c r="D262257" i="23"/>
  <c r="D262256" i="23"/>
  <c r="D262255" i="23"/>
  <c r="D262254" i="23"/>
  <c r="D262253" i="23"/>
  <c r="D262252" i="23"/>
  <c r="D262251" i="23"/>
  <c r="D262250" i="23"/>
  <c r="D262249" i="23"/>
  <c r="D262248" i="23"/>
  <c r="D262247" i="23"/>
  <c r="D262246" i="23"/>
  <c r="D262245" i="23"/>
  <c r="D262244" i="23"/>
  <c r="D262243" i="23"/>
  <c r="D262242" i="23"/>
  <c r="D262241" i="23"/>
  <c r="D262240" i="23"/>
  <c r="D262239" i="23"/>
  <c r="D262238" i="23"/>
  <c r="D262237" i="23"/>
  <c r="D262236" i="23"/>
  <c r="D262235" i="23"/>
  <c r="D262234" i="23"/>
  <c r="D262233" i="23"/>
  <c r="D262232" i="23"/>
  <c r="D262231" i="23"/>
  <c r="D262230" i="23"/>
  <c r="D262229" i="23"/>
  <c r="D262228" i="23"/>
  <c r="D262227" i="23"/>
  <c r="D262226" i="23"/>
  <c r="D262225" i="23"/>
  <c r="D262224" i="23"/>
  <c r="D262223" i="23"/>
  <c r="D262222" i="23"/>
  <c r="D262221" i="23"/>
  <c r="D262220" i="23"/>
  <c r="D262219" i="23"/>
  <c r="D262218" i="23"/>
  <c r="D262217" i="23"/>
  <c r="F262216" i="23"/>
  <c r="E262216" i="23"/>
  <c r="D262216" i="23"/>
  <c r="C262216" i="23"/>
  <c r="D262215" i="23"/>
  <c r="D262214" i="23"/>
  <c r="D262213" i="23"/>
  <c r="D262212" i="23"/>
  <c r="D262211" i="23"/>
  <c r="D262210" i="23"/>
  <c r="D262209" i="23"/>
  <c r="D262208" i="23"/>
  <c r="D262207" i="23"/>
  <c r="D262206" i="23"/>
  <c r="D262205" i="23"/>
  <c r="D262204" i="23"/>
  <c r="D262203" i="23"/>
  <c r="D262202" i="23"/>
  <c r="D262201" i="23"/>
  <c r="D262200" i="23"/>
  <c r="D262199" i="23"/>
  <c r="D262198" i="23"/>
  <c r="D262197" i="23"/>
  <c r="D262196" i="23"/>
  <c r="D262195" i="23"/>
  <c r="D262194" i="23"/>
  <c r="D262193" i="23"/>
  <c r="D262192" i="23"/>
  <c r="D262191" i="23"/>
  <c r="D262190" i="23"/>
  <c r="D262189" i="23"/>
  <c r="D262188" i="23"/>
  <c r="D262187" i="23"/>
  <c r="D262186" i="23"/>
  <c r="D262185" i="23"/>
  <c r="D262184" i="23"/>
  <c r="D262183" i="23"/>
  <c r="D262182" i="23"/>
  <c r="D262181" i="23"/>
  <c r="D262180" i="23"/>
  <c r="D262179" i="23"/>
  <c r="D262178" i="23"/>
  <c r="D262177" i="23"/>
  <c r="D262176" i="23"/>
  <c r="D262175" i="23"/>
  <c r="D262174" i="23"/>
  <c r="D262173" i="23"/>
  <c r="D262172" i="23"/>
  <c r="D262171" i="23"/>
  <c r="D262170" i="23"/>
  <c r="D262169" i="23"/>
  <c r="D262168" i="23"/>
  <c r="D262167" i="23"/>
  <c r="D262166" i="23"/>
  <c r="D262165" i="23"/>
  <c r="D262164" i="23"/>
  <c r="D262163" i="23"/>
  <c r="D262162" i="23"/>
  <c r="D262161" i="23"/>
  <c r="D262160" i="23"/>
  <c r="D262159" i="23"/>
  <c r="D262158" i="23"/>
  <c r="D262157" i="23"/>
  <c r="D262156" i="23"/>
  <c r="D262155" i="23"/>
  <c r="D262154" i="23"/>
  <c r="D262153" i="23"/>
  <c r="D262152" i="23"/>
  <c r="D262151" i="23"/>
  <c r="D262150" i="23"/>
  <c r="D262149" i="23"/>
  <c r="B196818" i="23"/>
  <c r="B196817" i="23"/>
  <c r="B196816" i="23"/>
  <c r="B196815" i="23"/>
  <c r="B196814" i="23"/>
  <c r="B196813" i="23"/>
  <c r="B196812" i="23"/>
  <c r="B196811" i="23"/>
  <c r="B196810" i="23"/>
  <c r="B196809" i="23"/>
  <c r="D196803" i="23"/>
  <c r="D196802" i="23"/>
  <c r="D196801" i="23"/>
  <c r="D196800" i="23"/>
  <c r="D196799" i="23"/>
  <c r="D196798" i="23"/>
  <c r="D196797" i="23"/>
  <c r="D196796" i="23"/>
  <c r="D196795" i="23"/>
  <c r="D196794" i="23"/>
  <c r="D196793" i="23"/>
  <c r="D196792" i="23"/>
  <c r="D196791" i="23"/>
  <c r="D196790" i="23"/>
  <c r="D196789" i="23"/>
  <c r="D196788" i="23"/>
  <c r="D196787" i="23"/>
  <c r="D196786" i="23"/>
  <c r="D196785" i="23"/>
  <c r="D196784" i="23"/>
  <c r="D196783" i="23"/>
  <c r="D196782" i="23"/>
  <c r="D196781" i="23"/>
  <c r="D196780" i="23"/>
  <c r="D196779" i="23"/>
  <c r="D196778" i="23"/>
  <c r="D196777" i="23"/>
  <c r="D196776" i="23"/>
  <c r="D196775" i="23"/>
  <c r="D196774" i="23"/>
  <c r="D196773" i="23"/>
  <c r="D196772" i="23"/>
  <c r="D196771" i="23"/>
  <c r="D196770" i="23"/>
  <c r="D196769" i="23"/>
  <c r="D196768" i="23"/>
  <c r="D196767" i="23"/>
  <c r="D196766" i="23"/>
  <c r="D196765" i="23"/>
  <c r="D196764" i="23"/>
  <c r="D196763" i="23"/>
  <c r="D196762" i="23"/>
  <c r="D196761" i="23"/>
  <c r="D196760" i="23"/>
  <c r="D196759" i="23"/>
  <c r="D196758" i="23"/>
  <c r="D196757" i="23"/>
  <c r="D196756" i="23"/>
  <c r="D196755" i="23"/>
  <c r="D196754" i="23"/>
  <c r="D196753" i="23"/>
  <c r="D196752" i="23"/>
  <c r="D196751" i="23"/>
  <c r="D196750" i="23"/>
  <c r="D196749" i="23"/>
  <c r="D196748" i="23"/>
  <c r="D196747" i="23"/>
  <c r="D196746" i="23"/>
  <c r="D196745" i="23"/>
  <c r="D196744" i="23"/>
  <c r="D196743" i="23"/>
  <c r="D196742" i="23"/>
  <c r="D196741" i="23"/>
  <c r="D196740" i="23"/>
  <c r="D196739" i="23"/>
  <c r="D196738" i="23"/>
  <c r="D196737" i="23"/>
  <c r="D196736" i="23"/>
  <c r="D196735" i="23"/>
  <c r="D196734" i="23"/>
  <c r="D196733" i="23"/>
  <c r="D196732" i="23"/>
  <c r="D196731" i="23"/>
  <c r="D196730" i="23"/>
  <c r="D196729" i="23"/>
  <c r="D196728" i="23"/>
  <c r="D196727" i="23"/>
  <c r="D196726" i="23"/>
  <c r="F196725" i="23"/>
  <c r="E196725" i="23"/>
  <c r="D196725" i="23" s="1"/>
  <c r="C196725" i="23"/>
  <c r="D196724" i="23"/>
  <c r="D196723" i="23"/>
  <c r="D196722" i="23"/>
  <c r="D196721" i="23"/>
  <c r="D196720" i="23"/>
  <c r="D196719" i="23"/>
  <c r="D196718" i="23"/>
  <c r="D196717" i="23"/>
  <c r="D196716" i="23"/>
  <c r="D196715" i="23"/>
  <c r="D196714" i="23"/>
  <c r="D196713" i="23"/>
  <c r="D196712" i="23"/>
  <c r="D196711" i="23"/>
  <c r="D196710" i="23"/>
  <c r="D196709" i="23"/>
  <c r="D196708" i="23"/>
  <c r="D196707" i="23"/>
  <c r="D196706" i="23"/>
  <c r="D196705" i="23"/>
  <c r="D196704" i="23"/>
  <c r="D196703" i="23"/>
  <c r="D196702" i="23"/>
  <c r="D196701" i="23"/>
  <c r="D196700" i="23"/>
  <c r="D196699" i="23"/>
  <c r="D196698" i="23"/>
  <c r="D196697" i="23"/>
  <c r="D196696" i="23"/>
  <c r="D196695" i="23"/>
  <c r="D196694" i="23"/>
  <c r="D196693" i="23"/>
  <c r="D196692" i="23"/>
  <c r="D196691" i="23"/>
  <c r="D196690" i="23"/>
  <c r="D196689" i="23"/>
  <c r="D196688" i="23"/>
  <c r="D196687" i="23"/>
  <c r="D196686" i="23"/>
  <c r="D196685" i="23"/>
  <c r="D196684" i="23"/>
  <c r="D196683" i="23"/>
  <c r="D196682" i="23"/>
  <c r="D196681" i="23"/>
  <c r="F196680" i="23"/>
  <c r="E196680" i="23"/>
  <c r="D196680" i="23" s="1"/>
  <c r="C196680" i="23"/>
  <c r="D196679" i="23"/>
  <c r="D196678" i="23"/>
  <c r="D196677" i="23"/>
  <c r="D196676" i="23"/>
  <c r="D196675" i="23"/>
  <c r="D196674" i="23"/>
  <c r="D196673" i="23"/>
  <c r="D196672" i="23"/>
  <c r="D196671" i="23"/>
  <c r="D196670" i="23"/>
  <c r="D196669" i="23"/>
  <c r="D196668" i="23"/>
  <c r="D196667" i="23"/>
  <c r="D196666" i="23"/>
  <c r="D196665" i="23"/>
  <c r="D196664" i="23"/>
  <c r="D196663" i="23"/>
  <c r="D196662" i="23"/>
  <c r="D196661" i="23"/>
  <c r="D196660" i="23"/>
  <c r="D196659" i="23"/>
  <c r="D196658" i="23"/>
  <c r="D196657" i="23"/>
  <c r="D196656" i="23"/>
  <c r="D196655" i="23"/>
  <c r="D196654" i="23"/>
  <c r="D196653" i="23"/>
  <c r="D196652" i="23"/>
  <c r="D196651" i="23"/>
  <c r="D196650" i="23"/>
  <c r="D196649" i="23"/>
  <c r="D196648" i="23"/>
  <c r="D196647" i="23"/>
  <c r="D196646" i="23"/>
  <c r="D196645" i="23"/>
  <c r="D196644" i="23"/>
  <c r="D196643" i="23"/>
  <c r="D196642" i="23"/>
  <c r="D196641" i="23"/>
  <c r="D196640" i="23"/>
  <c r="D196639" i="23"/>
  <c r="D196638" i="23"/>
  <c r="D196637" i="23"/>
  <c r="D196636" i="23"/>
  <c r="D196635" i="23"/>
  <c r="D196634" i="23"/>
  <c r="D196633" i="23"/>
  <c r="D196632" i="23"/>
  <c r="D196631" i="23"/>
  <c r="D196630" i="23"/>
  <c r="D196629" i="23"/>
  <c r="D196628" i="23"/>
  <c r="D196627" i="23"/>
  <c r="D196626" i="23"/>
  <c r="D196625" i="23"/>
  <c r="D196624" i="23"/>
  <c r="D196623" i="23"/>
  <c r="D196622" i="23"/>
  <c r="D196621" i="23"/>
  <c r="D196620" i="23"/>
  <c r="D196619" i="23"/>
  <c r="D196618" i="23"/>
  <c r="D196617" i="23"/>
  <c r="D196616" i="23"/>
  <c r="D196615" i="23"/>
  <c r="D196614" i="23"/>
  <c r="D196613" i="23"/>
  <c r="B131282" i="23"/>
  <c r="B131281" i="23"/>
  <c r="B131280" i="23"/>
  <c r="B131279" i="23"/>
  <c r="B131278" i="23"/>
  <c r="B131277" i="23"/>
  <c r="B131276" i="23"/>
  <c r="B131275" i="23"/>
  <c r="B131274" i="23"/>
  <c r="B131273" i="23"/>
  <c r="D131267" i="23"/>
  <c r="D131266" i="23"/>
  <c r="D131265" i="23"/>
  <c r="D131264" i="23"/>
  <c r="D131263" i="23"/>
  <c r="D131262" i="23"/>
  <c r="D131261" i="23"/>
  <c r="D131260" i="23"/>
  <c r="D131259" i="23"/>
  <c r="D131258" i="23"/>
  <c r="D131257" i="23"/>
  <c r="D131256" i="23"/>
  <c r="D131255" i="23"/>
  <c r="D131254" i="23"/>
  <c r="D131253" i="23"/>
  <c r="D131252" i="23"/>
  <c r="D131251" i="23"/>
  <c r="D131250" i="23"/>
  <c r="D131249" i="23"/>
  <c r="D131248" i="23"/>
  <c r="D131247" i="23"/>
  <c r="D131246" i="23"/>
  <c r="D131245" i="23"/>
  <c r="D131244" i="23"/>
  <c r="D131243" i="23"/>
  <c r="D131242" i="23"/>
  <c r="D131241" i="23"/>
  <c r="D131240" i="23"/>
  <c r="D131239" i="23"/>
  <c r="D131238" i="23"/>
  <c r="D131237" i="23"/>
  <c r="D131236" i="23"/>
  <c r="D131235" i="23"/>
  <c r="D131234" i="23"/>
  <c r="D131233" i="23"/>
  <c r="D131232" i="23"/>
  <c r="D131231" i="23"/>
  <c r="D131230" i="23"/>
  <c r="D131229" i="23"/>
  <c r="D131228" i="23"/>
  <c r="D131227" i="23"/>
  <c r="D131226" i="23"/>
  <c r="D131225" i="23"/>
  <c r="D131224" i="23"/>
  <c r="D131223" i="23"/>
  <c r="D131222" i="23"/>
  <c r="D131221" i="23"/>
  <c r="D131220" i="23"/>
  <c r="D131219" i="23"/>
  <c r="D131218" i="23"/>
  <c r="D131217" i="23"/>
  <c r="D131216" i="23"/>
  <c r="D131215" i="23"/>
  <c r="D131214" i="23"/>
  <c r="D131213" i="23"/>
  <c r="D131212" i="23"/>
  <c r="D131211" i="23"/>
  <c r="D131210" i="23"/>
  <c r="D131209" i="23"/>
  <c r="D131208" i="23"/>
  <c r="D131207" i="23"/>
  <c r="D131206" i="23"/>
  <c r="D131205" i="23"/>
  <c r="D131204" i="23"/>
  <c r="D131203" i="23"/>
  <c r="D131202" i="23"/>
  <c r="D131201" i="23"/>
  <c r="D131200" i="23"/>
  <c r="D131199" i="23"/>
  <c r="D131198" i="23"/>
  <c r="D131197" i="23"/>
  <c r="D131196" i="23"/>
  <c r="D131195" i="23"/>
  <c r="D131194" i="23"/>
  <c r="D131193" i="23"/>
  <c r="D131192" i="23"/>
  <c r="D131191" i="23"/>
  <c r="D131190" i="23"/>
  <c r="F131189" i="23"/>
  <c r="E131189" i="23"/>
  <c r="D131189" i="23"/>
  <c r="C131189" i="23"/>
  <c r="D131188" i="23"/>
  <c r="D131187" i="23"/>
  <c r="D131186" i="23"/>
  <c r="D131185" i="23"/>
  <c r="D131184" i="23"/>
  <c r="D131183" i="23"/>
  <c r="D131182" i="23"/>
  <c r="D131181" i="23"/>
  <c r="D131180" i="23"/>
  <c r="D131179" i="23"/>
  <c r="D131178" i="23"/>
  <c r="D131177" i="23"/>
  <c r="D131176" i="23"/>
  <c r="D131175" i="23"/>
  <c r="D131174" i="23"/>
  <c r="D131173" i="23"/>
  <c r="D131172" i="23"/>
  <c r="D131171" i="23"/>
  <c r="D131170" i="23"/>
  <c r="D131169" i="23"/>
  <c r="D131168" i="23"/>
  <c r="D131167" i="23"/>
  <c r="D131166" i="23"/>
  <c r="D131165" i="23"/>
  <c r="D131164" i="23"/>
  <c r="D131163" i="23"/>
  <c r="D131162" i="23"/>
  <c r="D131161" i="23"/>
  <c r="D131160" i="23"/>
  <c r="D131159" i="23"/>
  <c r="D131158" i="23"/>
  <c r="D131157" i="23"/>
  <c r="D131156" i="23"/>
  <c r="D131155" i="23"/>
  <c r="D131154" i="23"/>
  <c r="D131153" i="23"/>
  <c r="D131152" i="23"/>
  <c r="D131151" i="23"/>
  <c r="D131150" i="23"/>
  <c r="D131149" i="23"/>
  <c r="D131148" i="23"/>
  <c r="D131147" i="23"/>
  <c r="D131146" i="23"/>
  <c r="D131145" i="23"/>
  <c r="F131144" i="23"/>
  <c r="E131144" i="23"/>
  <c r="D131144" i="23"/>
  <c r="C131144" i="23"/>
  <c r="D131143" i="23"/>
  <c r="D131142" i="23"/>
  <c r="D131141" i="23"/>
  <c r="D131140" i="23"/>
  <c r="D131139" i="23"/>
  <c r="D131138" i="23"/>
  <c r="D131137" i="23"/>
  <c r="D131136" i="23"/>
  <c r="D131135" i="23"/>
  <c r="D131134" i="23"/>
  <c r="D131133" i="23"/>
  <c r="D131132" i="23"/>
  <c r="D131131" i="23"/>
  <c r="D131130" i="23"/>
  <c r="D131129" i="23"/>
  <c r="D131128" i="23"/>
  <c r="D131127" i="23"/>
  <c r="D131126" i="23"/>
  <c r="D131125" i="23"/>
  <c r="D131124" i="23"/>
  <c r="D131123" i="23"/>
  <c r="D131122" i="23"/>
  <c r="D131121" i="23"/>
  <c r="D131120" i="23"/>
  <c r="D131119" i="23"/>
  <c r="D131118" i="23"/>
  <c r="D131117" i="23"/>
  <c r="D131116" i="23"/>
  <c r="D131115" i="23"/>
  <c r="D131114" i="23"/>
  <c r="D131113" i="23"/>
  <c r="D131112" i="23"/>
  <c r="D131111" i="23"/>
  <c r="D131110" i="23"/>
  <c r="D131109" i="23"/>
  <c r="D131108" i="23"/>
  <c r="D131107" i="23"/>
  <c r="D131106" i="23"/>
  <c r="D131105" i="23"/>
  <c r="D131104" i="23"/>
  <c r="D131103" i="23"/>
  <c r="D131102" i="23"/>
  <c r="D131101" i="23"/>
  <c r="D131100" i="23"/>
  <c r="D131099" i="23"/>
  <c r="D131098" i="23"/>
  <c r="D131097" i="23"/>
  <c r="D131096" i="23"/>
  <c r="D131095" i="23"/>
  <c r="D131094" i="23"/>
  <c r="D131093" i="23"/>
  <c r="D131092" i="23"/>
  <c r="D131091" i="23"/>
  <c r="D131090" i="23"/>
  <c r="D131089" i="23"/>
  <c r="D131088" i="23"/>
  <c r="D131087" i="23"/>
  <c r="D131086" i="23"/>
  <c r="D131085" i="23"/>
  <c r="D131084" i="23"/>
  <c r="D131083" i="23"/>
  <c r="D131082" i="23"/>
  <c r="D131081" i="23"/>
  <c r="D131080" i="23"/>
  <c r="D131079" i="23"/>
  <c r="D131078" i="23"/>
  <c r="D131077" i="23"/>
  <c r="B65746" i="23"/>
  <c r="B65745" i="23"/>
  <c r="B65744" i="23"/>
  <c r="B65743" i="23"/>
  <c r="B65742" i="23"/>
  <c r="B65741" i="23"/>
  <c r="B65740" i="23"/>
  <c r="B65739" i="23"/>
  <c r="B65738" i="23"/>
  <c r="B65737" i="23"/>
  <c r="D65731" i="23"/>
  <c r="D65730" i="23"/>
  <c r="D65729" i="23"/>
  <c r="D65728" i="23"/>
  <c r="D65727" i="23"/>
  <c r="D65726" i="23"/>
  <c r="D65725" i="23"/>
  <c r="D65724" i="23"/>
  <c r="D65723" i="23"/>
  <c r="D65722" i="23"/>
  <c r="D65721" i="23"/>
  <c r="D65720" i="23"/>
  <c r="D65719" i="23"/>
  <c r="D65718" i="23"/>
  <c r="D65717" i="23"/>
  <c r="D65716" i="23"/>
  <c r="D65715" i="23"/>
  <c r="D65714" i="23"/>
  <c r="D65713" i="23"/>
  <c r="D65712" i="23"/>
  <c r="D65711" i="23"/>
  <c r="D65710" i="23"/>
  <c r="D65709" i="23"/>
  <c r="D65708" i="23"/>
  <c r="D65707" i="23"/>
  <c r="D65706" i="23"/>
  <c r="D65705" i="23"/>
  <c r="D65704" i="23"/>
  <c r="D65703" i="23"/>
  <c r="D65702" i="23"/>
  <c r="D65701" i="23"/>
  <c r="D65700" i="23"/>
  <c r="D65699" i="23"/>
  <c r="D65698" i="23"/>
  <c r="D65697" i="23"/>
  <c r="D65696" i="23"/>
  <c r="D65695" i="23"/>
  <c r="D65694" i="23"/>
  <c r="D65693" i="23"/>
  <c r="D65692" i="23"/>
  <c r="D65691" i="23"/>
  <c r="D65690" i="23"/>
  <c r="D65689" i="23"/>
  <c r="D65688" i="23"/>
  <c r="D65687" i="23"/>
  <c r="D65686" i="23"/>
  <c r="D65685" i="23"/>
  <c r="D65684" i="23"/>
  <c r="D65683" i="23"/>
  <c r="D65682" i="23"/>
  <c r="D65681" i="23"/>
  <c r="D65680" i="23"/>
  <c r="D65679" i="23"/>
  <c r="D65678" i="23"/>
  <c r="D65677" i="23"/>
  <c r="D65676" i="23"/>
  <c r="D65675" i="23"/>
  <c r="D65674" i="23"/>
  <c r="D65673" i="23"/>
  <c r="D65672" i="23"/>
  <c r="D65671" i="23"/>
  <c r="D65670" i="23"/>
  <c r="D65669" i="23"/>
  <c r="D65668" i="23"/>
  <c r="D65667" i="23"/>
  <c r="D65666" i="23"/>
  <c r="D65665" i="23"/>
  <c r="D65664" i="23"/>
  <c r="D65663" i="23"/>
  <c r="D65662" i="23"/>
  <c r="D65661" i="23"/>
  <c r="D65660" i="23"/>
  <c r="D65659" i="23"/>
  <c r="D65658" i="23"/>
  <c r="D65657" i="23"/>
  <c r="D65656" i="23"/>
  <c r="D65655" i="23"/>
  <c r="D65654" i="23"/>
  <c r="F65653" i="23"/>
  <c r="E65653" i="23"/>
  <c r="D65653" i="23" s="1"/>
  <c r="C65653" i="23"/>
  <c r="D65652" i="23"/>
  <c r="D65651" i="23"/>
  <c r="D65650" i="23"/>
  <c r="D65649" i="23"/>
  <c r="D65648" i="23"/>
  <c r="D65647" i="23"/>
  <c r="D65646" i="23"/>
  <c r="D65645" i="23"/>
  <c r="D65644" i="23"/>
  <c r="D65643" i="23"/>
  <c r="D65642" i="23"/>
  <c r="D65641" i="23"/>
  <c r="D65640" i="23"/>
  <c r="D65639" i="23"/>
  <c r="D65638" i="23"/>
  <c r="D65637" i="23"/>
  <c r="D65636" i="23"/>
  <c r="D65635" i="23"/>
  <c r="D65634" i="23"/>
  <c r="D65633" i="23"/>
  <c r="D65632" i="23"/>
  <c r="D65631" i="23"/>
  <c r="D65630" i="23"/>
  <c r="D65629" i="23"/>
  <c r="D65628" i="23"/>
  <c r="D65627" i="23"/>
  <c r="D65626" i="23"/>
  <c r="D65625" i="23"/>
  <c r="D65624" i="23"/>
  <c r="D65623" i="23"/>
  <c r="D65622" i="23"/>
  <c r="D65621" i="23"/>
  <c r="D65620" i="23"/>
  <c r="D65619" i="23"/>
  <c r="D65618" i="23"/>
  <c r="D65617" i="23"/>
  <c r="D65616" i="23"/>
  <c r="D65615" i="23"/>
  <c r="D65614" i="23"/>
  <c r="D65613" i="23"/>
  <c r="D65612" i="23"/>
  <c r="D65611" i="23"/>
  <c r="D65610" i="23"/>
  <c r="D65609" i="23"/>
  <c r="F65608" i="23"/>
  <c r="E65608" i="23"/>
  <c r="D65608" i="23" s="1"/>
  <c r="C65608" i="23"/>
  <c r="D65607" i="23"/>
  <c r="D65606" i="23"/>
  <c r="D65605" i="23"/>
  <c r="D65604" i="23"/>
  <c r="D65603" i="23"/>
  <c r="D65602" i="23"/>
  <c r="D65601" i="23"/>
  <c r="D65600" i="23"/>
  <c r="D65599" i="23"/>
  <c r="D65598" i="23"/>
  <c r="D65597" i="23"/>
  <c r="D65596" i="23"/>
  <c r="D65595" i="23"/>
  <c r="D65594" i="23"/>
  <c r="D65593" i="23"/>
  <c r="D65592" i="23"/>
  <c r="D65591" i="23"/>
  <c r="D65590" i="23"/>
  <c r="D65589" i="23"/>
  <c r="D65588" i="23"/>
  <c r="D65587" i="23"/>
  <c r="D65586" i="23"/>
  <c r="D65585" i="23"/>
  <c r="D65584" i="23"/>
  <c r="D65583" i="23"/>
  <c r="D65582" i="23"/>
  <c r="D65581" i="23"/>
  <c r="D65580" i="23"/>
  <c r="D65579" i="23"/>
  <c r="D65578" i="23"/>
  <c r="D65577" i="23"/>
  <c r="D65576" i="23"/>
  <c r="D65575" i="23"/>
  <c r="D65574" i="23"/>
  <c r="D65573" i="23"/>
  <c r="D65572" i="23"/>
  <c r="D65571" i="23"/>
  <c r="D65570" i="23"/>
  <c r="D65569" i="23"/>
  <c r="D65568" i="23"/>
  <c r="D65567" i="23"/>
  <c r="D65566" i="23"/>
  <c r="D65565" i="23"/>
  <c r="D65564" i="23"/>
  <c r="D65563" i="23"/>
  <c r="D65562" i="23"/>
  <c r="D65561" i="23"/>
  <c r="D65560" i="23"/>
  <c r="D65559" i="23"/>
  <c r="D65558" i="23"/>
  <c r="D65557" i="23"/>
  <c r="D65556" i="23"/>
  <c r="D65555" i="23"/>
  <c r="D65554" i="23"/>
  <c r="D65553" i="23"/>
  <c r="D65552" i="23"/>
  <c r="D65551" i="23"/>
  <c r="D65550" i="23"/>
  <c r="D65549" i="23"/>
  <c r="D65548" i="23"/>
  <c r="D65547" i="23"/>
  <c r="D65546" i="23"/>
  <c r="D65545" i="23"/>
  <c r="D65544" i="23"/>
  <c r="D65543" i="23"/>
  <c r="D65542" i="23"/>
  <c r="D65541" i="23"/>
  <c r="B210" i="23"/>
  <c r="B209" i="23"/>
  <c r="I29" i="19" s="1"/>
  <c r="B208" i="23"/>
  <c r="I28" i="19" s="1"/>
  <c r="B207" i="23"/>
  <c r="I27" i="19" s="1"/>
  <c r="B206" i="23"/>
  <c r="I26" i="19" s="1"/>
  <c r="B205" i="23"/>
  <c r="I25" i="19" s="1"/>
  <c r="B204" i="23"/>
  <c r="I24" i="19" s="1"/>
  <c r="B203" i="23"/>
  <c r="I23" i="19" s="1"/>
  <c r="B202" i="23"/>
  <c r="I22" i="19" s="1"/>
  <c r="B201" i="23"/>
  <c r="D195" i="23"/>
  <c r="D194" i="23"/>
  <c r="D193" i="23"/>
  <c r="D192" i="23"/>
  <c r="D191" i="23"/>
  <c r="D190" i="23"/>
  <c r="D189" i="23"/>
  <c r="D188" i="23"/>
  <c r="I5" i="19" s="1"/>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F117" i="23"/>
  <c r="E117" i="23"/>
  <c r="D117" i="23"/>
  <c r="C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F72" i="23"/>
  <c r="E72" i="23"/>
  <c r="D72" i="23"/>
  <c r="C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I6" i="19" s="1"/>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B3" i="31" l="1"/>
  <c r="B11" i="30"/>
  <c r="B13" i="30" s="1"/>
  <c r="B27" i="11" s="1"/>
  <c r="B5" i="30"/>
  <c r="B22" i="11"/>
  <c r="E6" i="13"/>
  <c r="D6" i="13"/>
  <c r="C6" i="13"/>
  <c r="B32" i="11"/>
  <c r="L11" i="13" s="1"/>
  <c r="M11" i="13" s="1"/>
  <c r="B31" i="11"/>
  <c r="F10" i="13" s="1"/>
  <c r="B30" i="11"/>
  <c r="K9" i="13" s="1"/>
  <c r="B5" i="13"/>
  <c r="B4" i="13"/>
  <c r="C10" i="13" l="1"/>
  <c r="F11" i="13"/>
  <c r="L10" i="13"/>
  <c r="M10" i="13" s="1"/>
  <c r="G10" i="13"/>
  <c r="C9" i="13"/>
  <c r="F9" i="13"/>
  <c r="G9" i="13"/>
  <c r="L9" i="13"/>
  <c r="M9" i="13" s="1"/>
  <c r="H9" i="13"/>
  <c r="E9" i="13"/>
  <c r="D9" i="13"/>
  <c r="L5" i="13"/>
  <c r="G5" i="13" s="1"/>
  <c r="C5" i="13" s="1"/>
  <c r="D5" i="13" s="1"/>
  <c r="E5" i="13" s="1"/>
  <c r="F5" i="13" s="1"/>
  <c r="B12" i="30"/>
  <c r="H10" i="13"/>
  <c r="I10" i="13"/>
  <c r="J10" i="13"/>
  <c r="B14" i="30"/>
  <c r="D10" i="13"/>
  <c r="C11" i="13"/>
  <c r="G11" i="13"/>
  <c r="I11" i="13"/>
  <c r="J11" i="13"/>
  <c r="E10" i="13"/>
  <c r="D11" i="13"/>
  <c r="H11" i="13"/>
  <c r="K11" i="13"/>
  <c r="E11" i="13"/>
  <c r="I9" i="13"/>
  <c r="K10" i="13"/>
  <c r="J9" i="13"/>
  <c r="L6" i="13" l="1"/>
  <c r="F6" i="13" s="1"/>
  <c r="G6" i="13" s="1"/>
  <c r="H6" i="13" s="1"/>
  <c r="I6" i="13" s="1"/>
  <c r="J6" i="13" s="1"/>
  <c r="K6" i="13" s="1"/>
  <c r="B28" i="11"/>
  <c r="B26" i="11"/>
  <c r="L4" i="13"/>
  <c r="G4" i="13" s="1"/>
  <c r="C4" i="13" s="1"/>
  <c r="D4" i="13" s="1"/>
  <c r="E4" i="13" s="1"/>
  <c r="F4" i="13" s="1"/>
  <c r="H5" i="13"/>
  <c r="I5" i="13" s="1"/>
  <c r="J5" i="13" s="1"/>
  <c r="K5" i="13" s="1"/>
  <c r="B26" i="30"/>
  <c r="G2" i="28"/>
  <c r="H4" i="13" l="1"/>
  <c r="I4" i="13" s="1"/>
  <c r="J4" i="13" s="1"/>
  <c r="K4" i="13" s="1"/>
  <c r="B31" i="30"/>
  <c r="B38" i="30" s="1"/>
  <c r="B18" i="30"/>
  <c r="B29" i="11" s="1"/>
  <c r="B55" i="11" l="1"/>
  <c r="B29" i="13" s="1"/>
  <c r="G33" i="28" s="1"/>
  <c r="M47" i="13"/>
  <c r="F13" i="28" s="1"/>
  <c r="K53" i="19"/>
  <c r="I53" i="19"/>
  <c r="J53" i="19" s="1"/>
  <c r="I54" i="19"/>
  <c r="J54" i="19" s="1"/>
  <c r="K54" i="19"/>
  <c r="I55" i="19"/>
  <c r="J55" i="19" s="1"/>
  <c r="K55" i="19"/>
  <c r="I56" i="19"/>
  <c r="J56" i="19" s="1"/>
  <c r="K56" i="19"/>
  <c r="I57" i="19"/>
  <c r="J57" i="19" s="1"/>
  <c r="K57" i="19"/>
  <c r="I58" i="19"/>
  <c r="J58" i="19" s="1"/>
  <c r="K58" i="19"/>
  <c r="I59" i="19"/>
  <c r="J59" i="19" s="1"/>
  <c r="K59" i="19"/>
  <c r="I60" i="19"/>
  <c r="J60" i="19" s="1"/>
  <c r="K60" i="19"/>
  <c r="I61" i="19"/>
  <c r="J61" i="19" s="1"/>
  <c r="K61" i="19"/>
  <c r="I62" i="19"/>
  <c r="J62" i="19" s="1"/>
  <c r="K62" i="19"/>
  <c r="I63" i="19"/>
  <c r="J63" i="19" s="1"/>
  <c r="K63" i="19"/>
  <c r="H64" i="19"/>
  <c r="I52" i="19"/>
  <c r="J52" i="19" s="1"/>
  <c r="K52" i="19"/>
  <c r="J25" i="11"/>
  <c r="E40" i="24"/>
  <c r="E38" i="24"/>
  <c r="E37" i="24"/>
  <c r="E36" i="24"/>
  <c r="C14" i="24"/>
  <c r="D14" i="24"/>
  <c r="K23" i="19"/>
  <c r="K24" i="19"/>
  <c r="K28" i="19"/>
  <c r="K21" i="19"/>
  <c r="K29" i="19"/>
  <c r="K22" i="19"/>
  <c r="M2" i="13"/>
  <c r="J26" i="11"/>
  <c r="B17" i="13"/>
  <c r="B12" i="19"/>
  <c r="B25" i="19" s="1"/>
  <c r="K26" i="11"/>
  <c r="J15" i="19"/>
  <c r="K15" i="19" s="1"/>
  <c r="J14" i="19"/>
  <c r="K14" i="19" s="1"/>
  <c r="H22" i="19"/>
  <c r="H32" i="19"/>
  <c r="J23" i="19"/>
  <c r="B14" i="24"/>
  <c r="B13" i="13"/>
  <c r="B11" i="28" s="1"/>
  <c r="C11" i="28" s="1"/>
  <c r="G39" i="28"/>
  <c r="E2" i="24"/>
  <c r="E4" i="24"/>
  <c r="B22" i="18"/>
  <c r="A22" i="18"/>
  <c r="B23" i="18"/>
  <c r="A23" i="18"/>
  <c r="B24" i="18"/>
  <c r="A24" i="18"/>
  <c r="B25" i="18"/>
  <c r="A25" i="18"/>
  <c r="B26" i="18"/>
  <c r="A26" i="18"/>
  <c r="D18" i="18"/>
  <c r="B27" i="18" s="1"/>
  <c r="E3" i="24"/>
  <c r="A25" i="25"/>
  <c r="B25" i="25"/>
  <c r="D25" i="25" s="1"/>
  <c r="A12" i="25"/>
  <c r="A26" i="25"/>
  <c r="B26" i="25"/>
  <c r="D26" i="25" s="1"/>
  <c r="B27" i="25"/>
  <c r="D27" i="25" s="1"/>
  <c r="C24" i="25"/>
  <c r="B28" i="25"/>
  <c r="E28" i="25" s="1"/>
  <c r="B29" i="25"/>
  <c r="D29" i="25" s="1"/>
  <c r="B30" i="25"/>
  <c r="B31" i="25"/>
  <c r="B32" i="25"/>
  <c r="B33" i="25"/>
  <c r="B34" i="25"/>
  <c r="M19" i="13"/>
  <c r="B24" i="13" s="1"/>
  <c r="B6" i="19"/>
  <c r="B7" i="19"/>
  <c r="E5" i="24"/>
  <c r="B19" i="19"/>
  <c r="B18" i="19"/>
  <c r="D48" i="19"/>
  <c r="B26" i="19"/>
  <c r="H18" i="19"/>
  <c r="J5" i="19" s="1"/>
  <c r="J9" i="19"/>
  <c r="K9" i="19" s="1"/>
  <c r="J10" i="19"/>
  <c r="K10" i="19" s="1"/>
  <c r="J11" i="19"/>
  <c r="K11" i="19" s="1"/>
  <c r="J12" i="19"/>
  <c r="K12" i="19" s="1"/>
  <c r="J13" i="19"/>
  <c r="K13" i="19" s="1"/>
  <c r="J17" i="19"/>
  <c r="K17" i="19" s="1"/>
  <c r="D50" i="19"/>
  <c r="M13" i="13"/>
  <c r="F11" i="28" s="1"/>
  <c r="D11" i="28" s="1"/>
  <c r="B33" i="13"/>
  <c r="B34" i="13"/>
  <c r="B35" i="13"/>
  <c r="B39" i="13"/>
  <c r="D38" i="28" s="1"/>
  <c r="A1" i="28"/>
  <c r="F7" i="20"/>
  <c r="I36" i="19"/>
  <c r="K36" i="19" s="1"/>
  <c r="I47" i="19"/>
  <c r="K47" i="19" s="1"/>
  <c r="I46" i="19"/>
  <c r="J46" i="19" s="1"/>
  <c r="I45" i="19"/>
  <c r="K45" i="19" s="1"/>
  <c r="I44" i="19"/>
  <c r="K44" i="19" s="1"/>
  <c r="I43" i="19"/>
  <c r="K43" i="19" s="1"/>
  <c r="I42" i="19"/>
  <c r="J42" i="19" s="1"/>
  <c r="I41" i="19"/>
  <c r="K41" i="19" s="1"/>
  <c r="I40" i="19"/>
  <c r="K40" i="19" s="1"/>
  <c r="I39" i="19"/>
  <c r="J39" i="19" s="1"/>
  <c r="K39" i="19"/>
  <c r="I38" i="19"/>
  <c r="K38" i="19" s="1"/>
  <c r="I37" i="19"/>
  <c r="J37" i="19" s="1"/>
  <c r="K29" i="11"/>
  <c r="K28" i="11"/>
  <c r="J29" i="11"/>
  <c r="J28" i="11"/>
  <c r="K27" i="11"/>
  <c r="K25" i="11"/>
  <c r="K24" i="11"/>
  <c r="J24" i="11"/>
  <c r="C4" i="20"/>
  <c r="H48" i="19"/>
  <c r="J27" i="11"/>
  <c r="A27" i="18"/>
  <c r="B41" i="13"/>
  <c r="D9" i="14"/>
  <c r="F14" i="14" s="1"/>
  <c r="D8" i="14"/>
  <c r="F13" i="14" s="1"/>
  <c r="D5" i="14"/>
  <c r="F16" i="14" s="1"/>
  <c r="D4" i="14"/>
  <c r="C17" i="14" s="1"/>
  <c r="D3" i="14"/>
  <c r="C14" i="14" s="1"/>
  <c r="C16" i="14" s="1"/>
  <c r="D7" i="14"/>
  <c r="F15" i="14" s="1"/>
  <c r="F18" i="14" s="1"/>
  <c r="F17" i="14"/>
  <c r="A13" i="25"/>
  <c r="A14" i="25"/>
  <c r="J7" i="19"/>
  <c r="K7" i="19" s="1"/>
  <c r="J8" i="19"/>
  <c r="K8" i="19" s="1"/>
  <c r="I24" i="11"/>
  <c r="B3" i="13"/>
  <c r="C25" i="25"/>
  <c r="C26" i="25"/>
  <c r="E26" i="25"/>
  <c r="A27" i="25"/>
  <c r="J21" i="19"/>
  <c r="J22" i="19"/>
  <c r="J29" i="19"/>
  <c r="J26" i="19"/>
  <c r="K26" i="19"/>
  <c r="J30" i="19"/>
  <c r="K30" i="19"/>
  <c r="A15" i="25"/>
  <c r="A28" i="25"/>
  <c r="B24" i="25"/>
  <c r="D24" i="25" s="1"/>
  <c r="J28" i="19"/>
  <c r="J27" i="19"/>
  <c r="K27" i="19"/>
  <c r="J31" i="19"/>
  <c r="K31" i="19"/>
  <c r="C13" i="13"/>
  <c r="D13" i="13" s="1"/>
  <c r="E13" i="13" s="1"/>
  <c r="F13" i="13" s="1"/>
  <c r="G13" i="13" s="1"/>
  <c r="J25" i="19"/>
  <c r="K25" i="19"/>
  <c r="J24" i="19"/>
  <c r="C27" i="25"/>
  <c r="J32" i="19"/>
  <c r="C28" i="25"/>
  <c r="A16" i="25"/>
  <c r="A29" i="25"/>
  <c r="A30" i="25"/>
  <c r="A17" i="25"/>
  <c r="C29" i="25"/>
  <c r="A31" i="25"/>
  <c r="A18" i="25"/>
  <c r="E30" i="25"/>
  <c r="C30" i="25"/>
  <c r="D30" i="25"/>
  <c r="A19" i="25"/>
  <c r="A32" i="25"/>
  <c r="E31" i="25"/>
  <c r="C31" i="25"/>
  <c r="D31" i="25"/>
  <c r="E32" i="25"/>
  <c r="C32" i="25"/>
  <c r="D32" i="25"/>
  <c r="A33" i="25"/>
  <c r="A20" i="25"/>
  <c r="A34" i="25"/>
  <c r="C34" i="25"/>
  <c r="D34" i="25"/>
  <c r="E34" i="25"/>
  <c r="E33" i="25"/>
  <c r="C33" i="25"/>
  <c r="D33" i="25"/>
  <c r="J6" i="19" l="1"/>
  <c r="J16" i="19"/>
  <c r="K16" i="19" s="1"/>
  <c r="J43" i="19"/>
  <c r="K6" i="19"/>
  <c r="F9" i="28"/>
  <c r="D9" i="28" s="1"/>
  <c r="M4" i="13"/>
  <c r="M6" i="13"/>
  <c r="M5" i="13"/>
  <c r="B7" i="13"/>
  <c r="B9" i="28" s="1"/>
  <c r="H13" i="13"/>
  <c r="I13" i="13" s="1"/>
  <c r="J13" i="13" s="1"/>
  <c r="K13" i="13" s="1"/>
  <c r="L13" i="13" s="1"/>
  <c r="D35" i="28"/>
  <c r="E29" i="25"/>
  <c r="E25" i="25"/>
  <c r="J47" i="19"/>
  <c r="K37" i="19"/>
  <c r="K42" i="19"/>
  <c r="J41" i="19"/>
  <c r="K46" i="19"/>
  <c r="J45" i="19"/>
  <c r="J64" i="19"/>
  <c r="K64" i="19" s="1"/>
  <c r="B11" i="19" s="1"/>
  <c r="J40" i="19"/>
  <c r="J36" i="19"/>
  <c r="J44" i="19"/>
  <c r="K32" i="19"/>
  <c r="D28" i="25"/>
  <c r="D35" i="25" s="1"/>
  <c r="F14" i="28"/>
  <c r="D14" i="28" s="1"/>
  <c r="J18" i="19"/>
  <c r="K5" i="19"/>
  <c r="J38" i="19"/>
  <c r="B48" i="19"/>
  <c r="F12" i="28"/>
  <c r="C41" i="19"/>
  <c r="E27" i="25"/>
  <c r="C42" i="19"/>
  <c r="C44" i="19" s="1"/>
  <c r="C15" i="18"/>
  <c r="C50" i="19"/>
  <c r="H8" i="13"/>
  <c r="L8" i="13"/>
  <c r="K8" i="13"/>
  <c r="J8" i="13"/>
  <c r="I8" i="13"/>
  <c r="K18" i="19" l="1"/>
  <c r="B15" i="19" s="1"/>
  <c r="E35" i="25"/>
  <c r="D37" i="25" s="1"/>
  <c r="D39" i="25" s="1"/>
  <c r="D40" i="25" s="1"/>
  <c r="M8" i="13"/>
  <c r="J48" i="19"/>
  <c r="K48" i="19" s="1"/>
  <c r="C26" i="18"/>
  <c r="C24" i="18"/>
  <c r="C23" i="18"/>
  <c r="C22" i="18"/>
  <c r="C27" i="18"/>
  <c r="C25" i="18"/>
  <c r="C28" i="18" l="1"/>
  <c r="F33" i="18" l="1"/>
  <c r="B32" i="13"/>
  <c r="D34" i="28" s="1"/>
  <c r="F6" i="20"/>
  <c r="F31" i="18"/>
  <c r="F32" i="18" s="1"/>
  <c r="F34" i="18"/>
  <c r="B46" i="13" l="1"/>
  <c r="B33" i="19"/>
  <c r="C43" i="19" s="1"/>
  <c r="C48" i="19" s="1"/>
  <c r="B12" i="13"/>
  <c r="B10" i="28" s="1"/>
  <c r="F5" i="20"/>
  <c r="D9" i="20" s="1"/>
  <c r="B14" i="13" l="1"/>
  <c r="B8" i="13"/>
  <c r="C8" i="13" s="1"/>
  <c r="C45" i="19"/>
  <c r="B50" i="19" s="1"/>
  <c r="E48" i="19"/>
  <c r="C49" i="19" s="1"/>
  <c r="D11" i="20"/>
  <c r="D13" i="20" s="1"/>
  <c r="D10" i="20"/>
  <c r="I26" i="11"/>
  <c r="B2" i="12"/>
  <c r="D49" i="19" l="1"/>
  <c r="B49" i="19"/>
  <c r="D8" i="13"/>
  <c r="E8" i="13"/>
  <c r="G8" i="13"/>
  <c r="F8" i="13"/>
  <c r="C10" i="28"/>
  <c r="I25" i="11"/>
  <c r="I27" i="11"/>
  <c r="B47" i="13"/>
  <c r="B13" i="28" s="1"/>
  <c r="E50" i="19" l="1"/>
  <c r="E49" i="19"/>
  <c r="B35" i="11" l="1"/>
  <c r="B37" i="30" s="1"/>
  <c r="C45" i="13" l="1"/>
  <c r="C35" i="11"/>
  <c r="H45" i="13" s="1"/>
  <c r="D12" i="28"/>
  <c r="D45" i="13"/>
  <c r="I45" i="13" l="1"/>
  <c r="E45" i="13"/>
  <c r="J45" i="13" l="1"/>
  <c r="K45" i="13"/>
  <c r="F45" i="13"/>
  <c r="L45" i="13" l="1"/>
  <c r="G45" i="13"/>
  <c r="B25" i="11" l="1"/>
  <c r="L3" i="13" s="1"/>
  <c r="C3" i="13" s="1"/>
  <c r="D3" i="13" s="1"/>
  <c r="E3" i="13" s="1"/>
  <c r="F3" i="13" s="1"/>
  <c r="G3" i="13" s="1"/>
  <c r="H3" i="13" s="1"/>
  <c r="I3" i="13" s="1"/>
  <c r="J3" i="13" s="1"/>
  <c r="K3" i="13" s="1"/>
  <c r="L2" i="13" s="1"/>
  <c r="L12" i="13" l="1"/>
  <c r="L7" i="13"/>
  <c r="B26" i="28" s="1"/>
  <c r="M3" i="13"/>
  <c r="D26" i="28" l="1"/>
  <c r="F10" i="28"/>
  <c r="M12" i="13"/>
  <c r="D27" i="28" s="1"/>
  <c r="M7" i="13"/>
  <c r="B27" i="28" s="1"/>
  <c r="J32" i="11"/>
  <c r="B5" i="12"/>
  <c r="B22" i="30"/>
  <c r="M14" i="13" l="1"/>
  <c r="M15" i="13" s="1"/>
  <c r="N12" i="13"/>
  <c r="J33" i="11"/>
  <c r="E27" i="28" l="1"/>
  <c r="F27" i="28"/>
  <c r="M16" i="13" l="1"/>
  <c r="B23" i="13" s="1"/>
  <c r="B25" i="13" s="1"/>
  <c r="G27" i="28"/>
  <c r="D29" i="28" l="1"/>
  <c r="C2" i="13"/>
  <c r="D2" i="13"/>
  <c r="E2" i="13"/>
  <c r="H2" i="13"/>
  <c r="I2" i="13"/>
  <c r="J2" i="13"/>
  <c r="K2" i="13"/>
  <c r="C7" i="13"/>
  <c r="D7" i="13"/>
  <c r="B18" i="28" s="1"/>
  <c r="E7" i="13"/>
  <c r="B19" i="28" s="1"/>
  <c r="F7" i="13"/>
  <c r="G7" i="13"/>
  <c r="H7" i="13"/>
  <c r="B22" i="28" s="1"/>
  <c r="I7" i="13"/>
  <c r="B23" i="28" s="1"/>
  <c r="J7" i="13"/>
  <c r="B24" i="28" s="1"/>
  <c r="K7" i="13"/>
  <c r="C12" i="13"/>
  <c r="G12" i="13"/>
  <c r="H12" i="13"/>
  <c r="D22" i="28" s="1"/>
  <c r="I12" i="13"/>
  <c r="D23" i="28" s="1"/>
  <c r="J12" i="13"/>
  <c r="D24" i="28" s="1"/>
  <c r="K12" i="13"/>
  <c r="D25" i="28" s="1"/>
  <c r="B35" i="30" l="1"/>
  <c r="B21" i="28"/>
  <c r="B36" i="30"/>
  <c r="D10" i="28"/>
  <c r="D21" i="28"/>
  <c r="F15" i="13"/>
  <c r="F20" i="28" s="1"/>
  <c r="B20" i="28"/>
  <c r="L15" i="13"/>
  <c r="F26" i="28" s="1"/>
  <c r="B25" i="28"/>
  <c r="C15" i="13"/>
  <c r="C46" i="13" s="1"/>
  <c r="B17" i="28"/>
  <c r="C14" i="13"/>
  <c r="C47" i="13" s="1"/>
  <c r="D17" i="28"/>
  <c r="D15" i="13"/>
  <c r="F18" i="28" s="1"/>
  <c r="H15" i="13"/>
  <c r="F22" i="28" s="1"/>
  <c r="J15" i="13"/>
  <c r="F24" i="28" s="1"/>
  <c r="I15" i="13"/>
  <c r="F23" i="28" s="1"/>
  <c r="E15" i="13"/>
  <c r="F19" i="28" s="1"/>
  <c r="E12" i="13"/>
  <c r="D19" i="28" s="1"/>
  <c r="F12" i="13"/>
  <c r="D20" i="28" s="1"/>
  <c r="G15" i="13"/>
  <c r="F21" i="28" s="1"/>
  <c r="G2" i="13"/>
  <c r="D12" i="13"/>
  <c r="D18" i="28" s="1"/>
  <c r="F2" i="13"/>
  <c r="C17" i="13"/>
  <c r="K15" i="13"/>
  <c r="F25" i="28" s="1"/>
  <c r="D46" i="13" l="1"/>
  <c r="E46" i="13"/>
  <c r="F46" i="13" s="1"/>
  <c r="F17" i="28"/>
  <c r="E17" i="28"/>
  <c r="C16" i="13"/>
  <c r="C17" i="28"/>
  <c r="N15" i="13"/>
  <c r="G17" i="28"/>
  <c r="G46" i="13"/>
  <c r="H46" i="13" s="1"/>
  <c r="I46" i="13" s="1"/>
  <c r="J46" i="13" s="1"/>
  <c r="K46" i="13" s="1"/>
  <c r="L46" i="13" s="1"/>
  <c r="B3" i="12" s="1"/>
  <c r="B4" i="12" s="1"/>
  <c r="B6" i="12" s="1"/>
  <c r="D13" i="28" s="1"/>
  <c r="D17" i="13"/>
  <c r="D14" i="13"/>
  <c r="E17" i="13" l="1"/>
  <c r="E14" i="13"/>
  <c r="D47" i="13"/>
  <c r="E18" i="28"/>
  <c r="G18" i="28" s="1"/>
  <c r="D16" i="13"/>
  <c r="E19" i="28" l="1"/>
  <c r="G19" i="28" s="1"/>
  <c r="E47" i="13"/>
  <c r="E16" i="13"/>
  <c r="F14" i="13"/>
  <c r="F17" i="13"/>
  <c r="G17" i="13" l="1"/>
  <c r="G14" i="13"/>
  <c r="F16" i="13"/>
  <c r="F47" i="13"/>
  <c r="E20" i="28"/>
  <c r="G20" i="28" s="1"/>
  <c r="E21" i="28" l="1"/>
  <c r="G21" i="28" s="1"/>
  <c r="G16" i="13"/>
  <c r="G47" i="13"/>
  <c r="H17" i="13"/>
  <c r="H14" i="13"/>
  <c r="I17" i="13" l="1"/>
  <c r="I14" i="13"/>
  <c r="H47" i="13"/>
  <c r="H16" i="13"/>
  <c r="E22" i="28"/>
  <c r="G22" i="28" s="1"/>
  <c r="I47" i="13" l="1"/>
  <c r="E23" i="28"/>
  <c r="G23" i="28" s="1"/>
  <c r="I16" i="13"/>
  <c r="J17" i="13"/>
  <c r="J14" i="13"/>
  <c r="J16" i="13" l="1"/>
  <c r="J47" i="13"/>
  <c r="E24" i="28"/>
  <c r="G24" i="28" s="1"/>
  <c r="K17" i="13"/>
  <c r="K14" i="13"/>
  <c r="L17" i="13" l="1"/>
  <c r="L14" i="13"/>
  <c r="K47" i="13"/>
  <c r="K16" i="13"/>
  <c r="E25" i="28"/>
  <c r="G25" i="28" s="1"/>
  <c r="E26" i="28" l="1"/>
  <c r="G26" i="28" s="1"/>
  <c r="L16" i="13"/>
  <c r="L47" i="13"/>
  <c r="M17" i="13"/>
  <c r="B27" i="30" l="1"/>
  <c r="J34" i="11"/>
  <c r="B7" i="12"/>
  <c r="C18" i="28" l="1"/>
  <c r="C19" i="28"/>
  <c r="C20" i="28"/>
  <c r="C21" i="28"/>
  <c r="C22" i="28"/>
  <c r="C23" i="28"/>
  <c r="C24" i="28"/>
  <c r="C25" i="28"/>
  <c r="C26" i="28"/>
  <c r="C27" i="28"/>
  <c r="B38" i="11" l="1"/>
  <c r="C19" i="13" s="1"/>
  <c r="C20" i="13" s="1"/>
  <c r="D19" i="13" l="1"/>
  <c r="C21" i="13"/>
  <c r="D20" i="13"/>
  <c r="C14" i="28"/>
  <c r="E19" i="13" l="1"/>
  <c r="E20" i="13" s="1"/>
  <c r="D21" i="13"/>
  <c r="F19" i="13" l="1"/>
  <c r="F20" i="13" s="1"/>
  <c r="E21" i="13"/>
  <c r="G19" i="13" l="1"/>
  <c r="F21" i="13"/>
  <c r="G20" i="13"/>
  <c r="H19" i="13" l="1"/>
  <c r="H20" i="13" s="1"/>
  <c r="G21" i="13"/>
  <c r="I19" i="13" l="1"/>
  <c r="I20" i="13"/>
  <c r="H21" i="13"/>
  <c r="J19" i="13" l="1"/>
  <c r="I21" i="13"/>
  <c r="K19" i="13" l="1"/>
  <c r="J20" i="13"/>
  <c r="J21" i="13" s="1"/>
  <c r="K20" i="13" l="1"/>
  <c r="L19" i="13"/>
  <c r="L20" i="13"/>
  <c r="K21" i="13"/>
  <c r="L21" i="13" l="1"/>
  <c r="B27" i="13" s="1"/>
  <c r="D31" i="28" s="1"/>
  <c r="B26" i="13"/>
  <c r="B8" i="12"/>
  <c r="B28" i="13" l="1"/>
  <c r="D30" i="28"/>
  <c r="B30" i="13" l="1"/>
  <c r="B31" i="13" s="1"/>
  <c r="D32" i="28"/>
  <c r="H37" i="11" l="1"/>
  <c r="B36" i="13"/>
  <c r="D33" i="28"/>
  <c r="D36" i="28" s="1"/>
  <c r="B41" i="30" l="1"/>
  <c r="B9" i="12" l="1"/>
  <c r="B10" i="12"/>
  <c r="H38" i="11"/>
  <c r="H39" i="11"/>
  <c r="B42" i="30"/>
  <c r="D2" i="14"/>
  <c r="C13" i="14"/>
  <c r="C15" i="14"/>
  <c r="B20" i="14"/>
  <c r="B21" i="14"/>
  <c r="B23" i="14"/>
  <c r="B24" i="14"/>
  <c r="C26" i="14"/>
  <c r="D27" i="14"/>
  <c r="D37" i="28"/>
  <c r="D39" i="28"/>
  <c r="B37" i="13"/>
  <c r="B38" i="13"/>
  <c r="B40" i="13"/>
  <c r="B42"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indexed="81"/>
            <rFont val="Calibri"/>
            <family val="2"/>
          </rPr>
          <t>Aswath Damodaran:</t>
        </r>
        <r>
          <rPr>
            <sz val="10"/>
            <color indexed="81"/>
            <rFont val="Calibri"/>
            <family val="2"/>
          </rPr>
          <t xml:space="preserve">
If you have trailing 12 month numbers, the last year's numbers may be only 3 months, 6 months or 9 months ago.</t>
        </r>
      </text>
    </comment>
    <comment ref="B8" authorId="0" shapeId="0" xr:uid="{26607F5D-020D-6340-AB1D-E0AE2A3513C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8" authorId="0" shapeId="0" xr:uid="{AF04F2D0-B052-9F4B-8F62-E422ACD6C65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1" authorId="0" shapeId="0" xr:uid="{3124731F-0179-F242-B916-9DC24BD75F0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1" authorId="0" shapeId="0" xr:uid="{1C70A603-0838-5944-8149-F9A4E92DE99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B13" authorId="0" shapeId="0" xr:uid="{C36A5A6E-3A8B-174E-8D31-61E25498C45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3" authorId="0" shapeId="0" xr:uid="{59205439-221A-3746-8CCE-C4C6A11C518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4" authorId="0" shapeId="0" xr:uid="{EAC947FC-8EEA-BA43-AE6E-FEA319C78E3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4" authorId="0" shapeId="0" xr:uid="{2670DA9D-7469-854C-A012-4097398AED7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7" authorId="0" shapeId="0" xr:uid="{00000000-0006-0000-00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7" authorId="0" shapeId="0" xr:uid="{31C4214A-D7F5-2142-9BE6-159F92DD66B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8" authorId="0" shapeId="0" xr:uid="{00000000-0006-0000-00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9" authorId="0" shapeId="0" xr:uid="{00000000-0006-0000-00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0" authorId="0" shapeId="0" xr:uid="{03C189C6-B0F2-9C4C-862C-D018FF93609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1" authorId="0" shapeId="0" xr:uid="{36C8FE7A-5271-DE44-B3EE-B230CD68B56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2" authorId="0" shapeId="0" xr:uid="{C1FE7319-827E-1744-88C7-DAC43F6A133F}">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3" authorId="0" shapeId="0" xr:uid="{D45CE851-CC84-2943-BD8B-A6D12D7C8783}">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5"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29"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J32"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B33"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J33" authorId="0" shapeId="0" xr:uid="{00000000-0006-0000-0000-00001B000000}">
      <text>
        <r>
          <rPr>
            <b/>
            <sz val="10"/>
            <color indexed="81"/>
            <rFont val="Calibri"/>
            <family val="2"/>
          </rPr>
          <t>Aswath Damodaran:</t>
        </r>
        <r>
          <rPr>
            <sz val="10"/>
            <color indexed="81"/>
            <rFont val="Calibri"/>
            <family val="2"/>
          </rPr>
          <t xml:space="preserve">
Determined by your target margin. </t>
        </r>
      </text>
    </comment>
    <comment ref="J34" authorId="0" shapeId="0" xr:uid="{00000000-0006-0000-0000-00001D000000}">
      <text>
        <r>
          <rPr>
            <b/>
            <sz val="10"/>
            <color rgb="FF000000"/>
            <rFont val="Calibri"/>
            <family val="2"/>
          </rPr>
          <t>Aswath Damodaran:</t>
        </r>
        <r>
          <rPr>
            <sz val="10"/>
            <color rgb="FF000000"/>
            <rFont val="Calibri"/>
            <family val="2"/>
          </rPr>
          <t xml:space="preserve">
</t>
        </r>
        <r>
          <rPr>
            <sz val="10"/>
            <color rgb="FF000000"/>
            <rFont val="Calibri"/>
            <family val="2"/>
          </rPr>
          <t>Function of both your target margin and your sales to capital ratio.</t>
        </r>
      </text>
    </comment>
    <comment ref="B35"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C35" authorId="0" shapeId="0" xr:uid="{ED7A949F-1950-7044-92D8-81068D92D70E}">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37"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B38"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B41" authorId="0" shapeId="0" xr:uid="{B02A6A2A-35B3-2948-937C-177247A49F2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42" authorId="0" shapeId="0" xr:uid="{CFD3F3B7-AD96-F64B-8BF9-9F847395F6C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43" authorId="0" shapeId="0" xr:uid="{626B4DD6-F91A-AF4D-B9C3-E1C8F16F052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44" authorId="0" shapeId="0" xr:uid="{2E3646DF-8C18-7748-8D5A-FAD4170A346F}">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have a standard deviation for your stock, enter that number. If not, use the industry average standard deviation from the worksheet.</t>
        </r>
      </text>
    </comment>
    <comment ref="B48"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51"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52"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54"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55"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6"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7" authorId="0" shapeId="0" xr:uid="{00000000-0006-0000-0000-00002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9" authorId="0" shapeId="0" xr:uid="{00000000-0006-0000-0000-00002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61"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62"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5"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68"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9" authorId="0" shapeId="0" xr:uid="{00000000-0006-0000-0000-00002D000000}">
      <text>
        <r>
          <rPr>
            <b/>
            <sz val="10"/>
            <color indexed="81"/>
            <rFont val="Calibri"/>
            <family val="2"/>
          </rPr>
          <t>Aswath Damodaran:</t>
        </r>
        <r>
          <rPr>
            <sz val="10"/>
            <color indexed="81"/>
            <rFont val="Calibri"/>
            <family val="2"/>
          </rPr>
          <t xml:space="preserve">
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11" authorId="0" shapeId="0" xr:uid="{00000000-0006-0000-0800-000001000000}">
      <text>
        <r>
          <rPr>
            <b/>
            <sz val="9"/>
            <color rgb="FF000000"/>
            <rFont val="Geneva"/>
            <family val="2"/>
          </rPr>
          <t>Aswath Damodaran:</t>
        </r>
        <r>
          <rPr>
            <sz val="9"/>
            <color rgb="FF000000"/>
            <rFont val="Geneva"/>
            <family val="2"/>
          </rPr>
          <t xml:space="preserve">
</t>
        </r>
        <r>
          <rPr>
            <sz val="9"/>
            <color rgb="FF000000"/>
            <rFont val="Geneva"/>
            <family val="2"/>
          </rPr>
          <t>Use a sector average beta, if need be.</t>
        </r>
      </text>
    </comment>
    <comment ref="B13" authorId="0" shapeId="0" xr:uid="{00000000-0006-0000-0800-000002000000}">
      <text>
        <r>
          <rPr>
            <b/>
            <sz val="9"/>
            <color rgb="FF000000"/>
            <rFont val="Geneva"/>
            <family val="2"/>
          </rPr>
          <t>Aswath Damodaran:</t>
        </r>
        <r>
          <rPr>
            <sz val="9"/>
            <color rgb="FF000000"/>
            <rFont val="Geneva"/>
            <family val="2"/>
          </rPr>
          <t xml:space="preserve">
</t>
        </r>
        <r>
          <rPr>
            <sz val="9"/>
            <color rgb="FF000000"/>
            <rFont val="Geneva"/>
            <family val="2"/>
          </rPr>
          <t>If you pick operating regions or countries, please input the revenues by country or region in the table to the right.</t>
        </r>
      </text>
    </comment>
    <comment ref="B15" authorId="0" shapeId="0" xr:uid="{00000000-0006-0000-0800-000003000000}">
      <text>
        <r>
          <rPr>
            <b/>
            <sz val="9"/>
            <color rgb="FF000000"/>
            <rFont val="Geneva"/>
            <family val="2"/>
          </rPr>
          <t>Aswath Damodaran:</t>
        </r>
        <r>
          <rPr>
            <sz val="9"/>
            <color rgb="FF000000"/>
            <rFont val="Geneva"/>
            <family val="2"/>
          </rPr>
          <t xml:space="preserve">
</t>
        </r>
        <r>
          <rPr>
            <sz val="9"/>
            <color rgb="FF000000"/>
            <rFont val="Geneva"/>
            <family val="2"/>
          </rPr>
          <t>If your company has risk exposure in emergiing markets, incorporate that risk premiums here. See worksheet on country risk premiums.</t>
        </r>
      </text>
    </comment>
    <comment ref="B19" authorId="0" shapeId="0" xr:uid="{00000000-0006-0000-0800-000004000000}">
      <text>
        <r>
          <rPr>
            <b/>
            <sz val="9"/>
            <color rgb="FF000000"/>
            <rFont val="Geneva"/>
            <family val="2"/>
          </rPr>
          <t>Aswath Damodaran:</t>
        </r>
        <r>
          <rPr>
            <sz val="9"/>
            <color rgb="FF000000"/>
            <rFont val="Geneva"/>
            <family val="2"/>
          </rPr>
          <t xml:space="preserve">
</t>
        </r>
        <r>
          <rPr>
            <sz val="9"/>
            <color rgb="FF000000"/>
            <rFont val="Geneva"/>
            <family val="2"/>
          </rPr>
          <t>Interest expense (gross) from most recent financial statement.</t>
        </r>
      </text>
    </comment>
    <comment ref="B20" authorId="0" shapeId="0" xr:uid="{00000000-0006-0000-0800-000005000000}">
      <text>
        <r>
          <rPr>
            <b/>
            <sz val="9"/>
            <color indexed="81"/>
            <rFont val="Geneva"/>
            <family val="2"/>
          </rPr>
          <t>Aswath Damodaran:</t>
        </r>
        <r>
          <rPr>
            <sz val="9"/>
            <color indexed="81"/>
            <rFont val="Geneva"/>
            <family val="2"/>
          </rPr>
          <t xml:space="preserve">
Generally found in footnotes to financial statements.</t>
        </r>
      </text>
    </comment>
    <comment ref="B24" authorId="0" shapeId="0" xr:uid="{00000000-0006-0000-0800-000006000000}">
      <text>
        <r>
          <rPr>
            <b/>
            <sz val="9"/>
            <color rgb="FF000000"/>
            <rFont val="Geneva"/>
            <family val="2"/>
          </rPr>
          <t>Aswath Damodaran:</t>
        </r>
        <r>
          <rPr>
            <sz val="9"/>
            <color rgb="FF000000"/>
            <rFont val="Geneva"/>
            <family val="2"/>
          </rPr>
          <t xml:space="preserve">
</t>
        </r>
        <r>
          <rPr>
            <sz val="9"/>
            <color rgb="FF000000"/>
            <rFont val="Geneva"/>
            <family val="2"/>
          </rPr>
          <t xml:space="preserve">1: Large market cap (&gt;$5 billion) and safe.
</t>
        </r>
        <r>
          <rPr>
            <sz val="9"/>
            <color rgb="FF000000"/>
            <rFont val="Geneva"/>
            <family val="2"/>
          </rPr>
          <t xml:space="preserve">2: Small market cap (&lt;$5 billion) or risky.
</t>
        </r>
        <r>
          <rPr>
            <sz val="9"/>
            <color rgb="FF000000"/>
            <rFont val="Geneva"/>
            <family val="2"/>
          </rPr>
          <t>If company has volatile earnings or is in risky business, use 2, even if large market cap.</t>
        </r>
      </text>
    </comment>
    <comment ref="B25" authorId="0" shapeId="0" xr:uid="{00000000-0006-0000-08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Current, long term cost of borrowing money. If you have a rating use it, if not use a synthetic rating. See the worksheet attached.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indexed="81"/>
            <rFont val="Geneva"/>
            <family val="2"/>
          </rPr>
          <t>Aswath Damodaran:</t>
        </r>
        <r>
          <rPr>
            <sz val="9"/>
            <color indexed="81"/>
            <rFont val="Geneva"/>
            <family val="2"/>
          </rPr>
          <t xml:space="preserve">
If your most recent year's operating income is unusually low or high, you can use the average operating income from the last few years. </t>
        </r>
      </text>
    </comment>
    <comment ref="F6" authorId="0" shapeId="0" xr:uid="{00000000-0006-0000-0B00-000002000000}">
      <text>
        <r>
          <rPr>
            <b/>
            <sz val="9"/>
            <color indexed="81"/>
            <rFont val="Geneva"/>
            <family val="2"/>
          </rPr>
          <t>Aswath Damodaran:</t>
        </r>
        <r>
          <rPr>
            <sz val="9"/>
            <color indexed="81"/>
            <rFont val="Geneva"/>
            <family val="2"/>
          </rPr>
          <t xml:space="preserve">
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AA52BB06-710C-2E4F-8AA9-6C859EC4AE60}">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65537" authorId="0" shapeId="0" xr:uid="{C9293980-DE01-E345-A3B6-501108E875EE}">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131073" authorId="0" shapeId="0" xr:uid="{7955FF97-005F-5641-ADFA-4FA69B6E40A1}">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196609" authorId="0" shapeId="0" xr:uid="{63D98FE1-6800-C74B-9A65-CB7FFB01AC89}">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262145" authorId="0" shapeId="0" xr:uid="{587BB428-91CE-BB43-AD02-73893CDEB24E}">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327681" authorId="0" shapeId="0" xr:uid="{0709BEE4-E965-1A46-AEF9-48860D925239}">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393217" authorId="0" shapeId="0" xr:uid="{EBC72664-9B58-E140-BCB5-84DDF737FE9C}">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458753" authorId="0" shapeId="0" xr:uid="{0EBD67D9-D468-1447-AFAF-618D5487D4B4}">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524289" authorId="0" shapeId="0" xr:uid="{8F3FE8CE-5C25-F24B-A47F-1B4098314678}">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589825" authorId="0" shapeId="0" xr:uid="{C6CC90CC-206B-6C41-9E9C-DB270C7B1FAA}">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655361" authorId="0" shapeId="0" xr:uid="{591F2898-7B06-C54A-BDC6-3E03ACDBFAF3}">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720897" authorId="0" shapeId="0" xr:uid="{EA511209-D4C1-5A4A-BFF4-54E22650F653}">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786433" authorId="0" shapeId="0" xr:uid="{4A5D5E9E-310E-A047-A89B-EC4D64CFFC0E}">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851969" authorId="0" shapeId="0" xr:uid="{2C935B2C-052F-D84B-9D1D-202EBC475FD0}">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917505" authorId="0" shapeId="0" xr:uid="{CA349A3D-232A-ED41-B6A7-E0AF1DE7335D}">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983041" authorId="0" shapeId="0" xr:uid="{A7B8A9F7-6B30-344D-96CB-3DEC03231B14}">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<sst xmlns="http://schemas.openxmlformats.org/spreadsheetml/2006/main" count="7445" uniqueCount="874">
  <si>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</si>
  <si>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</si>
  <si>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</si>
  <si>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</si>
  <si>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Marginal ROIC over 10 years</t>
    <phoneticPr fontId="6" type="noConversion"/>
  </si>
  <si>
    <t>ROIC at end of valuation</t>
    <phoneticPr fontId="6" type="noConversion"/>
  </si>
  <si>
    <t>Inputs</t>
  </si>
  <si>
    <t>Invested capital at start of valuation</t>
    <phoneticPr fontId="6" type="noConversion"/>
  </si>
  <si>
    <t>Invested capital at end of valuation</t>
    <phoneticPr fontId="6" type="noConversion"/>
  </si>
  <si>
    <t>Change in invested capital over 10 years</t>
    <phoneticPr fontId="6" type="noConversion"/>
  </si>
  <si>
    <t>Change in EBIT*(1–t) (after-tax operating income) over 10 years</t>
    <phoneticPr fontId="6" type="noConversion"/>
  </si>
  <si>
    <t>Revenues</t>
  </si>
  <si>
    <t>EBIT(1-t)</t>
  </si>
  <si>
    <t>Number of shares</t>
    <phoneticPr fontId="5" type="noConversion"/>
  </si>
  <si>
    <t>Base year</t>
    <phoneticPr fontId="5" type="noConversion"/>
  </si>
  <si>
    <t xml:space="preserve"> - Reinvestment</t>
    <phoneticPr fontId="5" type="noConversion"/>
  </si>
  <si>
    <t>FCFF</t>
  </si>
  <si>
    <t>Implied variables</t>
    <phoneticPr fontId="5" type="noConversion"/>
  </si>
  <si>
    <t>Invested capital</t>
    <phoneticPr fontId="5" type="noConversion"/>
  </si>
  <si>
    <t>ROIC</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</si>
  <si>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</si>
  <si>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</si>
  <si>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</si>
  <si>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</si>
  <si>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</si>
  <si>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</si>
  <si>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</si>
  <si>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</si>
  <si>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</si>
  <si>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</si>
  <si>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</si>
  <si>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</si>
  <si>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</si>
  <si>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</si>
  <si>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</si>
  <si>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  (for computing reinvestment)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</si>
  <si>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</si>
  <si>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</si>
  <si>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</si>
  <si>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</si>
  <si>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</si>
  <si>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</si>
  <si>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</si>
  <si>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</si>
  <si>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</si>
  <si>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</si>
  <si>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</si>
  <si>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</si>
  <si>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</si>
  <si>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</si>
  <si>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</si>
  <si>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</si>
  <si>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</si>
  <si>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</si>
  <si>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</si>
  <si>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</si>
  <si>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</si>
  <si>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</si>
  <si>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</si>
  <si>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</si>
  <si>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</si>
  <si>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</si>
  <si>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</si>
  <si>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</si>
  <si>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</si>
  <si>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</si>
  <si>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</si>
  <si>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</si>
  <si>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</si>
  <si>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</si>
  <si>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</si>
  <si>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</si>
  <si>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</si>
  <si>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</si>
  <si>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</si>
  <si>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</si>
  <si>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</si>
  <si>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</si>
  <si>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</si>
  <si>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</si>
  <si>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</si>
  <si>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</si>
  <si>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</si>
  <si>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</si>
  <si>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</si>
  <si>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</si>
  <si>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</si>
  <si>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</si>
  <si>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</si>
  <si>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</si>
  <si>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</si>
  <si>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</si>
  <si>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</si>
  <si>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</si>
  <si>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</si>
  <si>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</si>
  <si>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</si>
  <si>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</si>
  <si>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</si>
  <si>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</si>
  <si>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</si>
  <si>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</si>
  <si>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</si>
  <si>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</si>
  <si>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</si>
  <si>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</si>
  <si>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</si>
  <si>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</si>
  <si>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</si>
  <si>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</si>
  <si>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</si>
  <si>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</si>
  <si>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</si>
  <si>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</si>
  <si>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</si>
  <si>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</si>
  <si>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</si>
  <si>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</si>
  <si>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</si>
  <si>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</si>
  <si>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</si>
  <si>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</si>
  <si>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</si>
  <si>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</si>
  <si>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</si>
  <si>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</si>
  <si>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</si>
  <si>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</si>
  <si>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</si>
  <si>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</si>
  <si>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</si>
  <si>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</si>
  <si>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</si>
  <si>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</si>
  <si>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</si>
  <si>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</si>
  <si>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</si>
  <si>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</si>
  <si>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</si>
  <si>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</si>
  <si>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</si>
  <si>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Though some sectors, even in stable growth, may have higher risk.</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</si>
  <si>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</si>
  <si>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</si>
  <si>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</si>
  <si>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</si>
  <si>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</si>
  <si>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</si>
  <si>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</si>
  <si>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</si>
  <si>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</si>
  <si>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</si>
  <si>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</si>
  <si>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</si>
  <si>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</si>
  <si>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</si>
  <si>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</si>
  <si>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</si>
  <si>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</si>
  <si>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</si>
  <si>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</si>
  <si>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</si>
  <si>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</si>
  <si>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</si>
  <si>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</si>
  <si>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</si>
  <si>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</si>
  <si>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</si>
  <si>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</si>
  <si>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</si>
  <si>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</si>
  <si>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</si>
  <si>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</si>
  <si>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</si>
  <si>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</si>
  <si>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</si>
  <si>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</si>
  <si>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</si>
  <si>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</si>
  <si>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</si>
  <si>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</si>
  <si>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</si>
  <si>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</si>
  <si>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</si>
  <si>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</si>
  <si>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</si>
  <si>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</si>
  <si>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</si>
  <si>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</si>
  <si>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</si>
  <si>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</si>
  <si>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</si>
  <si>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</si>
  <si>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</si>
  <si>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</si>
  <si>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</si>
  <si>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</si>
  <si>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</si>
  <si>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</si>
  <si>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</si>
  <si>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</si>
  <si>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</si>
  <si>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</si>
  <si>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</si>
  <si>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</si>
  <si>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</si>
  <si>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</si>
  <si>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</si>
  <si>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</si>
  <si>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</si>
  <si>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</si>
  <si>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</si>
  <si>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</si>
  <si>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</si>
  <si>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</si>
  <si>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</si>
  <si>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</si>
  <si>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</si>
  <si>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</si>
  <si>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</si>
  <si>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</si>
  <si>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</si>
  <si>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</si>
  <si>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</si>
  <si>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</si>
  <si>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</si>
  <si>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</si>
  <si>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</si>
  <si>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</si>
  <si>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</si>
  <si>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</si>
  <si>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</si>
  <si>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</si>
  <si>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</si>
  <si>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</si>
  <si>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</si>
  <si>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</si>
  <si>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</si>
  <si>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</si>
  <si>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</si>
  <si>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</si>
  <si>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</si>
  <si>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</si>
  <si>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</si>
  <si>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</si>
  <si>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</si>
  <si>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</si>
  <si>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</si>
  <si>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</si>
  <si>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</si>
  <si>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</si>
  <si>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</si>
  <si>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</si>
  <si>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</si>
  <si>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</si>
  <si>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</si>
  <si>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</si>
  <si>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</si>
  <si>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</si>
  <si>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</si>
  <si>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</si>
  <si>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</si>
  <si>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</si>
  <si>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</si>
  <si>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</si>
  <si>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</si>
  <si>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</si>
  <si>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</si>
  <si>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</si>
  <si>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</si>
  <si>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</si>
  <si>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</si>
  <si>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</si>
  <si>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</si>
  <si>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</si>
  <si>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</si>
  <si>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</si>
  <si>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</si>
  <si>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</si>
  <si>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</si>
  <si>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</si>
  <si>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</si>
  <si>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</si>
  <si>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</si>
  <si>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</si>
  <si>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</si>
  <si>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</si>
  <si>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</si>
  <si>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</si>
  <si>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</si>
  <si>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</si>
  <si>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</si>
  <si>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</si>
  <si>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</si>
  <si>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</si>
  <si>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</si>
  <si>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</si>
  <si>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</si>
  <si>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</si>
  <si>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</si>
  <si>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</si>
  <si>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</si>
  <si>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</si>
  <si>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</si>
  <si>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</si>
  <si>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</si>
  <si>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</si>
  <si>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</si>
  <si>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</si>
  <si>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</si>
  <si>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</si>
  <si>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</si>
  <si>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</si>
  <si>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</si>
  <si>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</si>
  <si>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</si>
  <si>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</si>
  <si>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</si>
  <si>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</si>
  <si>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</si>
  <si>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</si>
  <si>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</si>
  <si>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</si>
  <si>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</si>
  <si>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</si>
  <si>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</si>
  <si>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</si>
  <si>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</si>
  <si>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</si>
  <si>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</si>
  <si>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</si>
  <si>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</si>
  <si>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</si>
  <si>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</si>
  <si>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</si>
  <si>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</si>
  <si>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</si>
  <si>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</si>
  <si>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</si>
  <si>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</si>
  <si>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</si>
  <si>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</si>
  <si>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</si>
  <si>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</si>
  <si>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</si>
  <si>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</si>
  <si>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</si>
  <si>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</si>
  <si>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</si>
  <si>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</si>
  <si>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</si>
  <si>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</si>
  <si>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</si>
  <si>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</si>
  <si>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</si>
  <si>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</si>
  <si>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</si>
  <si>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</si>
  <si>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</si>
  <si>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</si>
  <si>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</si>
  <si>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</si>
  <si>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</si>
  <si>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</si>
  <si>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</si>
  <si>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</si>
  <si>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</si>
  <si>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</si>
  <si>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</si>
  <si>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</si>
  <si>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</si>
  <si>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</si>
  <si>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</si>
  <si>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</si>
  <si>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</si>
  <si>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United States of America</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</si>
  <si>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</si>
  <si>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</si>
  <si>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</si>
  <si>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</si>
  <si>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</si>
  <si>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</si>
  <si>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</si>
  <si>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</si>
  <si>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</si>
  <si>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</si>
  <si>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</si>
  <si>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</si>
  <si>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</si>
  <si>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</si>
  <si>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</si>
  <si>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</si>
  <si>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</si>
  <si>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</si>
  <si>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</si>
  <si>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</si>
  <si>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</si>
  <si>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</si>
  <si>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</si>
  <si>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</si>
  <si>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</si>
  <si>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</si>
  <si>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</si>
  <si>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</si>
  <si>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</si>
  <si>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</si>
  <si>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</si>
  <si>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</si>
  <si>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</si>
  <si>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</si>
  <si>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</si>
  <si>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</si>
  <si>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</si>
  <si>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</si>
  <si>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</si>
  <si>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</si>
  <si>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</si>
  <si>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</si>
  <si>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</si>
  <si>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</si>
  <si>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</si>
  <si>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</si>
  <si>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</si>
  <si>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</si>
  <si>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</si>
  <si>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</si>
  <si>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</si>
  <si>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</si>
  <si>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</si>
  <si>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</si>
  <si>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</si>
  <si>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</si>
  <si>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</si>
  <si>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</si>
  <si>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</si>
  <si>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</si>
  <si>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</si>
  <si>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</si>
  <si>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</si>
  <si>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</si>
  <si>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</si>
  <si>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</si>
  <si>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</si>
  <si>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</si>
  <si>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</si>
  <si>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</si>
  <si>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</si>
  <si>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</si>
  <si>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</si>
  <si>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</si>
  <si>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</si>
  <si>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</si>
  <si>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</si>
  <si>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</si>
  <si>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</si>
  <si>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</si>
  <si>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</si>
  <si>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</si>
  <si>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</si>
  <si>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</si>
  <si>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</si>
  <si>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</si>
  <si>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</si>
  <si>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</si>
  <si>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</si>
  <si>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</si>
  <si>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</si>
  <si>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</si>
  <si>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</si>
  <si>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</si>
  <si>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</si>
  <si>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</si>
  <si>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</si>
  <si>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</si>
  <si>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</si>
  <si>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</si>
  <si>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</si>
  <si>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</si>
  <si>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</si>
  <si>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</si>
  <si>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</si>
  <si>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</si>
  <si>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</si>
  <si>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</si>
  <si>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</si>
  <si>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</si>
  <si>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</si>
  <si>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</si>
  <si>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</si>
  <si>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</si>
  <si>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</si>
  <si>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</si>
  <si>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</si>
  <si>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</si>
  <si>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</si>
  <si>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</si>
  <si>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</si>
  <si>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</si>
  <si>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</si>
  <si>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</si>
  <si>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</si>
  <si>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</si>
  <si>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</si>
  <si>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</si>
  <si>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</si>
  <si>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Auto &amp; Truck</t>
  </si>
  <si>
    <t>Green &amp; Renewable Energy</t>
  </si>
  <si>
    <t>Operating Countries ERP calculator</t>
  </si>
  <si>
    <t>Cash and Marketable Securities</t>
  </si>
  <si>
    <t>Cross holdings and other non-operating assets</t>
  </si>
  <si>
    <t>Profitability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</si>
  <si>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</si>
  <si>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</si>
  <si>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</si>
  <si>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</si>
  <si>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</si>
  <si>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</si>
  <si>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</si>
  <si>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</si>
  <si>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</si>
  <si>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</si>
  <si>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</si>
  <si>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</si>
  <si>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</si>
  <si>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</si>
  <si>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</si>
  <si>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</si>
  <si>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</si>
  <si>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</si>
  <si>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</si>
  <si>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</si>
  <si>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1-5</t>
  </si>
  <si>
    <t>Years 6-10</t>
  </si>
  <si>
    <t>Operating Margin</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</si>
  <si>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</si>
  <si>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</si>
  <si>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</si>
  <si>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</si>
  <si>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</si>
  <si>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</si>
  <si>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</si>
  <si>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</si>
  <si>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</si>
  <si>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</si>
  <si>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</si>
  <si>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</si>
  <si>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Sales to capital ratio =</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</si>
  <si>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</si>
  <si>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</si>
  <si>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</si>
  <si>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</si>
  <si>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</si>
  <si>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</si>
  <si>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</si>
  <si>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</si>
  <si>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</si>
  <si>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</si>
  <si>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RIR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</si>
  <si>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</si>
  <si>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</si>
  <si>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</si>
  <si>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</si>
  <si>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</si>
  <si>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Cost of Capital</t>
  </si>
  <si>
    <t>Year of convergence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</si>
  <si>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</si>
  <si>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</si>
  <si>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</si>
  <si>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</si>
  <si>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</si>
  <si>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</si>
  <si>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</si>
  <si>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</si>
  <si>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</si>
  <si>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</si>
  <si>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</si>
  <si>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</si>
  <si>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</si>
  <si>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</si>
  <si>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</si>
  <si>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</si>
  <si>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</si>
  <si>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</si>
  <si>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</si>
  <si>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</si>
  <si>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</si>
  <si>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</si>
  <si>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</si>
  <si>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</si>
  <si>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</si>
  <si>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</si>
  <si>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</si>
  <si>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</si>
  <si>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</si>
  <si>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</si>
  <si>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</si>
  <si>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</si>
  <si>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</si>
  <si>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</si>
  <si>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</si>
  <si>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</si>
  <si>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</si>
  <si>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</si>
  <si>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</si>
  <si>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</si>
  <si>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</si>
  <si>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</si>
  <si>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</si>
  <si>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</si>
  <si>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</si>
  <si>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</si>
  <si>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</si>
  <si>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</si>
  <si>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</si>
  <si>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</si>
  <si>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</si>
  <si>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</si>
  <si>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</si>
  <si>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G&amp;A</t>
  </si>
  <si>
    <t>Marketing Costs</t>
  </si>
  <si>
    <t>Content Costs</t>
  </si>
  <si>
    <t>Content Costs (Cash Flows)</t>
  </si>
  <si>
    <t>Laos</t>
  </si>
  <si>
    <t>Pre-tax Operating Margin (Lease &amp; R&amp;D adjusted)</t>
  </si>
  <si>
    <t>Tesla</t>
  </si>
  <si>
    <t>R&amp;D</t>
  </si>
  <si>
    <t>Investment Efficiency</t>
  </si>
  <si>
    <t>Growth in EV market &amp; Tesla's early mover advantage work in its favor.</t>
  </si>
  <si>
    <t>Global tax rate</t>
  </si>
  <si>
    <t>Capacity build up allows for less reinvestment in the near years.</t>
  </si>
  <si>
    <t>Moves to median company cost of capital</t>
  </si>
  <si>
    <t>Cost of entry will limit competition.</t>
  </si>
  <si>
    <t>Sales to Invested Capital</t>
  </si>
  <si>
    <t>Sales to Capital (1st 5 years)</t>
  </si>
  <si>
    <t>Target Operating Margin</t>
  </si>
  <si>
    <t>Initial cost of capital</t>
  </si>
  <si>
    <t>B1: Auto Industry First Quartile</t>
  </si>
  <si>
    <t>B2: Auto Industry Median</t>
  </si>
  <si>
    <t>B3: Auto Industry Third Quartile</t>
  </si>
  <si>
    <t>B7: Direct Input</t>
  </si>
  <si>
    <t>C1: Auto Industry First Quartile</t>
  </si>
  <si>
    <t>C2: Auto Industry Median</t>
  </si>
  <si>
    <t>C3: Auto Industry Third Quartile</t>
  </si>
  <si>
    <t>D1: Automobile Median</t>
  </si>
  <si>
    <t>D2: Technology Median</t>
  </si>
  <si>
    <t>D3: All companies - First Quartile</t>
  </si>
  <si>
    <t>D4: All companies - Median</t>
  </si>
  <si>
    <t>D5: All companies - Third Quartile</t>
  </si>
  <si>
    <t>A6: Direct Input (Enter % growth rate)</t>
  </si>
  <si>
    <t>C7: Direct Input</t>
  </si>
  <si>
    <t>D6: Direct Input</t>
  </si>
  <si>
    <t>Your inputs</t>
  </si>
  <si>
    <t>Investment Efficiency Lever</t>
  </si>
  <si>
    <t>How many dollars of revenues will Tesla generate per $ of investment?</t>
  </si>
  <si>
    <t>Risk Levers</t>
  </si>
  <si>
    <t>What cost of capital do you want to give Tesla initially?</t>
  </si>
  <si>
    <t>If direct input, enter the cost of capital</t>
  </si>
  <si>
    <t>What is the probability of failure</t>
  </si>
  <si>
    <t>Probability of failure</t>
  </si>
  <si>
    <t>Failure Likelihood</t>
  </si>
  <si>
    <t>E1: No chance</t>
  </si>
  <si>
    <t>E2: 10% (Marginal profitability, High Debt)</t>
  </si>
  <si>
    <t>E3: 20% (Money loser, High Debt)</t>
  </si>
  <si>
    <t>E4: 50% (Low Growth, Money loser, High Debt)</t>
  </si>
  <si>
    <t>B4: Technology Median</t>
  </si>
  <si>
    <t>B5: Software</t>
  </si>
  <si>
    <t>B6: FAANG Aggregate</t>
  </si>
  <si>
    <t>C4: Technology Median</t>
  </si>
  <si>
    <t>C5: Software</t>
  </si>
  <si>
    <t>C6: FAANG Aggregate</t>
  </si>
  <si>
    <t>Tesla's value of equity today =</t>
  </si>
  <si>
    <t>Tesla's value per share today =</t>
  </si>
  <si>
    <t>Your key inputs wrere</t>
  </si>
  <si>
    <t>Expected Revenue Growth rate for next 5 years =</t>
  </si>
  <si>
    <t>Cost of capital to start =</t>
  </si>
  <si>
    <t>Sales to Invested Capital for first 5 years =</t>
  </si>
  <si>
    <t>And with these inptus, your value is</t>
  </si>
  <si>
    <t>THE YELLOW CELLS ARE YOUR ONLY REQUIRED INPUTS. ALL THE OTHER NUMBERS WILL BE CALCULATED.</t>
  </si>
  <si>
    <t>Sales to Invested Capital used in valuation</t>
  </si>
  <si>
    <t xml:space="preserve"> - Debt &amp; Minority Interests</t>
  </si>
  <si>
    <t>A1: $100 billion (BMW-like)</t>
  </si>
  <si>
    <t>A2: $150 billion (Ford &amp; Honda-like)</t>
  </si>
  <si>
    <t>A3: $200 billion (Daimler-like)</t>
  </si>
  <si>
    <t>A4: $300 billion (Toyota &amp; VW -like)</t>
  </si>
  <si>
    <t>A5: $500 billion (20% auto market share)</t>
  </si>
  <si>
    <t>Value of equity =</t>
  </si>
  <si>
    <t>Changing this number will update all your country equity risk premiums.</t>
  </si>
  <si>
    <t>NR</t>
  </si>
  <si>
    <t>Ca</t>
  </si>
  <si>
    <t>Caa3</t>
  </si>
  <si>
    <t>Guernsey (States of)</t>
  </si>
  <si>
    <t>Jersey (States of)</t>
  </si>
  <si>
    <t>Maldives</t>
  </si>
  <si>
    <t>Uzbekistan</t>
  </si>
  <si>
    <t>Tax Rate</t>
  </si>
  <si>
    <t>Aerospace/Defense</t>
  </si>
  <si>
    <t>Air Transport</t>
  </si>
  <si>
    <t>Apparel</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</si>
  <si>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</si>
  <si>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</si>
  <si>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</si>
  <si>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</si>
  <si>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</si>
  <si>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</si>
  <si>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</si>
  <si>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</si>
  <si>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</si>
  <si>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</si>
  <si>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</si>
  <si>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</si>
  <si>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</si>
  <si>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</si>
  <si>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</si>
  <si>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</si>
  <si>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</si>
  <si>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</si>
  <si>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</si>
  <si>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</si>
  <si>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</si>
  <si>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</si>
  <si>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</si>
  <si>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</si>
  <si>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</si>
  <si>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Entertainment</t>
  </si>
  <si>
    <t>Environmental &amp; Waste Services</t>
  </si>
  <si>
    <t>Farming/Agriculture</t>
  </si>
  <si>
    <t>Financial Svcs. (Non-bank &amp; Insurance)</t>
  </si>
  <si>
    <t>Food Processing</t>
  </si>
  <si>
    <t>Food Wholesalers</t>
  </si>
  <si>
    <t>Furn/Home Furnishings</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</si>
  <si>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</si>
  <si>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</si>
  <si>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</si>
  <si>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</si>
  <si>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</si>
  <si>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</si>
  <si>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</si>
  <si>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</si>
  <si>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</si>
  <si>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</si>
  <si>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</si>
  <si>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</si>
  <si>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</si>
  <si>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</si>
  <si>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</si>
  <si>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</si>
  <si>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</si>
  <si>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</si>
  <si>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</si>
  <si>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</si>
  <si>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</si>
  <si>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</si>
  <si>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</si>
  <si>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</si>
  <si>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</si>
  <si>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</si>
  <si>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</si>
  <si>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</si>
  <si>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</si>
  <si>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</si>
  <si>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</si>
  <si>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</si>
  <si>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</si>
  <si>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</si>
  <si>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</si>
  <si>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</si>
  <si>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</si>
  <si>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</si>
  <si>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</si>
  <si>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</si>
  <si>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</si>
  <si>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</si>
  <si>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</si>
  <si>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</si>
  <si>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</si>
  <si>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</si>
  <si>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</si>
  <si>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</si>
  <si>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</si>
  <si>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</si>
  <si>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</si>
  <si>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</si>
  <si>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</si>
  <si>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</si>
  <si>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</si>
  <si>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Tech twist gives a boost, but price cuts and cost pressures will cap margins</t>
  </si>
  <si>
    <t>Growth (Autos) Lever</t>
  </si>
  <si>
    <t>Growth (Software, Robotaxi and Energy) Lever</t>
  </si>
  <si>
    <t>How much will Tesla have in revenues from autos in 2033?</t>
  </si>
  <si>
    <t xml:space="preserve">Operating Margin in 2028 </t>
  </si>
  <si>
    <t>What operating margin will Tesla Auto have in 2033 (and beyond)?</t>
  </si>
  <si>
    <t>How much will Tesla have in revenues from other businesss in 2033?</t>
  </si>
  <si>
    <t>What percentage of other revenues in 2033 will be from software?</t>
  </si>
  <si>
    <t>What percentage of other revenues in 2033 will be from robotaxis?</t>
  </si>
  <si>
    <t>What operating margin with Tesla Energy have in 2033 (and beyond)?</t>
  </si>
  <si>
    <t>What operating margin with Tesla Software have in 2033 (and beyond)?</t>
  </si>
  <si>
    <t>What operating margin with Tesla Robotaxi have in 2033 (and beyond)?</t>
  </si>
  <si>
    <t>$ Revenues in 2033</t>
  </si>
  <si>
    <t xml:space="preserve"> Expected Auto Revenues in 2033 (in $ mi)l</t>
  </si>
  <si>
    <t>Revenues from software in 2033 (based on your inputs)</t>
  </si>
  <si>
    <t>Revenues from energy in 2033 (based on your inputs)</t>
  </si>
  <si>
    <t>Revenues from robotaxis in 2033 (based on your inputs)</t>
  </si>
  <si>
    <t>Operating margin in 2028</t>
  </si>
  <si>
    <t>With your investment input, Tesla's return on capital in 2033</t>
  </si>
  <si>
    <t>Revenues (Auto)</t>
  </si>
  <si>
    <t>Revenues (Rest)</t>
  </si>
  <si>
    <t>Revenues (Energy)</t>
  </si>
  <si>
    <t>Revenues(Auto)</t>
  </si>
  <si>
    <t>Revenues (Software)</t>
  </si>
  <si>
    <t>Revenues (Robotaxi)</t>
  </si>
  <si>
    <t>Total Revenues</t>
  </si>
  <si>
    <t>Operating margin (Auto)</t>
  </si>
  <si>
    <t>Operating margin (Energy)</t>
  </si>
  <si>
    <t>Operating margin (Software)</t>
  </si>
  <si>
    <t>Operating margin (Robotaxi)</t>
  </si>
  <si>
    <t>Target operating margin (autos) =</t>
  </si>
  <si>
    <t>Target operating margin (energy) =</t>
  </si>
  <si>
    <t>Target operating margin (software) =</t>
  </si>
  <si>
    <t>Target operating margin (robotaxi) =</t>
  </si>
  <si>
    <t>How many years before robotaxi revenues begin?</t>
  </si>
  <si>
    <t>Revenues from other businesses in 2033 (based on inputs) =</t>
  </si>
  <si>
    <t>Revenues (Auto) in 2033 =</t>
  </si>
  <si>
    <t>Revenues (Energy) in 2033 =</t>
  </si>
  <si>
    <t>Revenues (Software) in 2033 =</t>
  </si>
  <si>
    <t>Revenues (Robotaxi and Rest) in 2033 =</t>
  </si>
  <si>
    <t>Expected auto revenues in 2033 ($ million)</t>
  </si>
  <si>
    <t>AA1: Energy only ($50)</t>
  </si>
  <si>
    <t>AA2: Energy + Software ($100)</t>
  </si>
  <si>
    <t>With your operating margin, Tesla's operating profits in 2033 ($ million)</t>
  </si>
  <si>
    <t>Auto Revenue growth rate</t>
  </si>
  <si>
    <t>AA6: Direct Input (Enter revenues in 2033)</t>
  </si>
  <si>
    <t xml:space="preserve"> Expected Other Revenues in 2033 (in $ bil)</t>
  </si>
  <si>
    <t>$ Billion Revenues in 2033</t>
  </si>
  <si>
    <t>AA4: Energy + Software + Robotaxi ($200)</t>
  </si>
  <si>
    <t>AA5: Energy + Software + Big Robotaxi ($300)</t>
  </si>
  <si>
    <t>Year 10</t>
  </si>
  <si>
    <t>AA3: Energy +  Big Software ($150)</t>
  </si>
  <si>
    <t>Expected Pre-tax Operating Margin in year 5 =</t>
  </si>
  <si>
    <t>An Auto Tale, with Add-on Stories</t>
  </si>
  <si>
    <t xml:space="preserve">The news in 2023 for Tesla, ranging from price cuts on many of its lowest-priced models, in conjunction with the  Cybertruck introduction, suggests that Tesla will continue to grow in its core auto business, maintaining a dominant market share of the electric car component. In conjunection, a rise in revenues and operating profits from the energy businesss, coming from a shift to energy storage soltuions will expand the profitability of that business, and Tesla's committment to FSD will translate into software revenues (from sale as an add-on) and provide an impetus to a robotaxi business.  </t>
  </si>
  <si>
    <t>Value</t>
  </si>
  <si>
    <t xml:space="preserve">Auto </t>
  </si>
  <si>
    <t>Energy</t>
  </si>
  <si>
    <t>Software</t>
  </si>
  <si>
    <t>Robotaxi</t>
  </si>
  <si>
    <t>Tesla Business</t>
  </si>
  <si>
    <t>57027`</t>
  </si>
  <si>
    <t>Updated January 1, 2024</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</si>
  <si>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</si>
  <si>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</si>
  <si>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</si>
  <si>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</si>
  <si>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</si>
  <si>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</si>
  <si>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</si>
  <si>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</si>
  <si>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</si>
  <si>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</si>
  <si>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</si>
  <si>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</si>
  <si>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</si>
  <si>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</si>
  <si>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</si>
  <si>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</si>
  <si>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</si>
  <si>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</si>
  <si>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</si>
  <si>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</si>
  <si>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</si>
  <si>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Default Spread</t>
  </si>
  <si>
    <t>CRP</t>
  </si>
  <si>
    <t>Retail (REITs)</t>
  </si>
  <si>
    <t>If you have operating leases, please enter your lease commitments in the lease worksheet below and I will convert to debt. If it is already considered debt by accountants, enter no.</t>
  </si>
  <si>
    <t>Updated February 1,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</si>
</sst>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quot;$&quot;#,##0"/>
  </numFmts>
  <fonts count="78">
    <font>
      <sz val="9"/>
      <name val="Geneva"/>
      <family val="2"/>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sz val="12"/>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b/>
      <sz val="10"/>
      <color rgb="FF000000"/>
      <name val="Calibri"/>
      <family val="2"/>
    </font>
    <font>
      <sz val="10"/>
      <color rgb="FF000000"/>
      <name val="Calibri"/>
      <family val="2"/>
    </font>
    <font>
      <b/>
      <sz val="9"/>
      <name val="Geneva"/>
      <family val="2"/>
    </font>
    <font>
      <sz val="8"/>
      <color indexed="8"/>
      <name val="Arial"/>
      <family val="2"/>
    </font>
    <font>
      <sz val="10"/>
      <color theme="1"/>
      <name val="Helv"/>
    </font>
    <font>
      <sz val="9"/>
      <color theme="1"/>
      <name val="Geneva"/>
      <family val="2"/>
    </font>
    <font>
      <b/>
      <sz val="9"/>
      <color rgb="FF000000"/>
      <name val="Geneva"/>
      <family val="2"/>
      <charset val="1"/>
    </font>
    <font>
      <sz val="9"/>
      <color rgb="FF000000"/>
      <name val="Geneva"/>
      <family val="2"/>
      <charset val="1"/>
    </font>
    <font>
      <i/>
      <sz val="10"/>
      <name val="Geneva"/>
      <family val="2"/>
      <charset val="1"/>
    </font>
    <font>
      <i/>
      <sz val="9"/>
      <name val="Geneva"/>
      <family val="2"/>
      <charset val="1"/>
    </font>
    <font>
      <sz val="12"/>
      <color theme="0"/>
      <name val="Times"/>
      <family val="1"/>
    </font>
    <font>
      <sz val="9"/>
      <color theme="0"/>
      <name val="Geneva"/>
      <family val="2"/>
    </font>
    <font>
      <b/>
      <sz val="14"/>
      <color theme="0"/>
      <name val="Helvetica"/>
      <family val="2"/>
    </font>
    <font>
      <b/>
      <i/>
      <sz val="14"/>
      <color theme="0"/>
      <name val="Helvetica"/>
      <family val="2"/>
    </font>
    <font>
      <sz val="14"/>
      <color theme="0"/>
      <name val="Helvetica"/>
      <family val="2"/>
    </font>
    <font>
      <i/>
      <sz val="14"/>
      <color theme="0"/>
      <name val="Helvetica"/>
      <family val="2"/>
    </font>
    <font>
      <sz val="12"/>
      <color theme="1"/>
      <name val="Arial"/>
      <family val="2"/>
    </font>
    <font>
      <b/>
      <sz val="10"/>
      <color indexed="8"/>
      <name val="Tahoma"/>
      <family val="2"/>
    </font>
    <font>
      <sz val="10"/>
      <color indexed="8"/>
      <name val="Tahoma"/>
      <family val="2"/>
    </font>
    <font>
      <sz val="12"/>
      <name val="Helvetica"/>
      <family val="2"/>
    </font>
    <font>
      <b/>
      <i/>
      <sz val="9"/>
      <name val="Geneva"/>
      <family val="2"/>
    </font>
    <font>
      <b/>
      <sz val="10"/>
      <color rgb="FF000000"/>
      <name val="Tahoma"/>
      <family val="2"/>
    </font>
    <font>
      <sz val="10"/>
      <color rgb="FF000000"/>
      <name val="Tahoma"/>
      <family val="2"/>
    </font>
  </fonts>
  <fills count="15">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theme="2"/>
        <bgColor indexed="64"/>
      </patternFill>
    </fill>
    <fill>
      <patternFill patternType="solid">
        <fgColor theme="1"/>
        <bgColor indexed="64"/>
      </patternFill>
    </fill>
    <fill>
      <patternFill patternType="solid">
        <fgColor theme="2"/>
        <bgColor theme="0" tint="-0.14999847407452621"/>
      </patternFill>
    </fill>
  </fills>
  <borders count="42">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theme="0"/>
      </left>
      <right style="thin">
        <color theme="0"/>
      </right>
      <top style="thin">
        <color theme="0"/>
      </top>
      <bottom style="thin">
        <color theme="0"/>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right/>
      <top style="thin">
        <color theme="6" tint="0.79998168889431442"/>
      </top>
      <bottom style="thin">
        <color theme="6" tint="0.79998168889431442"/>
      </bottom>
      <diagonal/>
    </border>
    <border>
      <left style="thin">
        <color theme="1"/>
      </left>
      <right style="thin">
        <color theme="1"/>
      </right>
      <top style="thin">
        <color theme="1"/>
      </top>
      <bottom style="thin">
        <color theme="1"/>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cellStyleXfs>
  <cellXfs count="406">
    <xf numFmtId="0" fontId="0" fillId="0" borderId="0" xfId="0"/>
    <xf numFmtId="0" fontId="0" fillId="0" borderId="1" xfId="0" applyBorder="1"/>
    <xf numFmtId="0" fontId="2" fillId="0" borderId="0" xfId="0" applyFont="1"/>
    <xf numFmtId="0" fontId="7" fillId="0" borderId="0" xfId="0" applyFont="1"/>
    <xf numFmtId="0" fontId="8" fillId="0" borderId="0" xfId="0" applyFont="1"/>
    <xf numFmtId="0" fontId="10" fillId="0" borderId="0" xfId="0" applyFont="1"/>
    <xf numFmtId="0" fontId="11" fillId="0" borderId="0" xfId="0" applyFont="1"/>
    <xf numFmtId="0" fontId="12" fillId="0" borderId="0" xfId="0" applyFont="1"/>
    <xf numFmtId="44" fontId="12" fillId="2" borderId="1" xfId="2" applyFont="1" applyFill="1" applyBorder="1"/>
    <xf numFmtId="10" fontId="12" fillId="2" borderId="1" xfId="3" applyNumberFormat="1" applyFont="1" applyFill="1" applyBorder="1"/>
    <xf numFmtId="10" fontId="12" fillId="2" borderId="1" xfId="0" applyNumberFormat="1" applyFont="1" applyFill="1" applyBorder="1"/>
    <xf numFmtId="2" fontId="12" fillId="2" borderId="1" xfId="0" applyNumberFormat="1" applyFont="1" applyFill="1" applyBorder="1"/>
    <xf numFmtId="4" fontId="12" fillId="2" borderId="1" xfId="0" applyNumberFormat="1" applyFont="1" applyFill="1" applyBorder="1"/>
    <xf numFmtId="0" fontId="13" fillId="0" borderId="0" xfId="0" applyFont="1"/>
    <xf numFmtId="0" fontId="14" fillId="0" borderId="0" xfId="0" applyFont="1"/>
    <xf numFmtId="0" fontId="15" fillId="0" borderId="0" xfId="0" applyFont="1"/>
    <xf numFmtId="0" fontId="16" fillId="0" borderId="0" xfId="0" applyFont="1"/>
    <xf numFmtId="0" fontId="16" fillId="0" borderId="1" xfId="0" applyFont="1" applyBorder="1"/>
    <xf numFmtId="0" fontId="12" fillId="0" borderId="1" xfId="0" applyFont="1" applyBorder="1"/>
    <xf numFmtId="10" fontId="16" fillId="0" borderId="0" xfId="0" applyNumberFormat="1" applyFont="1"/>
    <xf numFmtId="3" fontId="12" fillId="0" borderId="1" xfId="0" applyNumberFormat="1" applyFont="1" applyBorder="1"/>
    <xf numFmtId="10" fontId="16" fillId="0" borderId="1" xfId="0" applyNumberFormat="1" applyFont="1" applyBorder="1"/>
    <xf numFmtId="165" fontId="16" fillId="0" borderId="1" xfId="1" applyNumberFormat="1" applyFont="1" applyBorder="1"/>
    <xf numFmtId="10" fontId="12" fillId="0" borderId="1" xfId="0" applyNumberFormat="1" applyFont="1" applyBorder="1"/>
    <xf numFmtId="44" fontId="12" fillId="0" borderId="2" xfId="2" applyFont="1" applyBorder="1"/>
    <xf numFmtId="44" fontId="12" fillId="0" borderId="0" xfId="2" applyFont="1"/>
    <xf numFmtId="8" fontId="12" fillId="0" borderId="2" xfId="0" applyNumberFormat="1" applyFont="1" applyBorder="1"/>
    <xf numFmtId="44" fontId="12" fillId="2" borderId="1" xfId="0" applyNumberFormat="1" applyFont="1" applyFill="1" applyBorder="1"/>
    <xf numFmtId="0" fontId="10" fillId="0" borderId="0" xfId="0" applyFont="1" applyAlignment="1">
      <alignment horizontal="centerContinuous"/>
    </xf>
    <xf numFmtId="0" fontId="12" fillId="0" borderId="1" xfId="0" applyFont="1" applyBorder="1" applyAlignment="1">
      <alignment horizontal="center"/>
    </xf>
    <xf numFmtId="0" fontId="19" fillId="0" borderId="0" xfId="0" applyFont="1"/>
    <xf numFmtId="0" fontId="12" fillId="0" borderId="2" xfId="0" applyFont="1" applyBorder="1"/>
    <xf numFmtId="44" fontId="12" fillId="3" borderId="1" xfId="2" applyFont="1" applyFill="1" applyBorder="1"/>
    <xf numFmtId="44" fontId="12" fillId="0" borderId="0" xfId="2" applyFont="1" applyBorder="1"/>
    <xf numFmtId="0" fontId="12" fillId="2" borderId="1" xfId="0" applyFont="1" applyFill="1" applyBorder="1" applyAlignment="1">
      <alignment horizontal="center"/>
    </xf>
    <xf numFmtId="0" fontId="12" fillId="0" borderId="3" xfId="0" applyFont="1" applyBorder="1"/>
    <xf numFmtId="44" fontId="12" fillId="2" borderId="3" xfId="0" applyNumberFormat="1" applyFont="1" applyFill="1" applyBorder="1"/>
    <xf numFmtId="44" fontId="12" fillId="2" borderId="3" xfId="2" applyFont="1" applyFill="1" applyBorder="1"/>
    <xf numFmtId="0" fontId="12" fillId="2" borderId="2" xfId="0" applyFont="1" applyFill="1" applyBorder="1"/>
    <xf numFmtId="44" fontId="12" fillId="2" borderId="2" xfId="0" applyNumberFormat="1" applyFont="1" applyFill="1" applyBorder="1"/>
    <xf numFmtId="44" fontId="12" fillId="2" borderId="4" xfId="0" applyNumberFormat="1" applyFont="1" applyFill="1" applyBorder="1"/>
    <xf numFmtId="0" fontId="21" fillId="0" borderId="5" xfId="0" applyFont="1" applyBorder="1" applyAlignment="1">
      <alignment horizontal="center"/>
    </xf>
    <xf numFmtId="0" fontId="21" fillId="0" borderId="1" xfId="0" applyFont="1" applyBorder="1" applyAlignment="1">
      <alignment horizontal="center"/>
    </xf>
    <xf numFmtId="0" fontId="22" fillId="0" borderId="1" xfId="0" applyFont="1" applyBorder="1"/>
    <xf numFmtId="0" fontId="22" fillId="0" borderId="0" xfId="0" applyFont="1"/>
    <xf numFmtId="0" fontId="23" fillId="0" borderId="1" xfId="0" applyFont="1" applyBorder="1"/>
    <xf numFmtId="0" fontId="22" fillId="0" borderId="0" xfId="0" applyFont="1" applyAlignment="1">
      <alignment horizontal="center"/>
    </xf>
    <xf numFmtId="0" fontId="24" fillId="0" borderId="0" xfId="0" applyFont="1"/>
    <xf numFmtId="0" fontId="25" fillId="0" borderId="6" xfId="0" applyFont="1" applyBorder="1"/>
    <xf numFmtId="0" fontId="25" fillId="0" borderId="7" xfId="0" applyFont="1" applyBorder="1"/>
    <xf numFmtId="0" fontId="25" fillId="0" borderId="0" xfId="0" applyFont="1"/>
    <xf numFmtId="0" fontId="25" fillId="0" borderId="8" xfId="0" applyFont="1" applyBorder="1"/>
    <xf numFmtId="0" fontId="25" fillId="0" borderId="9" xfId="0" applyFont="1" applyBorder="1"/>
    <xf numFmtId="0" fontId="25" fillId="0" borderId="1" xfId="0" applyFont="1" applyBorder="1"/>
    <xf numFmtId="0" fontId="43" fillId="0" borderId="0" xfId="0" applyFont="1"/>
    <xf numFmtId="10" fontId="25" fillId="4" borderId="1" xfId="2" applyNumberFormat="1" applyFont="1" applyFill="1" applyBorder="1" applyAlignment="1">
      <alignment horizontal="center"/>
    </xf>
    <xf numFmtId="44" fontId="25" fillId="0" borderId="0" xfId="2" applyFont="1" applyFill="1" applyBorder="1" applyAlignment="1">
      <alignment horizontal="center"/>
    </xf>
    <xf numFmtId="10" fontId="25" fillId="4" borderId="1" xfId="0" applyNumberFormat="1" applyFont="1" applyFill="1" applyBorder="1" applyAlignment="1">
      <alignment horizontal="center"/>
    </xf>
    <xf numFmtId="2" fontId="25" fillId="4" borderId="1" xfId="0" applyNumberFormat="1" applyFont="1" applyFill="1" applyBorder="1" applyAlignment="1">
      <alignment horizontal="center"/>
    </xf>
    <xf numFmtId="10" fontId="25" fillId="0" borderId="0" xfId="0" applyNumberFormat="1" applyFont="1"/>
    <xf numFmtId="10" fontId="25" fillId="5" borderId="0" xfId="0" applyNumberFormat="1" applyFont="1" applyFill="1" applyAlignment="1">
      <alignment horizontal="center"/>
    </xf>
    <xf numFmtId="164" fontId="25" fillId="4" borderId="1" xfId="0" applyNumberFormat="1" applyFont="1" applyFill="1" applyBorder="1" applyAlignment="1">
      <alignment horizontal="center"/>
    </xf>
    <xf numFmtId="10" fontId="25" fillId="0" borderId="0" xfId="0" applyNumberFormat="1" applyFont="1" applyAlignment="1">
      <alignment horizontal="center"/>
    </xf>
    <xf numFmtId="0" fontId="27" fillId="0" borderId="0" xfId="0" applyFont="1"/>
    <xf numFmtId="0" fontId="25" fillId="4" borderId="1" xfId="0" applyFont="1" applyFill="1" applyBorder="1" applyAlignment="1">
      <alignment horizontal="center"/>
    </xf>
    <xf numFmtId="9" fontId="25" fillId="4" borderId="1" xfId="0" applyNumberFormat="1" applyFont="1" applyFill="1" applyBorder="1" applyAlignment="1">
      <alignment horizontal="center"/>
    </xf>
    <xf numFmtId="9" fontId="25" fillId="5" borderId="0" xfId="0" applyNumberFormat="1" applyFont="1" applyFill="1" applyAlignment="1">
      <alignment horizontal="center"/>
    </xf>
    <xf numFmtId="0" fontId="8" fillId="0" borderId="0" xfId="0" applyFont="1" applyAlignment="1">
      <alignment horizontal="left"/>
    </xf>
    <xf numFmtId="10" fontId="12" fillId="4" borderId="2" xfId="0" applyNumberFormat="1" applyFont="1" applyFill="1" applyBorder="1" applyAlignment="1">
      <alignment horizontal="center"/>
    </xf>
    <xf numFmtId="8" fontId="12" fillId="2" borderId="2" xfId="0" applyNumberFormat="1" applyFont="1" applyFill="1" applyBorder="1"/>
    <xf numFmtId="0" fontId="26" fillId="5" borderId="0" xfId="0" applyFont="1" applyFill="1"/>
    <xf numFmtId="0" fontId="27" fillId="5" borderId="0" xfId="0" applyFont="1" applyFill="1"/>
    <xf numFmtId="44" fontId="25" fillId="4" borderId="1" xfId="2" applyFont="1" applyFill="1" applyBorder="1" applyAlignment="1">
      <alignment horizontal="center"/>
    </xf>
    <xf numFmtId="0" fontId="24" fillId="0" borderId="10" xfId="0" applyFont="1" applyBorder="1"/>
    <xf numFmtId="0" fontId="25" fillId="0" borderId="11" xfId="0" applyFont="1" applyBorder="1"/>
    <xf numFmtId="0" fontId="25" fillId="0" borderId="12" xfId="0" applyFont="1" applyBorder="1"/>
    <xf numFmtId="0" fontId="22" fillId="6" borderId="1" xfId="0" applyFont="1" applyFill="1" applyBorder="1"/>
    <xf numFmtId="10" fontId="22" fillId="6" borderId="1" xfId="3" applyNumberFormat="1" applyFont="1" applyFill="1" applyBorder="1" applyAlignment="1">
      <alignment horizontal="center"/>
    </xf>
    <xf numFmtId="44" fontId="22" fillId="6" borderId="1" xfId="2" applyFont="1" applyFill="1" applyBorder="1"/>
    <xf numFmtId="44" fontId="22" fillId="6" borderId="1" xfId="2" applyFont="1" applyFill="1" applyBorder="1" applyAlignment="1">
      <alignment horizontal="center"/>
    </xf>
    <xf numFmtId="10" fontId="22" fillId="6" borderId="1" xfId="3" applyNumberFormat="1" applyFont="1" applyFill="1" applyBorder="1"/>
    <xf numFmtId="10" fontId="22" fillId="6" borderId="1" xfId="2" applyNumberFormat="1" applyFont="1" applyFill="1" applyBorder="1"/>
    <xf numFmtId="10" fontId="22" fillId="6" borderId="1" xfId="2" applyNumberFormat="1" applyFont="1" applyFill="1" applyBorder="1" applyAlignment="1">
      <alignment horizontal="center"/>
    </xf>
    <xf numFmtId="0" fontId="22" fillId="6" borderId="1" xfId="0" applyFont="1" applyFill="1" applyBorder="1" applyAlignment="1">
      <alignment horizontal="center"/>
    </xf>
    <xf numFmtId="44" fontId="22" fillId="6" borderId="1" xfId="0" applyNumberFormat="1" applyFont="1" applyFill="1" applyBorder="1"/>
    <xf numFmtId="10" fontId="22" fillId="6" borderId="1" xfId="0" applyNumberFormat="1" applyFont="1" applyFill="1" applyBorder="1"/>
    <xf numFmtId="164" fontId="22" fillId="6" borderId="1" xfId="0" applyNumberFormat="1" applyFont="1" applyFill="1" applyBorder="1"/>
    <xf numFmtId="8" fontId="22" fillId="6" borderId="1" xfId="0" applyNumberFormat="1" applyFont="1" applyFill="1" applyBorder="1"/>
    <xf numFmtId="43" fontId="22" fillId="6" borderId="1" xfId="1" applyFont="1" applyFill="1" applyBorder="1"/>
    <xf numFmtId="44" fontId="44" fillId="6" borderId="1" xfId="2" applyFont="1" applyFill="1" applyBorder="1"/>
    <xf numFmtId="2" fontId="22" fillId="6" borderId="1" xfId="0" applyNumberFormat="1" applyFont="1" applyFill="1" applyBorder="1" applyAlignment="1">
      <alignment horizontal="center"/>
    </xf>
    <xf numFmtId="168" fontId="22" fillId="6" borderId="1" xfId="0" applyNumberFormat="1" applyFont="1" applyFill="1" applyBorder="1"/>
    <xf numFmtId="168" fontId="22" fillId="6" borderId="1" xfId="0" applyNumberFormat="1" applyFont="1" applyFill="1" applyBorder="1" applyAlignment="1">
      <alignment horizontal="center"/>
    </xf>
    <xf numFmtId="10" fontId="22" fillId="7" borderId="1" xfId="3" applyNumberFormat="1" applyFont="1" applyFill="1" applyBorder="1" applyAlignment="1">
      <alignment horizontal="center"/>
    </xf>
    <xf numFmtId="0" fontId="28" fillId="0" borderId="0" xfId="0" applyFont="1"/>
    <xf numFmtId="0" fontId="12" fillId="3" borderId="1" xfId="0" applyFont="1" applyFill="1" applyBorder="1"/>
    <xf numFmtId="0" fontId="14" fillId="0" borderId="0" xfId="0" applyFont="1" applyAlignment="1">
      <alignment horizontal="center"/>
    </xf>
    <xf numFmtId="0" fontId="14" fillId="0" borderId="1" xfId="0" applyFont="1" applyBorder="1" applyAlignment="1">
      <alignment horizontal="center"/>
    </xf>
    <xf numFmtId="2" fontId="12" fillId="6" borderId="1" xfId="0" applyNumberFormat="1" applyFont="1" applyFill="1" applyBorder="1"/>
    <xf numFmtId="44" fontId="12" fillId="6" borderId="1" xfId="0" applyNumberFormat="1" applyFont="1" applyFill="1" applyBorder="1"/>
    <xf numFmtId="44" fontId="12" fillId="6" borderId="1" xfId="2" applyFont="1" applyFill="1" applyBorder="1"/>
    <xf numFmtId="10" fontId="12" fillId="6" borderId="1" xfId="3" applyNumberFormat="1" applyFont="1" applyFill="1" applyBorder="1"/>
    <xf numFmtId="10" fontId="12" fillId="6" borderId="3" xfId="0" applyNumberFormat="1" applyFont="1" applyFill="1" applyBorder="1"/>
    <xf numFmtId="10" fontId="12" fillId="6" borderId="1" xfId="0" applyNumberFormat="1" applyFont="1" applyFill="1" applyBorder="1"/>
    <xf numFmtId="10" fontId="12" fillId="6" borderId="13" xfId="3" applyNumberFormat="1" applyFont="1" applyFill="1" applyBorder="1"/>
    <xf numFmtId="10" fontId="12" fillId="6" borderId="2" xfId="3" applyNumberFormat="1" applyFont="1" applyFill="1" applyBorder="1"/>
    <xf numFmtId="2" fontId="12" fillId="6" borderId="1" xfId="2" applyNumberFormat="1" applyFont="1" applyFill="1" applyBorder="1"/>
    <xf numFmtId="0" fontId="29" fillId="0" borderId="0" xfId="0" applyFont="1"/>
    <xf numFmtId="0" fontId="30" fillId="0" borderId="0" xfId="0" applyFont="1"/>
    <xf numFmtId="0" fontId="20" fillId="0" borderId="0" xfId="0" applyFont="1"/>
    <xf numFmtId="0" fontId="12" fillId="3" borderId="1" xfId="0" applyFont="1" applyFill="1" applyBorder="1" applyAlignment="1">
      <alignment horizontal="center"/>
    </xf>
    <xf numFmtId="10" fontId="16" fillId="0" borderId="0" xfId="0" applyNumberFormat="1" applyFont="1" applyAlignment="1">
      <alignment horizontal="center"/>
    </xf>
    <xf numFmtId="10" fontId="13" fillId="0" borderId="0" xfId="0" applyNumberFormat="1" applyFont="1" applyAlignment="1">
      <alignment horizontal="center"/>
    </xf>
    <xf numFmtId="0" fontId="14" fillId="0" borderId="1" xfId="0" applyFont="1" applyBorder="1" applyAlignment="1">
      <alignment horizontal="centerContinuous"/>
    </xf>
    <xf numFmtId="0" fontId="14" fillId="0" borderId="1" xfId="0" applyFont="1" applyBorder="1"/>
    <xf numFmtId="2" fontId="12" fillId="0" borderId="1" xfId="0" applyNumberFormat="1" applyFont="1" applyBorder="1" applyAlignment="1">
      <alignment horizontal="center"/>
    </xf>
    <xf numFmtId="0" fontId="12" fillId="0" borderId="1" xfId="0" applyFont="1" applyBorder="1" applyAlignment="1">
      <alignment horizontal="centerContinuous"/>
    </xf>
    <xf numFmtId="10" fontId="12" fillId="6" borderId="2" xfId="0" applyNumberFormat="1" applyFont="1" applyFill="1" applyBorder="1"/>
    <xf numFmtId="2" fontId="16" fillId="6" borderId="2" xfId="0" applyNumberFormat="1" applyFont="1" applyFill="1" applyBorder="1" applyAlignment="1">
      <alignment horizontal="center"/>
    </xf>
    <xf numFmtId="0" fontId="31" fillId="6" borderId="4" xfId="0" applyFont="1" applyFill="1" applyBorder="1" applyAlignment="1">
      <alignment horizontal="center"/>
    </xf>
    <xf numFmtId="10" fontId="16" fillId="6" borderId="2" xfId="3" applyNumberFormat="1" applyFont="1" applyFill="1" applyBorder="1" applyAlignment="1">
      <alignment horizontal="center"/>
    </xf>
    <xf numFmtId="10" fontId="16" fillId="6" borderId="2" xfId="0" applyNumberFormat="1" applyFont="1" applyFill="1" applyBorder="1" applyAlignment="1">
      <alignment horizontal="center"/>
    </xf>
    <xf numFmtId="0" fontId="33" fillId="0" borderId="0" xfId="0" applyFont="1"/>
    <xf numFmtId="0" fontId="7" fillId="5" borderId="0" xfId="0" applyFont="1" applyFill="1"/>
    <xf numFmtId="0" fontId="32" fillId="6" borderId="1" xfId="0" applyFont="1" applyFill="1" applyBorder="1"/>
    <xf numFmtId="0" fontId="33" fillId="6" borderId="1" xfId="0" applyFont="1" applyFill="1" applyBorder="1"/>
    <xf numFmtId="44" fontId="33" fillId="6" borderId="1" xfId="2" applyFont="1" applyFill="1" applyBorder="1"/>
    <xf numFmtId="10" fontId="33" fillId="6" borderId="1" xfId="0" applyNumberFormat="1" applyFont="1" applyFill="1" applyBorder="1"/>
    <xf numFmtId="0" fontId="33" fillId="6" borderId="3" xfId="0" applyFont="1" applyFill="1" applyBorder="1"/>
    <xf numFmtId="10" fontId="33" fillId="6" borderId="3" xfId="0" applyNumberFormat="1" applyFont="1" applyFill="1" applyBorder="1" applyAlignment="1">
      <alignment horizontal="right"/>
    </xf>
    <xf numFmtId="0" fontId="33" fillId="0" borderId="10" xfId="0" applyFont="1" applyBorder="1"/>
    <xf numFmtId="169" fontId="22" fillId="6" borderId="1" xfId="0" applyNumberFormat="1" applyFont="1" applyFill="1" applyBorder="1" applyAlignment="1">
      <alignment horizontal="center"/>
    </xf>
    <xf numFmtId="0" fontId="22" fillId="0" borderId="0" xfId="0" applyFont="1" applyAlignment="1">
      <alignment horizontal="left"/>
    </xf>
    <xf numFmtId="0" fontId="24" fillId="0" borderId="11" xfId="0" applyFont="1" applyBorder="1"/>
    <xf numFmtId="0" fontId="25" fillId="4" borderId="1" xfId="0" applyFont="1" applyFill="1" applyBorder="1"/>
    <xf numFmtId="2" fontId="25" fillId="4" borderId="14" xfId="2" applyNumberFormat="1" applyFont="1" applyFill="1" applyBorder="1" applyAlignment="1">
      <alignment horizontal="center"/>
    </xf>
    <xf numFmtId="0" fontId="0" fillId="0" borderId="1" xfId="0" applyBorder="1" applyAlignment="1">
      <alignment horizontal="center"/>
    </xf>
    <xf numFmtId="0" fontId="12" fillId="4" borderId="1" xfId="0" applyFont="1" applyFill="1" applyBorder="1"/>
    <xf numFmtId="0" fontId="12" fillId="6" borderId="1" xfId="0" applyFont="1" applyFill="1" applyBorder="1"/>
    <xf numFmtId="0" fontId="13" fillId="0" borderId="1" xfId="0" applyFont="1" applyBorder="1"/>
    <xf numFmtId="167" fontId="12" fillId="6" borderId="1" xfId="3" applyNumberFormat="1" applyFont="1" applyFill="1" applyBorder="1"/>
    <xf numFmtId="167" fontId="12" fillId="6" borderId="1" xfId="0" applyNumberFormat="1" applyFont="1" applyFill="1" applyBorder="1"/>
    <xf numFmtId="2" fontId="12" fillId="3" borderId="1" xfId="0" applyNumberFormat="1" applyFont="1" applyFill="1" applyBorder="1"/>
    <xf numFmtId="10" fontId="25" fillId="5" borderId="0" xfId="3" applyNumberFormat="1" applyFont="1" applyFill="1" applyBorder="1"/>
    <xf numFmtId="0" fontId="25" fillId="0" borderId="15" xfId="0" applyFont="1" applyBorder="1"/>
    <xf numFmtId="0" fontId="7" fillId="0" borderId="16" xfId="0" applyFont="1" applyBorder="1"/>
    <xf numFmtId="0" fontId="7" fillId="0" borderId="17" xfId="0" applyFont="1" applyBorder="1"/>
    <xf numFmtId="44" fontId="25" fillId="4" borderId="14" xfId="2" applyFont="1" applyFill="1" applyBorder="1" applyAlignment="1">
      <alignment horizontal="center"/>
    </xf>
    <xf numFmtId="171" fontId="12" fillId="4" borderId="1" xfId="2" applyNumberFormat="1" applyFont="1" applyFill="1" applyBorder="1"/>
    <xf numFmtId="169" fontId="12" fillId="6" borderId="1" xfId="0" applyNumberFormat="1" applyFont="1" applyFill="1" applyBorder="1"/>
    <xf numFmtId="171" fontId="12" fillId="6" borderId="1" xfId="0" applyNumberFormat="1" applyFont="1" applyFill="1" applyBorder="1"/>
    <xf numFmtId="0" fontId="0" fillId="6" borderId="1" xfId="0" applyFill="1" applyBorder="1"/>
    <xf numFmtId="171" fontId="3"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4" fillId="0" borderId="1" xfId="0" applyNumberFormat="1" applyFont="1" applyBorder="1" applyAlignment="1">
      <alignment horizontal="center"/>
    </xf>
    <xf numFmtId="2" fontId="34" fillId="0" borderId="0" xfId="0" applyNumberFormat="1" applyFont="1"/>
    <xf numFmtId="2" fontId="12" fillId="0" borderId="0" xfId="0" applyNumberFormat="1" applyFont="1"/>
    <xf numFmtId="1" fontId="34" fillId="0" borderId="1" xfId="0" applyNumberFormat="1" applyFont="1" applyBorder="1" applyAlignment="1">
      <alignment horizontal="center"/>
    </xf>
    <xf numFmtId="2" fontId="34" fillId="3" borderId="1" xfId="0" applyNumberFormat="1" applyFont="1" applyFill="1" applyBorder="1" applyAlignment="1">
      <alignment horizontal="center"/>
    </xf>
    <xf numFmtId="2" fontId="35" fillId="0" borderId="0" xfId="0" applyNumberFormat="1" applyFont="1"/>
    <xf numFmtId="2" fontId="34" fillId="0" borderId="13" xfId="0" applyNumberFormat="1" applyFont="1" applyBorder="1" applyAlignment="1">
      <alignment horizontal="centerContinuous"/>
    </xf>
    <xf numFmtId="2" fontId="34" fillId="0" borderId="18" xfId="0" applyNumberFormat="1" applyFont="1" applyBorder="1" applyAlignment="1">
      <alignment horizontal="centerContinuous"/>
    </xf>
    <xf numFmtId="44" fontId="34" fillId="0" borderId="1" xfId="2" applyFont="1" applyBorder="1"/>
    <xf numFmtId="2" fontId="34" fillId="0" borderId="3" xfId="0" applyNumberFormat="1" applyFont="1" applyBorder="1" applyAlignment="1">
      <alignment horizontal="center"/>
    </xf>
    <xf numFmtId="44" fontId="34" fillId="0" borderId="3" xfId="2" applyFont="1" applyBorder="1"/>
    <xf numFmtId="164" fontId="12" fillId="0" borderId="2" xfId="0" applyNumberFormat="1" applyFont="1" applyBorder="1"/>
    <xf numFmtId="164" fontId="12" fillId="0" borderId="19" xfId="0" applyNumberFormat="1" applyFont="1" applyBorder="1"/>
    <xf numFmtId="6" fontId="12" fillId="0" borderId="1" xfId="2" applyNumberFormat="1" applyFont="1" applyBorder="1"/>
    <xf numFmtId="44" fontId="25" fillId="8" borderId="18" xfId="0" applyNumberFormat="1" applyFont="1" applyFill="1" applyBorder="1" applyAlignment="1">
      <alignment horizontal="center"/>
    </xf>
    <xf numFmtId="44" fontId="43" fillId="9" borderId="18" xfId="0" applyNumberFormat="1" applyFont="1" applyFill="1" applyBorder="1" applyAlignment="1">
      <alignment horizontal="left"/>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2" fillId="6" borderId="2" xfId="0" applyNumberFormat="1" applyFont="1" applyFill="1" applyBorder="1"/>
    <xf numFmtId="0" fontId="27" fillId="0" borderId="11" xfId="0" applyFont="1" applyBorder="1"/>
    <xf numFmtId="0" fontId="36" fillId="0" borderId="0" xfId="0" applyFont="1"/>
    <xf numFmtId="0" fontId="25" fillId="0" borderId="20" xfId="0" applyFont="1" applyBorder="1"/>
    <xf numFmtId="0" fontId="25" fillId="0" borderId="21" xfId="0" applyFont="1" applyBorder="1"/>
    <xf numFmtId="0" fontId="16" fillId="5" borderId="22" xfId="0" applyFont="1" applyFill="1" applyBorder="1" applyAlignment="1">
      <alignment vertical="center" wrapText="1"/>
    </xf>
    <xf numFmtId="0" fontId="13" fillId="5" borderId="14" xfId="0" applyFont="1" applyFill="1" applyBorder="1" applyAlignment="1">
      <alignment horizontal="center" vertical="center" wrapText="1"/>
    </xf>
    <xf numFmtId="0" fontId="13" fillId="5" borderId="23" xfId="0" applyFont="1" applyFill="1" applyBorder="1" applyAlignment="1">
      <alignment horizontal="center" vertical="center" wrapText="1"/>
    </xf>
    <xf numFmtId="0" fontId="12" fillId="6" borderId="1" xfId="0" applyFont="1" applyFill="1" applyBorder="1" applyAlignment="1">
      <alignment horizontal="left" vertical="center" wrapText="1"/>
    </xf>
    <xf numFmtId="0" fontId="12" fillId="6" borderId="24" xfId="0" applyFont="1" applyFill="1" applyBorder="1" applyAlignment="1">
      <alignment horizontal="left" vertical="center" wrapText="1"/>
    </xf>
    <xf numFmtId="9" fontId="12" fillId="6" borderId="1" xfId="3" applyFont="1" applyFill="1" applyBorder="1" applyAlignment="1">
      <alignment horizontal="left" vertical="center" wrapText="1"/>
    </xf>
    <xf numFmtId="0" fontId="12" fillId="6" borderId="24" xfId="0" applyFont="1" applyFill="1" applyBorder="1" applyAlignment="1">
      <alignment horizontal="left" vertical="center"/>
    </xf>
    <xf numFmtId="0" fontId="12" fillId="6" borderId="1" xfId="0" applyFont="1" applyFill="1" applyBorder="1" applyAlignment="1">
      <alignment horizontal="left"/>
    </xf>
    <xf numFmtId="0" fontId="12" fillId="6" borderId="24" xfId="0" applyFont="1" applyFill="1" applyBorder="1" applyAlignment="1">
      <alignment horizontal="left"/>
    </xf>
    <xf numFmtId="10" fontId="12" fillId="6" borderId="25" xfId="3" applyNumberFormat="1" applyFont="1" applyFill="1" applyBorder="1" applyAlignment="1">
      <alignment horizontal="left"/>
    </xf>
    <xf numFmtId="0" fontId="12" fillId="6" borderId="26" xfId="0" applyFont="1" applyFill="1" applyBorder="1" applyAlignment="1">
      <alignment horizontal="left"/>
    </xf>
    <xf numFmtId="0" fontId="12" fillId="5" borderId="22" xfId="0" applyFont="1" applyFill="1" applyBorder="1" applyAlignment="1">
      <alignment vertical="center"/>
    </xf>
    <xf numFmtId="0" fontId="12" fillId="5" borderId="27" xfId="0" applyFont="1" applyFill="1" applyBorder="1"/>
    <xf numFmtId="0" fontId="12" fillId="5" borderId="28" xfId="0" applyFont="1" applyFill="1" applyBorder="1"/>
    <xf numFmtId="164" fontId="2" fillId="0" borderId="0" xfId="0" applyNumberFormat="1" applyFont="1" applyAlignment="1">
      <alignment horizontal="center"/>
    </xf>
    <xf numFmtId="164" fontId="2" fillId="0" borderId="0" xfId="0" applyNumberFormat="1" applyFont="1"/>
    <xf numFmtId="17" fontId="24" fillId="4" borderId="1" xfId="0" applyNumberFormat="1" applyFont="1" applyFill="1" applyBorder="1" applyAlignment="1">
      <alignment horizontal="center"/>
    </xf>
    <xf numFmtId="0" fontId="45" fillId="4" borderId="1" xfId="0" applyFont="1" applyFill="1" applyBorder="1" applyAlignment="1">
      <alignment horizontal="center"/>
    </xf>
    <xf numFmtId="10" fontId="12" fillId="4" borderId="1" xfId="0" applyNumberFormat="1" applyFont="1" applyFill="1" applyBorder="1" applyAlignment="1">
      <alignment horizontal="center"/>
    </xf>
    <xf numFmtId="10" fontId="12" fillId="6" borderId="1" xfId="0" applyNumberFormat="1" applyFont="1" applyFill="1" applyBorder="1" applyAlignment="1">
      <alignment horizontal="center"/>
    </xf>
    <xf numFmtId="166" fontId="12" fillId="3" borderId="1" xfId="0" applyNumberFormat="1" applyFont="1" applyFill="1" applyBorder="1"/>
    <xf numFmtId="0" fontId="46" fillId="0" borderId="1" xfId="0" applyFont="1" applyBorder="1" applyAlignment="1">
      <alignment horizontal="center"/>
    </xf>
    <xf numFmtId="9" fontId="12" fillId="6" borderId="1" xfId="0" applyNumberFormat="1" applyFont="1" applyFill="1" applyBorder="1" applyAlignment="1">
      <alignment horizontal="center"/>
    </xf>
    <xf numFmtId="0" fontId="12" fillId="6" borderId="2" xfId="0" applyFont="1" applyFill="1" applyBorder="1" applyAlignment="1">
      <alignment horizontal="center"/>
    </xf>
    <xf numFmtId="0" fontId="37" fillId="0" borderId="0" xfId="0" applyFont="1"/>
    <xf numFmtId="2" fontId="12" fillId="4" borderId="1" xfId="0" applyNumberFormat="1" applyFont="1" applyFill="1" applyBorder="1"/>
    <xf numFmtId="0" fontId="28" fillId="0" borderId="0" xfId="0" applyFont="1" applyAlignment="1">
      <alignment horizontal="left"/>
    </xf>
    <xf numFmtId="164" fontId="0" fillId="6" borderId="1" xfId="0" applyNumberFormat="1" applyFill="1" applyBorder="1"/>
    <xf numFmtId="0" fontId="13" fillId="5" borderId="0" xfId="0" applyFont="1" applyFill="1"/>
    <xf numFmtId="0" fontId="37" fillId="5" borderId="0" xfId="0" applyFont="1" applyFill="1"/>
    <xf numFmtId="0" fontId="27" fillId="0" borderId="1" xfId="0" applyFont="1" applyBorder="1"/>
    <xf numFmtId="0" fontId="27" fillId="0" borderId="8" xfId="0" applyFont="1" applyBorder="1"/>
    <xf numFmtId="0" fontId="25" fillId="0" borderId="29" xfId="0" applyFont="1" applyBorder="1"/>
    <xf numFmtId="0" fontId="41" fillId="0" borderId="0" xfId="0" applyFont="1"/>
    <xf numFmtId="0" fontId="7" fillId="4" borderId="1" xfId="0" applyFont="1" applyFill="1" applyBorder="1" applyAlignment="1">
      <alignment horizontal="center"/>
    </xf>
    <xf numFmtId="9" fontId="7" fillId="4" borderId="1" xfId="0" applyNumberFormat="1" applyFont="1" applyFill="1" applyBorder="1" applyAlignment="1">
      <alignment horizontal="center"/>
    </xf>
    <xf numFmtId="0" fontId="2" fillId="0" borderId="1" xfId="0" applyFont="1" applyBorder="1"/>
    <xf numFmtId="10" fontId="25" fillId="4" borderId="1" xfId="3" applyNumberFormat="1" applyFont="1" applyFill="1" applyBorder="1" applyAlignment="1">
      <alignment horizontal="center"/>
    </xf>
    <xf numFmtId="164" fontId="25" fillId="0" borderId="0" xfId="0" applyNumberFormat="1" applyFont="1" applyAlignment="1">
      <alignment horizontal="center"/>
    </xf>
    <xf numFmtId="2" fontId="25" fillId="0" borderId="0" xfId="0" applyNumberFormat="1" applyFont="1" applyAlignment="1">
      <alignment horizontal="center"/>
    </xf>
    <xf numFmtId="168" fontId="25" fillId="10" borderId="1" xfId="0" applyNumberFormat="1" applyFont="1" applyFill="1" applyBorder="1"/>
    <xf numFmtId="10" fontId="25" fillId="10" borderId="1" xfId="0" applyNumberFormat="1" applyFont="1" applyFill="1" applyBorder="1"/>
    <xf numFmtId="10" fontId="25" fillId="10" borderId="1" xfId="3" applyNumberFormat="1" applyFont="1" applyFill="1" applyBorder="1"/>
    <xf numFmtId="2" fontId="25" fillId="10" borderId="1" xfId="0" applyNumberFormat="1" applyFont="1" applyFill="1" applyBorder="1"/>
    <xf numFmtId="10" fontId="25" fillId="10" borderId="3" xfId="3" applyNumberFormat="1" applyFont="1" applyFill="1" applyBorder="1"/>
    <xf numFmtId="10" fontId="25" fillId="10" borderId="25" xfId="3" applyNumberFormat="1" applyFont="1" applyFill="1" applyBorder="1"/>
    <xf numFmtId="0" fontId="7" fillId="0" borderId="1" xfId="0" applyFont="1" applyBorder="1"/>
    <xf numFmtId="0" fontId="47" fillId="0" borderId="0" xfId="0" applyFont="1"/>
    <xf numFmtId="0" fontId="48" fillId="0" borderId="0" xfId="0" applyFont="1"/>
    <xf numFmtId="0" fontId="48" fillId="0" borderId="0" xfId="0" applyFont="1" applyAlignment="1">
      <alignment horizontal="left"/>
    </xf>
    <xf numFmtId="0" fontId="38" fillId="0" borderId="1" xfId="0" applyFont="1" applyBorder="1" applyAlignment="1">
      <alignment horizontal="center"/>
    </xf>
    <xf numFmtId="0" fontId="0" fillId="4" borderId="1" xfId="0" applyFill="1" applyBorder="1"/>
    <xf numFmtId="10" fontId="12" fillId="4" borderId="1" xfId="0" applyNumberFormat="1" applyFont="1" applyFill="1" applyBorder="1"/>
    <xf numFmtId="44" fontId="3" fillId="4" borderId="1" xfId="2" applyFont="1" applyFill="1" applyBorder="1" applyAlignment="1">
      <alignment horizontal="center"/>
    </xf>
    <xf numFmtId="0" fontId="46" fillId="4" borderId="1" xfId="0" applyFont="1" applyFill="1" applyBorder="1"/>
    <xf numFmtId="170" fontId="38" fillId="0" borderId="0" xfId="0" applyNumberFormat="1" applyFont="1" applyAlignment="1">
      <alignment horizontal="right"/>
    </xf>
    <xf numFmtId="44" fontId="0" fillId="0" borderId="0" xfId="0" applyNumberFormat="1"/>
    <xf numFmtId="0" fontId="2" fillId="0" borderId="1" xfId="0" applyFont="1" applyBorder="1" applyAlignment="1">
      <alignment horizontal="center"/>
    </xf>
    <xf numFmtId="0" fontId="2" fillId="0" borderId="0" xfId="0" applyFont="1" applyAlignment="1">
      <alignment wrapText="1"/>
    </xf>
    <xf numFmtId="10" fontId="0" fillId="4" borderId="1" xfId="0" applyNumberFormat="1" applyFill="1" applyBorder="1"/>
    <xf numFmtId="0" fontId="57" fillId="0" borderId="0" xfId="0" applyFont="1"/>
    <xf numFmtId="0" fontId="33" fillId="0" borderId="0" xfId="0" applyFont="1" applyAlignment="1">
      <alignment horizontal="left"/>
    </xf>
    <xf numFmtId="10" fontId="33" fillId="0" borderId="0" xfId="0" applyNumberFormat="1" applyFont="1"/>
    <xf numFmtId="2" fontId="33" fillId="0" borderId="0" xfId="0" applyNumberFormat="1" applyFont="1"/>
    <xf numFmtId="10" fontId="38" fillId="0" borderId="0" xfId="0" applyNumberFormat="1" applyFont="1"/>
    <xf numFmtId="170" fontId="58" fillId="4" borderId="1" xfId="0" applyNumberFormat="1" applyFont="1" applyFill="1" applyBorder="1" applyAlignment="1">
      <alignment horizontal="right" vertical="top" wrapText="1"/>
    </xf>
    <xf numFmtId="44" fontId="25" fillId="0" borderId="0" xfId="0" applyNumberFormat="1" applyFont="1"/>
    <xf numFmtId="2" fontId="25" fillId="0" borderId="1" xfId="0" applyNumberFormat="1" applyFont="1" applyBorder="1" applyAlignment="1">
      <alignment horizontal="center"/>
    </xf>
    <xf numFmtId="0" fontId="59" fillId="0" borderId="0" xfId="0" applyFont="1"/>
    <xf numFmtId="9" fontId="0" fillId="0" borderId="0" xfId="0" applyNumberFormat="1"/>
    <xf numFmtId="0" fontId="0" fillId="0" borderId="1" xfId="0" applyBorder="1" applyAlignment="1">
      <alignment horizontal="left"/>
    </xf>
    <xf numFmtId="0" fontId="2" fillId="0" borderId="0" xfId="0" applyFont="1" applyAlignment="1">
      <alignment horizontal="left"/>
    </xf>
    <xf numFmtId="0" fontId="0" fillId="0" borderId="18" xfId="0" applyBorder="1" applyAlignment="1">
      <alignment horizontal="left"/>
    </xf>
    <xf numFmtId="10" fontId="0" fillId="12" borderId="1" xfId="0" applyNumberFormat="1" applyFill="1" applyBorder="1" applyAlignment="1">
      <alignment horizontal="center"/>
    </xf>
    <xf numFmtId="0" fontId="2" fillId="0" borderId="0" xfId="0" applyFont="1" applyAlignment="1">
      <alignment horizontal="center"/>
    </xf>
    <xf numFmtId="0" fontId="2" fillId="12" borderId="1" xfId="0" applyFont="1" applyFill="1" applyBorder="1" applyAlignment="1">
      <alignment horizontal="center"/>
    </xf>
    <xf numFmtId="0" fontId="0" fillId="0" borderId="13" xfId="0" applyBorder="1" applyAlignment="1">
      <alignment horizontal="left"/>
    </xf>
    <xf numFmtId="0" fontId="2" fillId="0" borderId="1" xfId="0" applyFont="1" applyBorder="1" applyAlignment="1">
      <alignment horizontal="left"/>
    </xf>
    <xf numFmtId="2" fontId="0" fillId="12" borderId="1" xfId="0" applyNumberFormat="1" applyFill="1" applyBorder="1" applyAlignment="1">
      <alignment horizontal="center"/>
    </xf>
    <xf numFmtId="0" fontId="0" fillId="4" borderId="1" xfId="0" applyFill="1" applyBorder="1" applyAlignment="1">
      <alignment horizontal="center"/>
    </xf>
    <xf numFmtId="2" fontId="0" fillId="4" borderId="1" xfId="0" applyNumberFormat="1" applyFill="1" applyBorder="1" applyAlignment="1">
      <alignment horizontal="center"/>
    </xf>
    <xf numFmtId="9" fontId="0" fillId="0" borderId="1" xfId="0" applyNumberFormat="1" applyBorder="1"/>
    <xf numFmtId="10" fontId="60" fillId="10" borderId="1" xfId="0" applyNumberFormat="1" applyFont="1" applyFill="1" applyBorder="1" applyAlignment="1">
      <alignment horizontal="center"/>
    </xf>
    <xf numFmtId="44" fontId="0" fillId="10" borderId="1" xfId="0" applyNumberFormat="1" applyFill="1" applyBorder="1" applyAlignment="1">
      <alignment horizontal="center"/>
    </xf>
    <xf numFmtId="9" fontId="0" fillId="12" borderId="1" xfId="0" applyNumberFormat="1" applyFill="1" applyBorder="1" applyAlignment="1">
      <alignment horizontal="center"/>
    </xf>
    <xf numFmtId="44" fontId="0" fillId="10" borderId="1" xfId="3" applyNumberFormat="1" applyFont="1" applyFill="1" applyBorder="1" applyAlignment="1">
      <alignment horizontal="center"/>
    </xf>
    <xf numFmtId="10" fontId="0" fillId="10" borderId="1" xfId="0" applyNumberFormat="1" applyFill="1" applyBorder="1" applyAlignment="1">
      <alignment horizontal="center"/>
    </xf>
    <xf numFmtId="2" fontId="0" fillId="10" borderId="1" xfId="0" applyNumberFormat="1" applyFill="1" applyBorder="1" applyAlignment="1">
      <alignment horizontal="center"/>
    </xf>
    <xf numFmtId="10" fontId="0" fillId="4" borderId="1" xfId="0" applyNumberFormat="1" applyFill="1" applyBorder="1" applyAlignment="1">
      <alignment horizontal="center"/>
    </xf>
    <xf numFmtId="44" fontId="0" fillId="0" borderId="0" xfId="0" applyNumberFormat="1" applyAlignment="1">
      <alignment horizontal="center"/>
    </xf>
    <xf numFmtId="0" fontId="25" fillId="0" borderId="10" xfId="0" applyFont="1" applyBorder="1"/>
    <xf numFmtId="44" fontId="25" fillId="10" borderId="1" xfId="0" applyNumberFormat="1" applyFont="1" applyFill="1" applyBorder="1"/>
    <xf numFmtId="0" fontId="63" fillId="0" borderId="0" xfId="0" applyFont="1"/>
    <xf numFmtId="0" fontId="21" fillId="0" borderId="13" xfId="0" applyFont="1" applyBorder="1" applyAlignment="1">
      <alignment horizontal="center"/>
    </xf>
    <xf numFmtId="10" fontId="0" fillId="0" borderId="0" xfId="0" applyNumberFormat="1" applyAlignment="1">
      <alignment horizontal="center"/>
    </xf>
    <xf numFmtId="0" fontId="64" fillId="0" borderId="1" xfId="0" applyFont="1" applyBorder="1" applyAlignment="1">
      <alignment horizontal="center" wrapText="1"/>
    </xf>
    <xf numFmtId="44" fontId="0" fillId="0" borderId="1" xfId="0" applyNumberFormat="1" applyBorder="1" applyAlignment="1">
      <alignment horizontal="center"/>
    </xf>
    <xf numFmtId="172" fontId="0" fillId="12" borderId="1" xfId="0" applyNumberFormat="1" applyFill="1" applyBorder="1" applyAlignment="1">
      <alignment horizontal="center"/>
    </xf>
    <xf numFmtId="172" fontId="0" fillId="4" borderId="1" xfId="0" applyNumberFormat="1" applyFill="1" applyBorder="1" applyAlignment="1">
      <alignment horizontal="center"/>
    </xf>
    <xf numFmtId="44" fontId="22" fillId="6" borderId="3" xfId="2" applyFont="1" applyFill="1" applyBorder="1"/>
    <xf numFmtId="44" fontId="22" fillId="6" borderId="3" xfId="2" applyFont="1" applyFill="1" applyBorder="1" applyAlignment="1">
      <alignment horizontal="center"/>
    </xf>
    <xf numFmtId="10" fontId="22" fillId="6" borderId="14" xfId="3" applyNumberFormat="1" applyFont="1" applyFill="1" applyBorder="1"/>
    <xf numFmtId="10" fontId="22" fillId="6" borderId="14" xfId="3" applyNumberFormat="1" applyFont="1" applyFill="1" applyBorder="1" applyAlignment="1">
      <alignment horizontal="center"/>
    </xf>
    <xf numFmtId="0" fontId="66" fillId="0" borderId="0" xfId="0" applyFont="1"/>
    <xf numFmtId="0" fontId="0" fillId="0" borderId="33" xfId="0" applyBorder="1"/>
    <xf numFmtId="0" fontId="0" fillId="10" borderId="1" xfId="0" applyFill="1" applyBorder="1" applyAlignment="1">
      <alignment horizontal="center"/>
    </xf>
    <xf numFmtId="44" fontId="60" fillId="4" borderId="1" xfId="0" applyNumberFormat="1" applyFont="1" applyFill="1" applyBorder="1" applyAlignment="1">
      <alignment horizontal="center"/>
    </xf>
    <xf numFmtId="9" fontId="0" fillId="4" borderId="1" xfId="0" applyNumberFormat="1" applyFill="1" applyBorder="1" applyAlignment="1">
      <alignment horizontal="center"/>
    </xf>
    <xf numFmtId="44" fontId="65" fillId="13" borderId="1" xfId="2" applyFont="1" applyFill="1" applyBorder="1" applyAlignment="1">
      <alignment horizontal="center"/>
    </xf>
    <xf numFmtId="44" fontId="65" fillId="13" borderId="36" xfId="2" applyFont="1" applyFill="1" applyBorder="1"/>
    <xf numFmtId="44" fontId="22" fillId="0" borderId="0" xfId="0" applyNumberFormat="1" applyFont="1" applyAlignment="1">
      <alignment horizontal="center"/>
    </xf>
    <xf numFmtId="0" fontId="65" fillId="13" borderId="0" xfId="0" applyFont="1" applyFill="1"/>
    <xf numFmtId="44" fontId="65" fillId="13" borderId="1" xfId="2" applyFont="1" applyFill="1" applyBorder="1"/>
    <xf numFmtId="0" fontId="65" fillId="13" borderId="34" xfId="0" applyFont="1" applyFill="1" applyBorder="1"/>
    <xf numFmtId="0" fontId="65" fillId="0" borderId="0" xfId="0" applyFont="1" applyAlignment="1">
      <alignment horizontal="center"/>
    </xf>
    <xf numFmtId="0" fontId="65" fillId="0" borderId="0" xfId="0" applyFont="1"/>
    <xf numFmtId="0" fontId="65" fillId="6" borderId="1" xfId="0" applyFont="1" applyFill="1" applyBorder="1"/>
    <xf numFmtId="0" fontId="65" fillId="6" borderId="1" xfId="0" applyFont="1" applyFill="1" applyBorder="1" applyAlignment="1">
      <alignment horizontal="center"/>
    </xf>
    <xf numFmtId="10" fontId="65" fillId="13" borderId="1" xfId="3" applyNumberFormat="1" applyFont="1" applyFill="1" applyBorder="1"/>
    <xf numFmtId="10" fontId="65" fillId="13" borderId="1" xfId="3" applyNumberFormat="1" applyFont="1" applyFill="1" applyBorder="1" applyAlignment="1">
      <alignment horizontal="center"/>
    </xf>
    <xf numFmtId="17" fontId="68" fillId="13" borderId="37" xfId="0" applyNumberFormat="1" applyFont="1" applyFill="1" applyBorder="1"/>
    <xf numFmtId="0" fontId="69" fillId="13" borderId="37" xfId="0" applyFont="1" applyFill="1" applyBorder="1"/>
    <xf numFmtId="0" fontId="70" fillId="13" borderId="37" xfId="0" applyFont="1" applyFill="1" applyBorder="1" applyAlignment="1">
      <alignment horizontal="center"/>
    </xf>
    <xf numFmtId="16" fontId="70" fillId="13" borderId="37" xfId="0" applyNumberFormat="1" applyFont="1" applyFill="1" applyBorder="1" applyAlignment="1">
      <alignment horizontal="center"/>
    </xf>
    <xf numFmtId="168" fontId="69" fillId="13" borderId="37" xfId="2" applyNumberFormat="1" applyFont="1" applyFill="1" applyBorder="1" applyAlignment="1">
      <alignment horizontal="center"/>
    </xf>
    <xf numFmtId="10" fontId="69" fillId="13" borderId="37" xfId="0" applyNumberFormat="1" applyFont="1" applyFill="1" applyBorder="1" applyAlignment="1">
      <alignment horizontal="center"/>
    </xf>
    <xf numFmtId="0" fontId="69" fillId="13" borderId="37" xfId="0" applyFont="1" applyFill="1" applyBorder="1" applyAlignment="1">
      <alignment horizontal="center"/>
    </xf>
    <xf numFmtId="0" fontId="69" fillId="13" borderId="37" xfId="0" applyFont="1" applyFill="1" applyBorder="1" applyAlignment="1">
      <alignment horizontal="left" wrapText="1"/>
    </xf>
    <xf numFmtId="0" fontId="69" fillId="13" borderId="37" xfId="0" applyFont="1" applyFill="1" applyBorder="1" applyAlignment="1">
      <alignment wrapText="1"/>
    </xf>
    <xf numFmtId="2" fontId="69" fillId="13" borderId="37" xfId="0" applyNumberFormat="1" applyFont="1" applyFill="1" applyBorder="1"/>
    <xf numFmtId="2" fontId="69" fillId="13" borderId="37" xfId="0" applyNumberFormat="1" applyFont="1" applyFill="1" applyBorder="1" applyAlignment="1">
      <alignment horizontal="left"/>
    </xf>
    <xf numFmtId="10" fontId="69" fillId="13" borderId="37" xfId="3" applyNumberFormat="1" applyFont="1" applyFill="1" applyBorder="1" applyAlignment="1">
      <alignment horizontal="right"/>
    </xf>
    <xf numFmtId="10" fontId="69" fillId="13" borderId="37" xfId="3" applyNumberFormat="1" applyFont="1" applyFill="1" applyBorder="1" applyAlignment="1">
      <alignment horizontal="center"/>
    </xf>
    <xf numFmtId="10" fontId="69" fillId="13" borderId="37" xfId="3" applyNumberFormat="1" applyFont="1" applyFill="1" applyBorder="1" applyAlignment="1">
      <alignment horizontal="left"/>
    </xf>
    <xf numFmtId="0" fontId="70" fillId="13" borderId="37" xfId="0" applyFont="1" applyFill="1" applyBorder="1"/>
    <xf numFmtId="164" fontId="70" fillId="13" borderId="37" xfId="0" applyNumberFormat="1" applyFont="1" applyFill="1" applyBorder="1" applyAlignment="1">
      <alignment horizontal="center"/>
    </xf>
    <xf numFmtId="0" fontId="69" fillId="13" borderId="37" xfId="0" applyFont="1" applyFill="1" applyBorder="1" applyAlignment="1">
      <alignment horizontal="left"/>
    </xf>
    <xf numFmtId="168" fontId="69" fillId="13" borderId="37" xfId="2" applyNumberFormat="1" applyFont="1" applyFill="1" applyBorder="1"/>
    <xf numFmtId="10" fontId="69" fillId="13" borderId="37" xfId="0" applyNumberFormat="1" applyFont="1" applyFill="1" applyBorder="1" applyAlignment="1">
      <alignment horizontal="left"/>
    </xf>
    <xf numFmtId="43" fontId="69" fillId="13" borderId="37" xfId="0" applyNumberFormat="1" applyFont="1" applyFill="1" applyBorder="1"/>
    <xf numFmtId="44" fontId="69" fillId="13" borderId="37" xfId="2" applyFont="1" applyFill="1" applyBorder="1"/>
    <xf numFmtId="164" fontId="69" fillId="13" borderId="37" xfId="0" applyNumberFormat="1" applyFont="1" applyFill="1" applyBorder="1" applyAlignment="1">
      <alignment horizontal="left"/>
    </xf>
    <xf numFmtId="172" fontId="69" fillId="13" borderId="37" xfId="2" applyNumberFormat="1" applyFont="1" applyFill="1" applyBorder="1"/>
    <xf numFmtId="172" fontId="69" fillId="13" borderId="37" xfId="2" applyNumberFormat="1" applyFont="1" applyFill="1" applyBorder="1" applyAlignment="1">
      <alignment horizontal="center"/>
    </xf>
    <xf numFmtId="168" fontId="0" fillId="0" borderId="0" xfId="2" applyNumberFormat="1" applyFont="1"/>
    <xf numFmtId="10" fontId="22" fillId="6" borderId="13" xfId="3" applyNumberFormat="1" applyFont="1" applyFill="1" applyBorder="1" applyAlignment="1">
      <alignment horizontal="center"/>
    </xf>
    <xf numFmtId="44" fontId="22" fillId="6" borderId="13" xfId="2" applyFont="1" applyFill="1" applyBorder="1" applyAlignment="1">
      <alignment horizontal="center"/>
    </xf>
    <xf numFmtId="44" fontId="65" fillId="13" borderId="38" xfId="2" applyFont="1" applyFill="1" applyBorder="1"/>
    <xf numFmtId="10" fontId="22" fillId="6" borderId="39" xfId="3" applyNumberFormat="1" applyFont="1" applyFill="1" applyBorder="1" applyAlignment="1">
      <alignment horizontal="center"/>
    </xf>
    <xf numFmtId="44" fontId="65" fillId="13" borderId="13" xfId="2" applyFont="1" applyFill="1" applyBorder="1" applyAlignment="1">
      <alignment horizontal="center"/>
    </xf>
    <xf numFmtId="10" fontId="22" fillId="6" borderId="13" xfId="2" applyNumberFormat="1" applyFont="1" applyFill="1" applyBorder="1" applyAlignment="1">
      <alignment horizontal="center"/>
    </xf>
    <xf numFmtId="0" fontId="65" fillId="6" borderId="13" xfId="0" applyFont="1" applyFill="1" applyBorder="1" applyAlignment="1">
      <alignment horizontal="center"/>
    </xf>
    <xf numFmtId="10" fontId="65" fillId="13" borderId="13" xfId="3" applyNumberFormat="1" applyFont="1" applyFill="1" applyBorder="1" applyAlignment="1">
      <alignment horizontal="center"/>
    </xf>
    <xf numFmtId="169" fontId="22" fillId="6" borderId="13" xfId="0" applyNumberFormat="1" applyFont="1" applyFill="1" applyBorder="1" applyAlignment="1">
      <alignment horizontal="center"/>
    </xf>
    <xf numFmtId="44" fontId="0" fillId="7" borderId="18" xfId="0" applyNumberFormat="1" applyFill="1" applyBorder="1"/>
    <xf numFmtId="0" fontId="65" fillId="13" borderId="37" xfId="0" applyFont="1" applyFill="1" applyBorder="1" applyAlignment="1">
      <alignment horizontal="center"/>
    </xf>
    <xf numFmtId="10" fontId="65" fillId="13" borderId="37" xfId="0" applyNumberFormat="1" applyFont="1" applyFill="1" applyBorder="1" applyAlignment="1">
      <alignment horizontal="center"/>
    </xf>
    <xf numFmtId="44" fontId="65" fillId="13" borderId="37" xfId="2" applyFont="1" applyFill="1" applyBorder="1" applyAlignment="1">
      <alignment horizontal="center"/>
    </xf>
    <xf numFmtId="44" fontId="65" fillId="13" borderId="37" xfId="2" applyFont="1" applyFill="1" applyBorder="1"/>
    <xf numFmtId="10" fontId="65" fillId="13" borderId="37" xfId="2" applyNumberFormat="1" applyFont="1" applyFill="1" applyBorder="1" applyAlignment="1">
      <alignment horizontal="center"/>
    </xf>
    <xf numFmtId="44" fontId="65" fillId="13" borderId="37" xfId="0" applyNumberFormat="1" applyFont="1" applyFill="1" applyBorder="1" applyAlignment="1">
      <alignment horizontal="center"/>
    </xf>
    <xf numFmtId="0" fontId="21" fillId="12" borderId="1" xfId="0" applyFont="1" applyFill="1" applyBorder="1"/>
    <xf numFmtId="0" fontId="22" fillId="12" borderId="1" xfId="0" applyFont="1" applyFill="1" applyBorder="1" applyAlignment="1">
      <alignment horizontal="center"/>
    </xf>
    <xf numFmtId="0" fontId="21" fillId="12" borderId="1" xfId="0" applyFont="1" applyFill="1" applyBorder="1" applyAlignment="1">
      <alignment horizontal="center"/>
    </xf>
    <xf numFmtId="0" fontId="22" fillId="12" borderId="1" xfId="0" applyFont="1" applyFill="1" applyBorder="1"/>
    <xf numFmtId="0" fontId="48" fillId="0" borderId="1" xfId="0" applyFont="1" applyBorder="1" applyAlignment="1">
      <alignment horizontal="center"/>
    </xf>
    <xf numFmtId="10" fontId="48" fillId="0" borderId="1" xfId="0" applyNumberFormat="1" applyFont="1" applyBorder="1" applyAlignment="1">
      <alignment horizontal="center"/>
    </xf>
    <xf numFmtId="0" fontId="1" fillId="14" borderId="1" xfId="0" applyFont="1" applyFill="1" applyBorder="1"/>
    <xf numFmtId="0" fontId="1" fillId="12" borderId="1" xfId="0" applyFont="1" applyFill="1" applyBorder="1"/>
    <xf numFmtId="0" fontId="71" fillId="12" borderId="40" xfId="0" applyFont="1" applyFill="1" applyBorder="1" applyAlignment="1">
      <alignment horizontal="left"/>
    </xf>
    <xf numFmtId="0" fontId="71" fillId="0" borderId="40" xfId="0" applyFont="1" applyBorder="1" applyAlignment="1">
      <alignment horizontal="left"/>
    </xf>
    <xf numFmtId="0" fontId="64" fillId="0" borderId="41" xfId="0" applyFont="1" applyBorder="1"/>
    <xf numFmtId="0" fontId="64" fillId="0" borderId="41" xfId="0" applyFont="1" applyBorder="1" applyAlignment="1">
      <alignment horizontal="center"/>
    </xf>
    <xf numFmtId="0" fontId="0" fillId="0" borderId="41" xfId="0" applyBorder="1"/>
    <xf numFmtId="10" fontId="0" fillId="0" borderId="41" xfId="0" applyNumberFormat="1" applyBorder="1" applyAlignment="1">
      <alignment horizontal="center"/>
    </xf>
    <xf numFmtId="0" fontId="64" fillId="0" borderId="1" xfId="0" applyFont="1" applyBorder="1" applyAlignment="1">
      <alignment wrapText="1"/>
    </xf>
    <xf numFmtId="10" fontId="64" fillId="0" borderId="1" xfId="0" applyNumberFormat="1" applyFont="1" applyBorder="1" applyAlignment="1">
      <alignment horizontal="center" wrapText="1"/>
    </xf>
    <xf numFmtId="2" fontId="64" fillId="0" borderId="1" xfId="0" applyNumberFormat="1" applyFont="1" applyBorder="1" applyAlignment="1">
      <alignment horizontal="center" wrapText="1"/>
    </xf>
    <xf numFmtId="10" fontId="74" fillId="0" borderId="30" xfId="3" applyNumberFormat="1" applyFont="1" applyBorder="1" applyAlignment="1">
      <alignment horizontal="center"/>
    </xf>
    <xf numFmtId="0" fontId="75" fillId="0" borderId="0" xfId="0" applyFont="1"/>
    <xf numFmtId="0" fontId="26" fillId="0" borderId="0" xfId="0" applyFont="1"/>
    <xf numFmtId="0" fontId="24" fillId="0" borderId="34" xfId="0" applyFont="1" applyBorder="1" applyAlignment="1">
      <alignment horizontal="center"/>
    </xf>
    <xf numFmtId="0" fontId="24" fillId="0" borderId="9" xfId="0" applyFont="1" applyBorder="1" applyAlignment="1">
      <alignment horizontal="center"/>
    </xf>
    <xf numFmtId="0" fontId="24" fillId="0" borderId="32" xfId="0" applyFont="1" applyBorder="1" applyAlignment="1">
      <alignment horizontal="center"/>
    </xf>
    <xf numFmtId="0" fontId="24" fillId="0" borderId="31" xfId="0" applyFont="1" applyBorder="1" applyAlignment="1">
      <alignment horizontal="center"/>
    </xf>
    <xf numFmtId="0" fontId="24" fillId="0" borderId="10" xfId="0" applyFont="1" applyBorder="1" applyAlignment="1">
      <alignment horizontal="center"/>
    </xf>
    <xf numFmtId="0" fontId="24" fillId="0" borderId="6" xfId="0" applyFont="1" applyBorder="1" applyAlignment="1">
      <alignment horizontal="center"/>
    </xf>
    <xf numFmtId="0" fontId="24" fillId="0" borderId="7" xfId="0" applyFont="1" applyBorder="1" applyAlignment="1">
      <alignment horizontal="center"/>
    </xf>
    <xf numFmtId="0" fontId="43" fillId="0" borderId="20" xfId="0" applyFont="1" applyBorder="1" applyAlignment="1">
      <alignment horizontal="left" vertical="center"/>
    </xf>
    <xf numFmtId="0" fontId="69" fillId="13" borderId="37" xfId="0" applyFont="1" applyFill="1" applyBorder="1" applyAlignment="1">
      <alignment horizontal="left"/>
    </xf>
    <xf numFmtId="0" fontId="69" fillId="13" borderId="37" xfId="0" applyFont="1" applyFill="1" applyBorder="1" applyAlignment="1">
      <alignment horizontal="left" vertical="top" wrapText="1"/>
    </xf>
    <xf numFmtId="0" fontId="68" fillId="13" borderId="37" xfId="0" applyFont="1" applyFill="1" applyBorder="1" applyAlignment="1">
      <alignment horizontal="left" vertical="top" wrapText="1"/>
    </xf>
    <xf numFmtId="0" fontId="49" fillId="0" borderId="16" xfId="0" applyFont="1" applyBorder="1" applyAlignment="1">
      <alignment horizontal="left" wrapText="1"/>
    </xf>
    <xf numFmtId="0" fontId="50" fillId="0" borderId="16" xfId="0" applyFont="1" applyBorder="1" applyAlignment="1">
      <alignment horizontal="left" wrapText="1"/>
    </xf>
    <xf numFmtId="0" fontId="50" fillId="0" borderId="17" xfId="0" applyFont="1" applyBorder="1" applyAlignment="1">
      <alignment horizontal="left" wrapText="1"/>
    </xf>
    <xf numFmtId="0" fontId="50" fillId="0" borderId="0" xfId="0" applyFont="1" applyAlignment="1">
      <alignment horizontal="left" wrapText="1"/>
    </xf>
    <xf numFmtId="0" fontId="50" fillId="0" borderId="21" xfId="0" applyFont="1" applyBorder="1" applyAlignment="1">
      <alignment horizontal="left" wrapText="1"/>
    </xf>
    <xf numFmtId="0" fontId="50" fillId="0" borderId="35" xfId="0" applyFont="1" applyBorder="1" applyAlignment="1">
      <alignment horizontal="left" wrapText="1"/>
    </xf>
    <xf numFmtId="0" fontId="50" fillId="0" borderId="30" xfId="0" applyFont="1" applyBorder="1" applyAlignment="1">
      <alignment horizontal="left" wrapText="1"/>
    </xf>
    <xf numFmtId="0" fontId="42" fillId="0" borderId="16" xfId="0" applyFont="1" applyBorder="1" applyAlignment="1">
      <alignment horizontal="left" vertical="center" wrapText="1"/>
    </xf>
    <xf numFmtId="0" fontId="42" fillId="0" borderId="17" xfId="0" applyFont="1" applyBorder="1" applyAlignment="1">
      <alignment horizontal="left" vertical="center" wrapText="1"/>
    </xf>
    <xf numFmtId="0" fontId="42" fillId="0" borderId="0" xfId="0" applyFont="1" applyAlignment="1">
      <alignment horizontal="left" vertical="center" wrapText="1"/>
    </xf>
    <xf numFmtId="0" fontId="42" fillId="0" borderId="21" xfId="0" applyFont="1" applyBorder="1" applyAlignment="1">
      <alignment horizontal="left" vertical="center" wrapText="1"/>
    </xf>
    <xf numFmtId="0" fontId="42" fillId="0" borderId="35" xfId="0" applyFont="1" applyBorder="1" applyAlignment="1">
      <alignment horizontal="left" vertical="center" wrapText="1"/>
    </xf>
    <xf numFmtId="0" fontId="42" fillId="0" borderId="30" xfId="0" applyFont="1" applyBorder="1" applyAlignment="1">
      <alignment horizontal="left" vertical="center" wrapText="1"/>
    </xf>
    <xf numFmtId="0" fontId="51" fillId="0" borderId="16" xfId="0" applyFont="1" applyBorder="1" applyAlignment="1">
      <alignment horizontal="left" vertical="center" wrapText="1"/>
    </xf>
    <xf numFmtId="0" fontId="48" fillId="0" borderId="16" xfId="0" applyFont="1" applyBorder="1" applyAlignment="1">
      <alignment horizontal="left" vertical="center" wrapText="1"/>
    </xf>
    <xf numFmtId="0" fontId="48" fillId="0" borderId="17" xfId="0" applyFont="1" applyBorder="1" applyAlignment="1">
      <alignment horizontal="left" vertical="center" wrapText="1"/>
    </xf>
    <xf numFmtId="0" fontId="48" fillId="0" borderId="0" xfId="0" applyFont="1" applyAlignment="1">
      <alignment horizontal="left" vertical="center" wrapText="1"/>
    </xf>
    <xf numFmtId="0" fontId="48" fillId="0" borderId="21" xfId="0" applyFont="1" applyBorder="1" applyAlignment="1">
      <alignment horizontal="left" vertical="center" wrapText="1"/>
    </xf>
    <xf numFmtId="0" fontId="48" fillId="0" borderId="35" xfId="0" applyFont="1" applyBorder="1" applyAlignment="1">
      <alignment horizontal="left" vertical="center" wrapText="1"/>
    </xf>
    <xf numFmtId="0" fontId="48" fillId="0" borderId="30" xfId="0" applyFont="1" applyBorder="1" applyAlignment="1">
      <alignment horizontal="left" vertical="center" wrapText="1"/>
    </xf>
    <xf numFmtId="168" fontId="69" fillId="13" borderId="37" xfId="2" applyNumberFormat="1" applyFont="1" applyFill="1" applyBorder="1" applyAlignment="1">
      <alignment horizontal="right"/>
    </xf>
    <xf numFmtId="0" fontId="69" fillId="13" borderId="37" xfId="0" applyFont="1" applyFill="1" applyBorder="1" applyAlignment="1">
      <alignment horizontal="right"/>
    </xf>
    <xf numFmtId="0" fontId="67" fillId="13" borderId="10" xfId="0" applyFont="1" applyFill="1" applyBorder="1" applyAlignment="1">
      <alignment horizontal="center"/>
    </xf>
    <xf numFmtId="0" fontId="67" fillId="13" borderId="6" xfId="0" applyFont="1" applyFill="1" applyBorder="1" applyAlignment="1">
      <alignment horizontal="center"/>
    </xf>
    <xf numFmtId="0" fontId="67" fillId="13" borderId="7" xfId="0" applyFont="1" applyFill="1" applyBorder="1" applyAlignment="1">
      <alignment horizontal="center"/>
    </xf>
    <xf numFmtId="0" fontId="68" fillId="13" borderId="37" xfId="0" applyFont="1" applyFill="1" applyBorder="1" applyAlignment="1">
      <alignment horizontal="center"/>
    </xf>
    <xf numFmtId="10" fontId="52" fillId="0" borderId="34" xfId="0" applyNumberFormat="1" applyFont="1" applyBorder="1" applyAlignment="1">
      <alignment horizontal="center"/>
    </xf>
    <xf numFmtId="10" fontId="52" fillId="0" borderId="31" xfId="0" applyNumberFormat="1" applyFont="1" applyBorder="1" applyAlignment="1">
      <alignment horizontal="center"/>
    </xf>
    <xf numFmtId="0" fontId="12" fillId="11" borderId="0" xfId="0" applyFont="1" applyFill="1" applyAlignment="1">
      <alignment horizontal="center" vertical="center" wrapText="1"/>
    </xf>
    <xf numFmtId="0" fontId="2" fillId="12" borderId="1" xfId="0" applyFont="1" applyFill="1" applyBorder="1" applyAlignment="1">
      <alignment horizontal="left" vertical="top" wrapText="1"/>
    </xf>
    <xf numFmtId="164" fontId="0" fillId="0" borderId="20" xfId="0" applyNumberFormat="1" applyBorder="1" applyAlignment="1">
      <alignment horizontal="center" vertical="center" wrapText="1"/>
    </xf>
  </cellXfs>
  <cellStyles count="4">
    <cellStyle name="Comma" xfId="1" builtinId="3"/>
    <cellStyle name="Currency" xfId="2" builtinId="4"/>
    <cellStyle name="Normal" xfId="0" builtinId="0"/>
    <cellStyle name="Percent" xfId="3" builtinId="5"/>
  </cellStyles>
  <dxfs count="2">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6.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chartsheet" Target="chartsheets/sheet1.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autoTitleDeleted val="0"/>
    <c:plotArea>
      <c:layout/>
      <c:barChart>
        <c:barDir val="col"/>
        <c:grouping val="clustered"/>
        <c:varyColors val="0"/>
        <c:dLbls>
          <c:showLegendKey val="0"/>
          <c:showVal val="0"/>
          <c:showCatName val="0"/>
          <c:showSerName val="0"/>
          <c:showPercent val="0"/>
          <c:showBubbleSize val="0"/>
        </c:dLbls>
        <c:gapWidth val="150"/>
        <c:axId val="1"/>
        <c:axId val="2"/>
      </c:barChart>
      <c:catAx>
        <c:axId val="1"/>
        <c:scaling>
          <c:orientation val="minMax"/>
        </c:scaling>
        <c:delete val="0"/>
        <c:axPos val="b"/>
        <c:majorTickMark val="out"/>
        <c:minorTickMark val="none"/>
        <c:tickLblPos val="nextTo"/>
        <c:crossAx val="2"/>
        <c:crosses val="autoZero"/>
        <c:auto val="1"/>
        <c:lblAlgn val="ctr"/>
        <c:lblOffset val="100"/>
        <c:noMultiLvlLbl val="0"/>
      </c:catAx>
      <c:valAx>
        <c:axId val="2"/>
        <c:scaling>
          <c:orientation val="minMax"/>
        </c:scaling>
        <c:delete val="0"/>
        <c:axPos val="l"/>
        <c:majorGridlines/>
        <c:majorTickMark val="out"/>
        <c:minorTickMark val="none"/>
        <c:tickLblPos val="nextTo"/>
        <c:crossAx val="1"/>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userShapes r:id="rId1"/>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val">
        <cx:f>_xlchart.v1.2</cx:f>
      </cx:numDim>
    </cx:data>
  </cx:chartData>
  <cx:chart>
    <cx:title pos="t" align="ctr" overlay="0">
      <cx:tx>
        <cx:txData>
          <cx:v>Tesla: Value, by Business</cx:v>
        </cx:txData>
      </cx:tx>
      <cx:txPr>
        <a:bodyPr spcFirstLastPara="1" vertOverflow="ellipsis" horzOverflow="overflow" wrap="square" lIns="0" tIns="0" rIns="0" bIns="0" anchor="ctr" anchorCtr="1"/>
        <a:lstStyle/>
        <a:p>
          <a:pPr algn="ctr" rtl="0">
            <a:defRPr i="1">
              <a:latin typeface="Helvetica" pitchFamily="2" charset="0"/>
              <a:ea typeface="Helvetica" pitchFamily="2" charset="0"/>
              <a:cs typeface="Helvetica" pitchFamily="2" charset="0"/>
            </a:defRPr>
          </a:pPr>
          <a:r>
            <a:rPr lang="en-US" sz="1400" b="0" i="1" u="none" strike="noStrike" baseline="0">
              <a:solidFill>
                <a:sysClr val="windowText" lastClr="000000">
                  <a:lumMod val="65000"/>
                  <a:lumOff val="35000"/>
                </a:sysClr>
              </a:solidFill>
              <a:latin typeface="Helvetica" pitchFamily="2" charset="0"/>
            </a:rPr>
            <a:t>Tesla: Value, by Business</a:t>
          </a:r>
        </a:p>
      </cx:txPr>
    </cx:title>
    <cx:plotArea>
      <cx:plotAreaRegion>
        <cx:series layoutId="waterfall" uniqueId="{3E856C30-87C6-E641-A93F-2798B8106CB7}">
          <cx:tx>
            <cx:txData>
              <cx:f>_xlchart.v1.1</cx:f>
              <cx:v>Value</cx:v>
            </cx:txData>
          </cx:tx>
          <cx:dataPt idx="1">
            <cx:spPr>
              <a:solidFill>
                <a:srgbClr val="FF0000"/>
              </a:solidFill>
            </cx:spPr>
          </cx:dataPt>
          <cx:dataPt idx="2">
            <cx:spPr>
              <a:solidFill>
                <a:srgbClr val="00B050"/>
              </a:solidFill>
            </cx:spPr>
          </cx:dataPt>
          <cx:dataPt idx="3">
            <cx:spPr>
              <a:solidFill>
                <a:srgbClr val="002060"/>
              </a:solidFill>
            </cx:spPr>
          </cx:dataPt>
          <cx:dataLabels pos="outEnd">
            <cx:txPr>
              <a:bodyPr vertOverflow="overflow" horzOverflow="overflow" wrap="square" lIns="0" tIns="0" rIns="0" bIns="0"/>
              <a:lstStyle/>
              <a:p>
                <a:pPr algn="ctr" rtl="0">
                  <a:defRPr sz="900" b="0" i="0">
                    <a:solidFill>
                      <a:srgbClr val="595959"/>
                    </a:solidFill>
                    <a:latin typeface="Helvetica" pitchFamily="2" charset="0"/>
                    <a:ea typeface="Helvetica" pitchFamily="2" charset="0"/>
                    <a:cs typeface="Helvetica" pitchFamily="2" charset="0"/>
                  </a:defRPr>
                </a:pPr>
                <a:endParaRPr lang="en-US">
                  <a:latin typeface="Helvetica" pitchFamily="2" charset="0"/>
                </a:endParaRPr>
              </a:p>
            </cx:txPr>
            <cx:visibility seriesName="0" categoryName="0" value="1"/>
          </cx:dataLabels>
          <cx:dataId val="0"/>
          <cx:layoutPr>
            <cx:subtotals/>
          </cx:layoutPr>
        </cx:series>
      </cx:plotAreaRegion>
      <cx:axis id="0">
        <cx:catScaling gapWidth="0.5"/>
        <cx:title>
          <cx:tx>
            <cx:txData>
              <cx:v>Tesla's Business</cx:v>
            </cx:txData>
          </cx:tx>
          <cx:txPr>
            <a:bodyPr spcFirstLastPara="1" vertOverflow="ellipsis" horzOverflow="overflow" wrap="square" lIns="0" tIns="0" rIns="0" bIns="0" anchor="ctr" anchorCtr="1"/>
            <a:lstStyle/>
            <a:p>
              <a:pPr algn="ctr" rtl="0">
                <a:defRPr i="1">
                  <a:latin typeface="Helvetica" pitchFamily="2" charset="0"/>
                  <a:ea typeface="Helvetica" pitchFamily="2" charset="0"/>
                  <a:cs typeface="Helvetica" pitchFamily="2" charset="0"/>
                </a:defRPr>
              </a:pPr>
              <a:r>
                <a:rPr lang="en-US" sz="900" b="0" i="1" u="none" strike="noStrike" baseline="0">
                  <a:solidFill>
                    <a:sysClr val="windowText" lastClr="000000">
                      <a:lumMod val="65000"/>
                      <a:lumOff val="35000"/>
                    </a:sysClr>
                  </a:solidFill>
                  <a:latin typeface="Helvetica" pitchFamily="2" charset="0"/>
                </a:rPr>
                <a:t>Tesla's Business</a:t>
              </a:r>
            </a:p>
          </cx:txPr>
        </cx:title>
        <cx:tickLabels/>
        <cx:txPr>
          <a:bodyPr vertOverflow="overflow" horzOverflow="overflow" wrap="square" lIns="0" tIns="0" rIns="0" bIns="0"/>
          <a:lstStyle/>
          <a:p>
            <a:pPr algn="ctr" rtl="0">
              <a:defRPr sz="900" b="0" i="0">
                <a:solidFill>
                  <a:srgbClr val="595959"/>
                </a:solidFill>
                <a:latin typeface="Helvetica" pitchFamily="2" charset="0"/>
                <a:ea typeface="Helvetica" pitchFamily="2" charset="0"/>
                <a:cs typeface="Helvetica" pitchFamily="2" charset="0"/>
              </a:defRPr>
            </a:pPr>
            <a:endParaRPr lang="en-US">
              <a:latin typeface="Helvetica" pitchFamily="2" charset="0"/>
            </a:endParaRPr>
          </a:p>
        </cx:txPr>
      </cx:axis>
      <cx:axis id="1">
        <cx:valScaling/>
        <cx:title>
          <cx:tx>
            <cx:txData>
              <cx:v>Value added by businss (in millions)</cx:v>
            </cx:txData>
          </cx:tx>
          <cx:txPr>
            <a:bodyPr spcFirstLastPara="1" vertOverflow="ellipsis" horzOverflow="overflow" wrap="square" lIns="0" tIns="0" rIns="0" bIns="0" anchor="ctr" anchorCtr="1"/>
            <a:lstStyle/>
            <a:p>
              <a:pPr algn="ctr" rtl="0">
                <a:defRPr i="1">
                  <a:latin typeface="Helvetica" pitchFamily="2" charset="0"/>
                  <a:ea typeface="Helvetica" pitchFamily="2" charset="0"/>
                  <a:cs typeface="Helvetica" pitchFamily="2" charset="0"/>
                </a:defRPr>
              </a:pPr>
              <a:r>
                <a:rPr lang="en-US" sz="900" b="0" i="1" u="none" strike="noStrike" baseline="0">
                  <a:solidFill>
                    <a:sysClr val="windowText" lastClr="000000">
                      <a:lumMod val="65000"/>
                      <a:lumOff val="35000"/>
                    </a:sysClr>
                  </a:solidFill>
                  <a:latin typeface="Helvetica" pitchFamily="2" charset="0"/>
                </a:rPr>
                <a:t>Value added by businss (in millions)</a:t>
              </a:r>
            </a:p>
          </cx:txPr>
        </cx:title>
        <cx:majorGridlines/>
        <cx:tickLabels/>
        <cx:txPr>
          <a:bodyPr vertOverflow="overflow" horzOverflow="overflow" wrap="square" lIns="0" tIns="0" rIns="0" bIns="0"/>
          <a:lstStyle/>
          <a:p>
            <a:pPr algn="ctr" rtl="0">
              <a:defRPr sz="900" b="0" i="0">
                <a:solidFill>
                  <a:srgbClr val="595959"/>
                </a:solidFill>
                <a:latin typeface="Helvetica" pitchFamily="2" charset="0"/>
                <a:ea typeface="Helvetica" pitchFamily="2" charset="0"/>
                <a:cs typeface="Helvetica" pitchFamily="2" charset="0"/>
              </a:defRPr>
            </a:pPr>
            <a:endParaRPr lang="en-US">
              <a:latin typeface="Helvetica" pitchFamily="2" charset="0"/>
            </a:endParaRPr>
          </a:p>
        </cx:txPr>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C4CAF840-D57F-8F46-9B04-FB5757435082}">
  <sheetPr/>
  <sheetViews>
    <sheetView zoomScale="168" workbookViewId="0" zoomToFit="1"/>
  </sheetViews>
  <pageMargins left="0.7" right="0.7" top="0.75" bottom="0.75" header="0.3" footer="0.3"/>
  <drawing r:id="rId1"/>
</chartsheet>
</file>

<file path=xl/drawings/_rels/drawing3.xml.rels><?xml version="1.0" encoding="UTF-8" standalone="yes"?>
<Relationships xmlns="http://schemas.openxmlformats.org/package/2006/relationships"><Relationship Id="rId2" Type="http://schemas.openxmlformats.org/officeDocument/2006/relationships/chart" Target="../charts/chart1.xml"/><Relationship Id="rId1" Type="http://schemas.microsoft.com/office/2014/relationships/chartEx" Target="../charts/chartEx1.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48</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13</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7</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1023374</xdr:colOff>
      <xdr:row>9</xdr:row>
      <xdr:rowOff>580512</xdr:rowOff>
    </xdr:from>
    <xdr:to>
      <xdr:col>3</xdr:col>
      <xdr:colOff>350274</xdr:colOff>
      <xdr:row>9</xdr:row>
      <xdr:rowOff>580512</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3676035" y="3448254"/>
          <a:ext cx="668594"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10</xdr:row>
      <xdr:rowOff>101600</xdr:rowOff>
    </xdr:from>
    <xdr:to>
      <xdr:col>3</xdr:col>
      <xdr:colOff>381000</xdr:colOff>
      <xdr:row>10</xdr:row>
      <xdr:rowOff>101600</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3594100" y="2032000"/>
          <a:ext cx="6604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13</xdr:row>
      <xdr:rowOff>133927</xdr:rowOff>
    </xdr:from>
    <xdr:to>
      <xdr:col>3</xdr:col>
      <xdr:colOff>381000</xdr:colOff>
      <xdr:row>13</xdr:row>
      <xdr:rowOff>133927</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3592368" y="3438813"/>
          <a:ext cx="656359"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931476</xdr:colOff>
      <xdr:row>8</xdr:row>
      <xdr:rowOff>592747</xdr:rowOff>
    </xdr:from>
    <xdr:to>
      <xdr:col>3</xdr:col>
      <xdr:colOff>258376</xdr:colOff>
      <xdr:row>8</xdr:row>
      <xdr:rowOff>592747</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a:off x="3584137" y="2733312"/>
          <a:ext cx="668594"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drawings/drawing3.xml><?xml version="1.0" encoding="utf-8"?>
<xdr:wsDr xmlns:xdr="http://schemas.openxmlformats.org/drawingml/2006/spreadsheetDrawing" xmlns:a="http://schemas.openxmlformats.org/drawingml/2006/main">
  <xdr:absoluteAnchor>
    <xdr:pos x="0" y="0"/>
    <xdr:ext cx="8670774" cy="6281964"/>
    <mc:AlternateContent xmlns:mc="http://schemas.openxmlformats.org/markup-compatibility/2006">
      <mc:Choice xmlns:cx1="http://schemas.microsoft.com/office/drawing/2015/9/8/chartex" Requires="cx1">
        <xdr:graphicFrame macro="">
          <xdr:nvGraphicFramePr>
            <xdr:cNvPr id="2" name="Chart 1">
              <a:extLst>
                <a:ext uri="{FF2B5EF4-FFF2-40B4-BE49-F238E27FC236}">
                  <a16:creationId xmlns:a16="http://schemas.microsoft.com/office/drawing/2014/main" id="{1B784CD2-BE6B-6CA5-8D9D-63F5633F740E}"/>
                </a:ext>
              </a:extLst>
            </xdr:cNvPr>
            <xdr:cNvGraphicFramePr>
              <a:graphicFrameLocks/>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graphicFrame macro="">
          <xdr:nvGraphicFramePr>
            <xdr:cNvPr id="0" name=""/>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mc:Fallback>
    </mc:AlternateContent>
    <xdr:clientData/>
  </xdr:absoluteAnchor>
</xdr:wsDr>
</file>

<file path=xl/drawings/drawing4.xml><?xml version="1.0" encoding="utf-8"?>
<c:userShapes xmlns:c="http://schemas.openxmlformats.org/drawingml/2006/chart">
  <cdr:relSizeAnchor xmlns:cdr="http://schemas.openxmlformats.org/drawingml/2006/chartDrawing">
    <cdr:from>
      <cdr:x>0</cdr:x>
      <cdr:y>0</cdr:y>
    </cdr:from>
    <cdr:to>
      <cdr:x>1</cdr:x>
      <cdr:y>1</cdr:y>
    </cdr:to>
    <cdr:sp macro="" textlink="">
      <cdr:nvSpPr>
        <cdr:cNvPr id="2" name="Rectangle 1">
          <a:extLst xmlns:a="http://schemas.openxmlformats.org/drawingml/2006/main">
            <a:ext uri="{FF2B5EF4-FFF2-40B4-BE49-F238E27FC236}">
              <a16:creationId xmlns:a16="http://schemas.microsoft.com/office/drawing/2014/main" id="{064D6454-5D81-4D7D-EE12-CE5AA407A73B}"/>
            </a:ext>
          </a:extLst>
        </cdr:cNvPr>
        <cdr:cNvSpPr>
          <a:spLocks xmlns:a="http://schemas.openxmlformats.org/drawingml/2006/main" noTextEdit="1"/>
        </cdr:cNvSpPr>
      </cdr:nvSpPr>
      <cdr:spPr>
        <a:xfrm xmlns:a="http://schemas.openxmlformats.org/drawingml/2006/main">
          <a:off x="0" y="0"/>
          <a:ext cx="8670774" cy="6281964"/>
        </a:xfrm>
        <a:prstGeom xmlns:a="http://schemas.openxmlformats.org/drawingml/2006/main" prst="rect">
          <a:avLst/>
        </a:prstGeom>
        <a:solidFill xmlns:a="http://schemas.openxmlformats.org/drawingml/2006/main">
          <a:prstClr val="white"/>
        </a:solidFill>
        <a:ln xmlns:a="http://schemas.openxmlformats.org/drawingml/2006/main" w="1">
          <a:solidFill>
            <a:prstClr val="green"/>
          </a:solidFill>
        </a:ln>
      </cdr:spPr>
      <cdr:txBody>
        <a:bodyPr xmlns:a="http://schemas.openxmlformats.org/drawingml/2006/main" vertOverflow="clip" horzOverflow="clip"/>
        <a:lstStyle xmlns:a="http://schemas.openxmlformats.org/drawingml/2006/main"/>
        <a:p xmlns:a="http://schemas.openxmlformats.org/drawingml/2006/main">
          <a:r>
            <a:rPr lang="en-US" sz="1100"/>
            <a:t>This chart isn't available in your version of Excel.
Editing this shape or saving this workbook into a different file format will permanently break the chart.</a:t>
          </a:r>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BEA69-8F8D-2646-BE26-948CDC6CEAB9}">
  <dimension ref="A1:E51"/>
  <sheetViews>
    <sheetView topLeftCell="A3" zoomScale="150" zoomScaleNormal="150" workbookViewId="0">
      <selection activeCell="E42" sqref="E42"/>
    </sheetView>
  </sheetViews>
  <sheetFormatPr baseColWidth="10" defaultRowHeight="13"/>
  <cols>
    <col min="1" max="1" width="55.5" customWidth="1"/>
    <col min="2" max="2" width="33.1640625" style="154" customWidth="1"/>
    <col min="4" max="4" width="39.1640625" customWidth="1"/>
    <col min="5" max="5" width="23.6640625" style="154" customWidth="1"/>
    <col min="6" max="6" width="18.5" customWidth="1"/>
  </cols>
  <sheetData>
    <row r="1" spans="1:5" s="2" customFormat="1">
      <c r="A1" s="243" t="s">
        <v>677</v>
      </c>
      <c r="B1" s="154"/>
      <c r="C1"/>
      <c r="D1" s="240" t="s">
        <v>798</v>
      </c>
      <c r="E1" s="240" t="s">
        <v>797</v>
      </c>
    </row>
    <row r="2" spans="1:5">
      <c r="A2" s="2" t="s">
        <v>651</v>
      </c>
      <c r="B2" s="257"/>
      <c r="C2" s="2"/>
      <c r="D2" s="255" t="s">
        <v>680</v>
      </c>
      <c r="E2" s="280">
        <v>100</v>
      </c>
    </row>
    <row r="3" spans="1:5">
      <c r="A3" s="243" t="s">
        <v>786</v>
      </c>
      <c r="D3" s="255" t="s">
        <v>681</v>
      </c>
      <c r="E3" s="280">
        <v>150</v>
      </c>
    </row>
    <row r="4" spans="1:5">
      <c r="A4" s="1" t="s">
        <v>788</v>
      </c>
      <c r="B4" s="262" t="s">
        <v>684</v>
      </c>
      <c r="D4" s="255" t="s">
        <v>682</v>
      </c>
      <c r="E4" s="280">
        <v>200</v>
      </c>
    </row>
    <row r="5" spans="1:5">
      <c r="A5" s="1" t="s">
        <v>825</v>
      </c>
      <c r="B5" s="266">
        <f>VLOOKUP(B4,D2:E7,2)*1000</f>
        <v>500000</v>
      </c>
      <c r="D5" s="255" t="s">
        <v>683</v>
      </c>
      <c r="E5" s="280">
        <v>300</v>
      </c>
    </row>
    <row r="6" spans="1:5">
      <c r="B6" s="272"/>
      <c r="D6" s="255" t="s">
        <v>684</v>
      </c>
      <c r="E6" s="280">
        <v>500</v>
      </c>
    </row>
    <row r="7" spans="1:5">
      <c r="A7" s="243" t="s">
        <v>787</v>
      </c>
      <c r="B7" s="279"/>
      <c r="D7" s="253" t="s">
        <v>648</v>
      </c>
      <c r="E7" s="281">
        <v>600</v>
      </c>
    </row>
    <row r="8" spans="1:5">
      <c r="A8" s="1" t="s">
        <v>791</v>
      </c>
      <c r="B8" s="289" t="s">
        <v>833</v>
      </c>
    </row>
    <row r="9" spans="1:5">
      <c r="A9" s="1" t="s">
        <v>792</v>
      </c>
      <c r="B9" s="290">
        <v>0.2</v>
      </c>
      <c r="D9" s="240" t="s">
        <v>831</v>
      </c>
      <c r="E9" s="240" t="s">
        <v>832</v>
      </c>
    </row>
    <row r="10" spans="1:5">
      <c r="A10" s="1" t="s">
        <v>793</v>
      </c>
      <c r="B10" s="290">
        <v>0.4</v>
      </c>
      <c r="D10" s="255" t="s">
        <v>826</v>
      </c>
      <c r="E10" s="280">
        <v>50</v>
      </c>
    </row>
    <row r="11" spans="1:5">
      <c r="A11" s="1" t="s">
        <v>820</v>
      </c>
      <c r="B11" s="281">
        <f>VLOOKUP(B8,D10:E15,2)*1000</f>
        <v>200000</v>
      </c>
      <c r="D11" s="255" t="s">
        <v>827</v>
      </c>
      <c r="E11" s="280">
        <v>100</v>
      </c>
    </row>
    <row r="12" spans="1:5">
      <c r="A12" s="1" t="s">
        <v>800</v>
      </c>
      <c r="B12" s="266">
        <f>(1-B9-B10)*B11</f>
        <v>80000</v>
      </c>
      <c r="D12" s="255" t="s">
        <v>836</v>
      </c>
      <c r="E12" s="280">
        <v>150</v>
      </c>
    </row>
    <row r="13" spans="1:5">
      <c r="A13" s="1" t="s">
        <v>799</v>
      </c>
      <c r="B13" s="266">
        <f>B9*B11</f>
        <v>40000</v>
      </c>
      <c r="D13" s="255" t="s">
        <v>833</v>
      </c>
      <c r="E13" s="280">
        <v>200</v>
      </c>
    </row>
    <row r="14" spans="1:5">
      <c r="A14" s="1" t="s">
        <v>801</v>
      </c>
      <c r="B14" s="266">
        <f>B10*B11</f>
        <v>80000</v>
      </c>
      <c r="D14" s="255" t="s">
        <v>834</v>
      </c>
      <c r="E14" s="280">
        <v>300</v>
      </c>
    </row>
    <row r="15" spans="1:5">
      <c r="A15" s="287" t="s">
        <v>819</v>
      </c>
      <c r="B15" s="288">
        <v>3</v>
      </c>
      <c r="D15" s="253" t="s">
        <v>830</v>
      </c>
      <c r="E15" s="281">
        <v>120</v>
      </c>
    </row>
    <row r="16" spans="1:5">
      <c r="A16" s="243" t="s">
        <v>510</v>
      </c>
    </row>
    <row r="17" spans="1:5">
      <c r="A17" s="1" t="s">
        <v>790</v>
      </c>
      <c r="B17" s="262" t="s">
        <v>639</v>
      </c>
      <c r="D17" s="260" t="s">
        <v>789</v>
      </c>
      <c r="E17" s="258" t="s">
        <v>634</v>
      </c>
    </row>
    <row r="18" spans="1:5">
      <c r="A18" s="1" t="s">
        <v>802</v>
      </c>
      <c r="B18" s="269">
        <f>VLOOKUP(B17,D18:E24,2)</f>
        <v>0.1</v>
      </c>
      <c r="D18" s="253" t="s">
        <v>636</v>
      </c>
      <c r="E18" s="256">
        <v>-0.12809999999999999</v>
      </c>
    </row>
    <row r="19" spans="1:5" s="2" customFormat="1">
      <c r="A19" s="1" t="s">
        <v>794</v>
      </c>
      <c r="B19" s="271">
        <v>0.16</v>
      </c>
      <c r="C19"/>
      <c r="D19" s="253" t="s">
        <v>637</v>
      </c>
      <c r="E19" s="256">
        <v>3.2500000000000001E-2</v>
      </c>
    </row>
    <row r="20" spans="1:5" s="2" customFormat="1">
      <c r="A20" s="1" t="s">
        <v>795</v>
      </c>
      <c r="B20" s="271">
        <v>0.21809999999999999</v>
      </c>
      <c r="C20"/>
      <c r="D20" s="253" t="s">
        <v>638</v>
      </c>
      <c r="E20" s="256">
        <v>8.5199999999999998E-2</v>
      </c>
    </row>
    <row r="21" spans="1:5">
      <c r="A21" s="1" t="s">
        <v>796</v>
      </c>
      <c r="B21" s="271">
        <v>0.25</v>
      </c>
      <c r="D21" s="253" t="s">
        <v>664</v>
      </c>
      <c r="E21" s="256">
        <v>0.10249999999999999</v>
      </c>
    </row>
    <row r="22" spans="1:5">
      <c r="A22" s="1" t="s">
        <v>828</v>
      </c>
      <c r="B22" s="268">
        <f>'Valuation output'!L12</f>
        <v>91524</v>
      </c>
      <c r="D22" s="253" t="s">
        <v>665</v>
      </c>
      <c r="E22" s="256">
        <v>0.21240000000000001</v>
      </c>
    </row>
    <row r="23" spans="1:5">
      <c r="D23" s="253" t="s">
        <v>666</v>
      </c>
      <c r="E23" s="256">
        <v>0.19869999999999999</v>
      </c>
    </row>
    <row r="24" spans="1:5">
      <c r="A24" s="243" t="s">
        <v>652</v>
      </c>
      <c r="D24" s="253" t="s">
        <v>639</v>
      </c>
      <c r="E24" s="271">
        <v>0.1</v>
      </c>
    </row>
    <row r="25" spans="1:5">
      <c r="A25" s="1" t="s">
        <v>653</v>
      </c>
      <c r="B25" s="262" t="s">
        <v>649</v>
      </c>
    </row>
    <row r="26" spans="1:5">
      <c r="A26" s="1" t="s">
        <v>678</v>
      </c>
      <c r="B26" s="270">
        <f>VLOOKUP(B25,D27:E33,2)</f>
        <v>4</v>
      </c>
      <c r="D26" s="254" t="s">
        <v>632</v>
      </c>
      <c r="E26" s="258" t="s">
        <v>633</v>
      </c>
    </row>
    <row r="27" spans="1:5">
      <c r="A27" s="1" t="s">
        <v>803</v>
      </c>
      <c r="B27" s="265">
        <f>'Valuation output'!L47</f>
        <v>0.28728070609205669</v>
      </c>
      <c r="D27" s="259" t="s">
        <v>640</v>
      </c>
      <c r="E27" s="261">
        <v>0.75</v>
      </c>
    </row>
    <row r="28" spans="1:5">
      <c r="D28" s="259" t="s">
        <v>641</v>
      </c>
      <c r="E28" s="261">
        <v>1.37</v>
      </c>
    </row>
    <row r="29" spans="1:5">
      <c r="A29" s="243" t="s">
        <v>654</v>
      </c>
      <c r="C29" s="2"/>
      <c r="D29" s="259" t="s">
        <v>642</v>
      </c>
      <c r="E29" s="261">
        <v>2.42</v>
      </c>
    </row>
    <row r="30" spans="1:5">
      <c r="A30" s="1" t="s">
        <v>655</v>
      </c>
      <c r="B30" s="262" t="s">
        <v>650</v>
      </c>
      <c r="C30" s="2"/>
      <c r="D30" s="253" t="s">
        <v>667</v>
      </c>
      <c r="E30" s="261">
        <v>1.51</v>
      </c>
    </row>
    <row r="31" spans="1:5">
      <c r="A31" s="1" t="s">
        <v>656</v>
      </c>
      <c r="B31" s="269">
        <f>VLOOKUP(B30,D36:E41,2)</f>
        <v>9.1700000000000004E-2</v>
      </c>
      <c r="D31" s="253" t="s">
        <v>668</v>
      </c>
      <c r="E31" s="261">
        <v>2.2999999999999998</v>
      </c>
    </row>
    <row r="32" spans="1:5">
      <c r="A32" s="1" t="s">
        <v>657</v>
      </c>
      <c r="B32" s="262" t="s">
        <v>660</v>
      </c>
      <c r="D32" s="253" t="s">
        <v>669</v>
      </c>
      <c r="E32" s="261">
        <v>1.27</v>
      </c>
    </row>
    <row r="33" spans="1:5">
      <c r="D33" s="253" t="s">
        <v>649</v>
      </c>
      <c r="E33" s="263">
        <v>4</v>
      </c>
    </row>
    <row r="34" spans="1:5">
      <c r="A34" s="362" t="s">
        <v>672</v>
      </c>
    </row>
    <row r="35" spans="1:5">
      <c r="A35" s="1" t="s">
        <v>673</v>
      </c>
      <c r="B35" s="269">
        <f>('Valuation output'!G7/'Valuation output'!B7)^(1/5)-1</f>
        <v>0.31183221078843437</v>
      </c>
      <c r="D35" s="219" t="s">
        <v>563</v>
      </c>
      <c r="E35" s="258" t="s">
        <v>635</v>
      </c>
    </row>
    <row r="36" spans="1:5">
      <c r="A36" s="1" t="s">
        <v>837</v>
      </c>
      <c r="B36" s="269">
        <f>'Valuation output'!G12/'Valuation output'!G7</f>
        <v>0.12191508275943221</v>
      </c>
      <c r="D36" s="1" t="s">
        <v>643</v>
      </c>
      <c r="E36" s="256">
        <v>9.6500000000000002E-2</v>
      </c>
    </row>
    <row r="37" spans="1:5">
      <c r="A37" s="1" t="s">
        <v>675</v>
      </c>
      <c r="B37" s="270">
        <f>'Input sheet'!B35</f>
        <v>4</v>
      </c>
      <c r="D37" s="1" t="s">
        <v>644</v>
      </c>
      <c r="E37" s="256">
        <v>0.1116</v>
      </c>
    </row>
    <row r="38" spans="1:5">
      <c r="A38" s="1" t="s">
        <v>674</v>
      </c>
      <c r="B38" s="269">
        <f>B31</f>
        <v>9.1700000000000004E-2</v>
      </c>
      <c r="D38" s="1" t="s">
        <v>645</v>
      </c>
      <c r="E38" s="256">
        <v>7.6100000000000001E-2</v>
      </c>
    </row>
    <row r="39" spans="1:5">
      <c r="D39" s="1" t="s">
        <v>646</v>
      </c>
      <c r="E39" s="256">
        <v>8.6800000000000002E-2</v>
      </c>
    </row>
    <row r="40" spans="1:5">
      <c r="A40" s="243" t="s">
        <v>676</v>
      </c>
      <c r="D40" s="1" t="s">
        <v>647</v>
      </c>
      <c r="E40" s="256">
        <v>9.9699999999999997E-2</v>
      </c>
    </row>
    <row r="41" spans="1:5">
      <c r="A41" s="1" t="s">
        <v>670</v>
      </c>
      <c r="B41" s="266">
        <f>'Valuation output'!B36</f>
        <v>635320.30746399343</v>
      </c>
      <c r="D41" s="1" t="s">
        <v>650</v>
      </c>
      <c r="E41" s="271">
        <v>9.1700000000000004E-2</v>
      </c>
    </row>
    <row r="42" spans="1:5">
      <c r="A42" s="1" t="s">
        <v>671</v>
      </c>
      <c r="B42" s="266">
        <f ca="1">'Valuation output'!B40</f>
        <v>182.75623064455192</v>
      </c>
    </row>
    <row r="43" spans="1:5">
      <c r="D43" s="219" t="s">
        <v>659</v>
      </c>
      <c r="E43" s="258" t="s">
        <v>658</v>
      </c>
    </row>
    <row r="44" spans="1:5">
      <c r="D44" s="1" t="s">
        <v>660</v>
      </c>
      <c r="E44" s="267">
        <v>0</v>
      </c>
    </row>
    <row r="45" spans="1:5">
      <c r="D45" s="264" t="s">
        <v>661</v>
      </c>
      <c r="E45" s="267">
        <v>0.1</v>
      </c>
    </row>
    <row r="46" spans="1:5">
      <c r="B46" s="272"/>
      <c r="D46" s="264" t="s">
        <v>662</v>
      </c>
      <c r="E46" s="267">
        <v>0.2</v>
      </c>
    </row>
    <row r="47" spans="1:5">
      <c r="D47" s="264" t="s">
        <v>663</v>
      </c>
      <c r="E47" s="267">
        <v>0.5</v>
      </c>
    </row>
    <row r="48" spans="1:5">
      <c r="D48" s="252"/>
    </row>
    <row r="51" spans="4:4">
      <c r="D51" s="239"/>
    </row>
  </sheetData>
  <dataValidations count="6">
    <dataValidation type="list" allowBlank="1" showInputMessage="1" showErrorMessage="1" sqref="B4" xr:uid="{51CF6DB7-E427-2D49-AD56-5B5506E863F6}">
      <formula1>$D$2:$D$7</formula1>
    </dataValidation>
    <dataValidation type="list" allowBlank="1" showInputMessage="1" showErrorMessage="1" sqref="B17" xr:uid="{A65457A4-57F8-4E48-8984-7EC4897EEB4D}">
      <formula1>$D$18:$D$24</formula1>
    </dataValidation>
    <dataValidation type="list" allowBlank="1" showInputMessage="1" showErrorMessage="1" sqref="B25" xr:uid="{A00B0C4F-6DAE-324D-85AC-8082D6C913B0}">
      <formula1>$D$27:$D$33</formula1>
    </dataValidation>
    <dataValidation type="list" allowBlank="1" showInputMessage="1" showErrorMessage="1" sqref="B30" xr:uid="{602B1A27-B068-9F41-91A6-B803DDE8C745}">
      <formula1>$D$36:$D$41</formula1>
    </dataValidation>
    <dataValidation type="list" allowBlank="1" showInputMessage="1" showErrorMessage="1" sqref="B32" xr:uid="{8643A020-8D37-8040-A284-1E9241EBCB33}">
      <formula1>$D$44:$D$47</formula1>
    </dataValidation>
    <dataValidation type="list" allowBlank="1" showInputMessage="1" showErrorMessage="1" sqref="B8" xr:uid="{BB65A7A8-60CC-5B4E-8E5E-8E0305A0B4B1}">
      <formula1>$D$10:$D$15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0"/>
  <sheetViews>
    <sheetView tabSelected="1" topLeftCell="A14" zoomScale="137" zoomScaleNormal="137" workbookViewId="0">
      <selection activeCell="B20" sqref="B20"/>
    </sheetView>
  </sheetViews>
  <sheetFormatPr baseColWidth="10" defaultRowHeight="12"/>
  <cols>
    <col min="1" max="1" width="49.6640625" style="3" customWidth="1"/>
    <col min="2" max="2" width="26.5" style="3" customWidth="1"/>
    <col min="3" max="3" width="17" style="3" customWidth="1"/>
    <col min="4" max="4" width="16.6640625" style="3" customWidth="1"/>
    <col min="5" max="7" width="10.83203125" style="3"/>
    <col min="8" max="8" width="12.1640625" style="3" bestFit="1" customWidth="1"/>
    <col min="9" max="9" width="13.5" style="3" customWidth="1"/>
    <col min="10" max="10" width="15" style="3" bestFit="1" customWidth="1"/>
    <col min="11" max="11" width="17.5" style="3" bestFit="1" customWidth="1"/>
    <col min="12" max="16384" width="10.83203125" style="3"/>
  </cols>
  <sheetData>
    <row r="1" spans="1:10" ht="13">
      <c r="A1" s="180" t="s">
        <v>382</v>
      </c>
      <c r="B1" s="199">
        <v>43857</v>
      </c>
      <c r="C1" s="144" t="s">
        <v>383</v>
      </c>
      <c r="D1" s="145"/>
      <c r="E1" s="145"/>
      <c r="F1" s="145"/>
      <c r="G1" s="145"/>
      <c r="H1" s="145"/>
      <c r="I1" s="145"/>
      <c r="J1" s="146"/>
    </row>
    <row r="2" spans="1:10" s="50" customFormat="1" ht="14" thickBot="1">
      <c r="A2" s="47" t="s">
        <v>32</v>
      </c>
      <c r="B2" s="200" t="s">
        <v>624</v>
      </c>
      <c r="C2" s="181" t="s">
        <v>98</v>
      </c>
      <c r="J2" s="182"/>
    </row>
    <row r="3" spans="1:10" s="50" customFormat="1" ht="14" thickBot="1">
      <c r="A3" s="364" t="s">
        <v>427</v>
      </c>
      <c r="B3" s="365"/>
      <c r="C3" s="366"/>
      <c r="D3" s="366"/>
      <c r="E3" s="366"/>
      <c r="F3" s="366"/>
      <c r="G3" s="366"/>
      <c r="H3" s="366"/>
      <c r="I3" s="366"/>
      <c r="J3" s="367"/>
    </row>
    <row r="4" spans="1:10" s="50" customFormat="1" ht="13">
      <c r="A4" s="47"/>
      <c r="B4" s="47" t="s">
        <v>176</v>
      </c>
      <c r="C4" s="47" t="s">
        <v>177</v>
      </c>
    </row>
    <row r="5" spans="1:10" s="50" customFormat="1" ht="13">
      <c r="A5" s="50" t="s">
        <v>442</v>
      </c>
      <c r="B5" s="134" t="s">
        <v>344</v>
      </c>
      <c r="C5" s="47"/>
    </row>
    <row r="6" spans="1:10" s="50" customFormat="1" ht="13">
      <c r="A6" s="50" t="s">
        <v>432</v>
      </c>
      <c r="B6" s="134" t="s">
        <v>505</v>
      </c>
    </row>
    <row r="7" spans="1:10" s="50" customFormat="1" ht="13">
      <c r="A7" s="50" t="s">
        <v>433</v>
      </c>
      <c r="B7" s="134" t="s">
        <v>505</v>
      </c>
      <c r="C7" s="213" t="s">
        <v>392</v>
      </c>
      <c r="D7" s="213" t="s">
        <v>524</v>
      </c>
    </row>
    <row r="8" spans="1:10" s="50" customFormat="1" ht="13">
      <c r="A8" s="53" t="s">
        <v>804</v>
      </c>
      <c r="B8" s="72">
        <f>19963+21268+19625+21563</f>
        <v>82419</v>
      </c>
      <c r="C8" s="72">
        <v>71462</v>
      </c>
      <c r="D8" s="134">
        <v>1</v>
      </c>
      <c r="H8" s="249"/>
    </row>
    <row r="9" spans="1:10" s="50" customFormat="1" ht="13">
      <c r="A9" s="53" t="s">
        <v>806</v>
      </c>
      <c r="B9" s="72">
        <f>1529+1509+1559+1438</f>
        <v>6035</v>
      </c>
      <c r="C9" s="72">
        <v>3909</v>
      </c>
      <c r="D9" s="134">
        <v>1</v>
      </c>
    </row>
    <row r="10" spans="1:10" s="50" customFormat="1" ht="13">
      <c r="A10" s="53" t="s">
        <v>805</v>
      </c>
      <c r="B10" s="72">
        <f>1837+2150+2166+2166</f>
        <v>8319</v>
      </c>
      <c r="C10" s="72">
        <v>6091</v>
      </c>
      <c r="D10" s="134">
        <v>1</v>
      </c>
    </row>
    <row r="11" spans="1:10" s="50" customFormat="1" ht="13">
      <c r="A11" s="53" t="s">
        <v>27</v>
      </c>
      <c r="B11" s="72">
        <v>8891</v>
      </c>
      <c r="C11" s="72">
        <v>13656</v>
      </c>
      <c r="D11" s="134">
        <v>1</v>
      </c>
    </row>
    <row r="12" spans="1:10" s="50" customFormat="1" ht="13">
      <c r="A12" s="53" t="s">
        <v>435</v>
      </c>
      <c r="B12" s="72">
        <v>156</v>
      </c>
      <c r="C12" s="72">
        <v>191</v>
      </c>
      <c r="D12" s="54"/>
      <c r="F12" s="249"/>
    </row>
    <row r="13" spans="1:10" s="50" customFormat="1" ht="13">
      <c r="A13" s="53" t="s">
        <v>28</v>
      </c>
      <c r="B13" s="72">
        <v>62634</v>
      </c>
      <c r="C13" s="72">
        <v>44704</v>
      </c>
      <c r="D13" s="54"/>
    </row>
    <row r="14" spans="1:10" s="50" customFormat="1" ht="13">
      <c r="A14" s="53" t="s">
        <v>29</v>
      </c>
      <c r="B14" s="72">
        <f>2373+2857</f>
        <v>5230</v>
      </c>
      <c r="C14" s="72">
        <f>1502+1597</f>
        <v>3099</v>
      </c>
      <c r="D14" s="54"/>
    </row>
    <row r="15" spans="1:10" s="50" customFormat="1" ht="13">
      <c r="A15" s="53" t="s">
        <v>422</v>
      </c>
      <c r="B15" s="171" t="s">
        <v>55</v>
      </c>
      <c r="C15" s="172" t="s">
        <v>423</v>
      </c>
      <c r="D15" s="54"/>
    </row>
    <row r="16" spans="1:10" s="50" customFormat="1" ht="13">
      <c r="A16" s="53" t="s">
        <v>242</v>
      </c>
      <c r="B16" s="72" t="s">
        <v>49</v>
      </c>
      <c r="C16" s="54" t="s">
        <v>872</v>
      </c>
      <c r="D16" s="54"/>
    </row>
    <row r="17" spans="1:11" s="50" customFormat="1" ht="13">
      <c r="A17" s="53" t="s">
        <v>508</v>
      </c>
      <c r="B17" s="72">
        <f>16398+12696</f>
        <v>29094</v>
      </c>
      <c r="C17" s="72">
        <f>16253+5932</f>
        <v>22185</v>
      </c>
      <c r="D17" s="54"/>
    </row>
    <row r="18" spans="1:11" s="50" customFormat="1" ht="13">
      <c r="A18" s="53" t="s">
        <v>509</v>
      </c>
      <c r="B18" s="147">
        <v>0</v>
      </c>
      <c r="C18" s="72">
        <v>0</v>
      </c>
      <c r="D18" s="54"/>
    </row>
    <row r="19" spans="1:11" s="50" customFormat="1" ht="13">
      <c r="A19" s="53" t="s">
        <v>388</v>
      </c>
      <c r="B19" s="147">
        <v>733</v>
      </c>
      <c r="C19" s="72">
        <v>785</v>
      </c>
      <c r="D19" s="54"/>
    </row>
    <row r="20" spans="1:11" s="50" customFormat="1" ht="14" thickBot="1">
      <c r="A20" s="53" t="s">
        <v>30</v>
      </c>
      <c r="B20" s="135">
        <f>3174+19.1</f>
        <v>3193.1</v>
      </c>
      <c r="C20" s="54"/>
    </row>
    <row r="21" spans="1:11" s="50" customFormat="1" ht="13">
      <c r="A21" s="53" t="s">
        <v>31</v>
      </c>
      <c r="B21" s="72">
        <v>182.58</v>
      </c>
      <c r="C21" s="54"/>
      <c r="D21" s="249"/>
      <c r="E21" s="73" t="s">
        <v>241</v>
      </c>
      <c r="F21" s="48"/>
      <c r="G21" s="48"/>
      <c r="H21" s="48"/>
      <c r="I21" s="48"/>
      <c r="J21" s="48"/>
      <c r="K21" s="49"/>
    </row>
    <row r="22" spans="1:11" s="50" customFormat="1" ht="13">
      <c r="A22" s="53" t="s">
        <v>102</v>
      </c>
      <c r="B22" s="55">
        <f>1027/11065</f>
        <v>9.2815183009489377E-2</v>
      </c>
      <c r="C22" s="54"/>
      <c r="E22" s="179" t="s">
        <v>426</v>
      </c>
      <c r="K22" s="75"/>
    </row>
    <row r="23" spans="1:11" s="50" customFormat="1" ht="13">
      <c r="A23" s="53" t="s">
        <v>103</v>
      </c>
      <c r="B23" s="55">
        <v>0.25</v>
      </c>
      <c r="C23" s="54"/>
      <c r="E23" s="133"/>
      <c r="I23" s="53" t="s">
        <v>237</v>
      </c>
      <c r="J23" s="53" t="s">
        <v>239</v>
      </c>
      <c r="K23" s="75" t="s">
        <v>434</v>
      </c>
    </row>
    <row r="24" spans="1:11" s="50" customFormat="1" ht="13">
      <c r="A24" s="47" t="s">
        <v>33</v>
      </c>
      <c r="B24" s="56"/>
      <c r="C24" s="54"/>
      <c r="E24" s="74" t="s">
        <v>172</v>
      </c>
      <c r="I24" s="224">
        <f>IF(C8&gt;0,(B8/C8)^(1/D8)-1, "NA")</f>
        <v>0.15332624331812705</v>
      </c>
      <c r="J24" s="224">
        <f>VLOOKUP(B6,'Industry Average Beta (US)'!A2:S95,3)</f>
        <v>0.21942111111111109</v>
      </c>
      <c r="K24" s="225">
        <f>VLOOKUP(B7,'Industry Average Beta (Global)'!A2:N95,3)</f>
        <v>8.1321568627451005E-2</v>
      </c>
    </row>
    <row r="25" spans="1:11" s="50" customFormat="1" ht="13">
      <c r="A25" s="53" t="s">
        <v>821</v>
      </c>
      <c r="B25" s="61">
        <f>'Master Inputs'!B5</f>
        <v>500000</v>
      </c>
      <c r="C25" s="371" t="s">
        <v>511</v>
      </c>
      <c r="E25" s="74" t="s">
        <v>173</v>
      </c>
      <c r="I25" s="224">
        <f>'Valuation output'!B8</f>
        <v>0.13174389400502312</v>
      </c>
      <c r="J25" s="225">
        <f>VLOOKUP(B6,'Industry Average Beta (US)'!A2:AA95,4)</f>
        <v>4.8197319767260507E-2</v>
      </c>
      <c r="K25" s="225">
        <f>VLOOKUP(B7,'Industry Average Beta (Global)'!A2:N95,4)</f>
        <v>7.5594608796639998E-2</v>
      </c>
    </row>
    <row r="26" spans="1:11" s="50" customFormat="1" ht="13">
      <c r="A26" s="53" t="s">
        <v>822</v>
      </c>
      <c r="B26" s="61">
        <f>'Master Inputs'!B12</f>
        <v>80000</v>
      </c>
      <c r="C26" s="371"/>
      <c r="E26" s="74" t="s">
        <v>174</v>
      </c>
      <c r="I26" s="226">
        <f>B8/'Valuation output'!B46</f>
        <v>1.7304300723085839</v>
      </c>
      <c r="J26" s="226">
        <f>VLOOKUP(B6,'Industry Average Beta (US)'!A2:S95,14)</f>
        <v>1.0487316786221139</v>
      </c>
      <c r="K26" s="226">
        <f>VLOOKUP(B7,'Industry Average Beta (Global)'!A2:N95,14)</f>
        <v>1.2339366809197057</v>
      </c>
    </row>
    <row r="27" spans="1:11" s="50" customFormat="1" ht="13">
      <c r="A27" s="53" t="s">
        <v>823</v>
      </c>
      <c r="B27" s="61">
        <f>'Master Inputs'!B13</f>
        <v>40000</v>
      </c>
      <c r="C27" s="371"/>
      <c r="E27" s="74" t="s">
        <v>175</v>
      </c>
      <c r="I27" s="225">
        <f>'Valuation output'!B14/'Valuation output'!B46</f>
        <v>0.20681418499253321</v>
      </c>
      <c r="J27" s="225">
        <f>VLOOKUP(B6,'Industry Average Beta (US)'!A2:S95,5)</f>
        <v>5.1866325086608607E-2</v>
      </c>
      <c r="K27" s="225">
        <f>VLOOKUP(B7,'Industry Average Beta (Global)'!A2:N95,5)</f>
        <v>8.6167570629544429E-2</v>
      </c>
    </row>
    <row r="28" spans="1:11" s="50" customFormat="1" ht="13">
      <c r="A28" s="53" t="s">
        <v>824</v>
      </c>
      <c r="B28" s="61">
        <f>'Master Inputs'!B14</f>
        <v>80000</v>
      </c>
      <c r="C28" s="371"/>
      <c r="E28" s="74" t="s">
        <v>381</v>
      </c>
      <c r="I28" s="143"/>
      <c r="J28" s="227">
        <f>VLOOKUP(B6,'Industry Average Beta (US)'!A2:S95,10)</f>
        <v>0.59698514250325996</v>
      </c>
      <c r="K28" s="225">
        <f>VLOOKUP(B6,'Industry Average Beta (Global)'!A2:Z95,10)</f>
        <v>0.36463723432108103</v>
      </c>
    </row>
    <row r="29" spans="1:11" s="50" customFormat="1" ht="14" thickBot="1">
      <c r="A29" s="53" t="s">
        <v>815</v>
      </c>
      <c r="B29" s="57">
        <f>'Master Inputs'!B18</f>
        <v>0.1</v>
      </c>
      <c r="C29" s="371" t="s">
        <v>510</v>
      </c>
      <c r="E29" s="51" t="s">
        <v>380</v>
      </c>
      <c r="F29" s="52"/>
      <c r="G29" s="52"/>
      <c r="H29" s="52"/>
      <c r="I29" s="52"/>
      <c r="J29" s="228">
        <f>VLOOKUP(B6,'Industry Average Beta (US)'!A2:S95,13)</f>
        <v>9.2567584225424104E-2</v>
      </c>
      <c r="K29" s="225">
        <f>VLOOKUP(B6,'Industry Average Beta (Global)'!A2:Z95,13)</f>
        <v>9.8258754719041108E-2</v>
      </c>
    </row>
    <row r="30" spans="1:11" s="50" customFormat="1" ht="14" thickBot="1">
      <c r="A30" s="53" t="s">
        <v>816</v>
      </c>
      <c r="B30" s="57">
        <f>'Master Inputs'!B19</f>
        <v>0.16</v>
      </c>
      <c r="C30" s="371"/>
    </row>
    <row r="31" spans="1:11" s="50" customFormat="1" ht="13">
      <c r="A31" s="53" t="s">
        <v>817</v>
      </c>
      <c r="B31" s="57">
        <f>'Master Inputs'!B20</f>
        <v>0.21809999999999999</v>
      </c>
      <c r="C31" s="371"/>
      <c r="E31" s="368" t="s">
        <v>512</v>
      </c>
      <c r="F31" s="369"/>
      <c r="G31" s="369"/>
      <c r="H31" s="369"/>
      <c r="I31" s="369"/>
      <c r="J31" s="370"/>
    </row>
    <row r="32" spans="1:11" s="50" customFormat="1" ht="13">
      <c r="A32" s="53" t="s">
        <v>818</v>
      </c>
      <c r="B32" s="57">
        <f>'Master Inputs'!B21</f>
        <v>0.25</v>
      </c>
      <c r="C32" s="54"/>
      <c r="E32" s="74" t="s">
        <v>513</v>
      </c>
      <c r="J32" s="223">
        <f>'Valuation output'!M3</f>
        <v>520400</v>
      </c>
    </row>
    <row r="33" spans="1:14" s="50" customFormat="1" ht="13">
      <c r="A33" s="53" t="s">
        <v>564</v>
      </c>
      <c r="B33" s="58">
        <v>5</v>
      </c>
      <c r="C33" s="54" t="s">
        <v>565</v>
      </c>
      <c r="E33" s="74" t="s">
        <v>515</v>
      </c>
      <c r="J33" s="223">
        <f>'Valuation output'!M12</f>
        <v>95258.179199999999</v>
      </c>
    </row>
    <row r="34" spans="1:14" s="50" customFormat="1" ht="13">
      <c r="A34" s="53"/>
      <c r="B34" s="250" t="s">
        <v>531</v>
      </c>
      <c r="C34" s="251" t="s">
        <v>532</v>
      </c>
      <c r="E34" s="74" t="s">
        <v>514</v>
      </c>
      <c r="J34" s="224">
        <f>'Valuation output'!L47</f>
        <v>0.28728070609205669</v>
      </c>
    </row>
    <row r="35" spans="1:14" s="50" customFormat="1" ht="14" thickBot="1">
      <c r="A35" s="53" t="s">
        <v>35</v>
      </c>
      <c r="B35" s="58">
        <f>VLOOKUP('Master Inputs'!B25,'Master Inputs'!D27:E33,2)</f>
        <v>4</v>
      </c>
      <c r="C35" s="58">
        <f>B35*(2/3)</f>
        <v>2.6666666666666665</v>
      </c>
      <c r="D35" s="54" t="s">
        <v>626</v>
      </c>
      <c r="E35" s="214" t="s">
        <v>516</v>
      </c>
      <c r="F35" s="52"/>
      <c r="G35" s="52"/>
      <c r="H35" s="52"/>
      <c r="I35" s="52"/>
      <c r="J35" s="215"/>
    </row>
    <row r="36" spans="1:14" s="50" customFormat="1" ht="14" thickBot="1">
      <c r="A36" s="47" t="s">
        <v>34</v>
      </c>
      <c r="B36" s="59"/>
      <c r="C36" s="54"/>
    </row>
    <row r="37" spans="1:14" s="50" customFormat="1" ht="14" customHeight="1">
      <c r="A37" s="53" t="s">
        <v>25</v>
      </c>
      <c r="B37" s="57">
        <v>4.0800000000000003E-2</v>
      </c>
      <c r="C37" s="54"/>
      <c r="E37" s="273" t="s">
        <v>42</v>
      </c>
      <c r="F37" s="48"/>
      <c r="G37" s="48"/>
      <c r="H37" s="274">
        <f>'Valuation output'!B31</f>
        <v>612189.30746399343</v>
      </c>
    </row>
    <row r="38" spans="1:14" s="50" customFormat="1" ht="14" customHeight="1">
      <c r="A38" s="53" t="s">
        <v>37</v>
      </c>
      <c r="B38" s="57">
        <f>'Master Inputs'!B38</f>
        <v>9.1700000000000004E-2</v>
      </c>
      <c r="C38" s="54"/>
      <c r="E38" s="74" t="s">
        <v>685</v>
      </c>
      <c r="H38" s="274">
        <f ca="1">'Valuation output'!B38</f>
        <v>583558.92007111874</v>
      </c>
    </row>
    <row r="39" spans="1:14" s="63" customFormat="1" ht="14" customHeight="1" thickBot="1">
      <c r="A39" s="47" t="s">
        <v>87</v>
      </c>
      <c r="B39" s="60"/>
      <c r="C39" s="60"/>
      <c r="D39" s="54"/>
      <c r="E39" s="51" t="s">
        <v>523</v>
      </c>
      <c r="F39" s="52"/>
      <c r="G39" s="52"/>
      <c r="H39" s="274">
        <f ca="1">'Valuation output'!B40</f>
        <v>182.75623064455192</v>
      </c>
      <c r="I39" s="50"/>
      <c r="J39" s="50"/>
      <c r="K39" s="50"/>
      <c r="L39" s="50"/>
      <c r="M39" s="50"/>
      <c r="N39" s="50"/>
    </row>
    <row r="40" spans="1:14" s="50" customFormat="1" ht="14">
      <c r="A40" s="50" t="s">
        <v>244</v>
      </c>
      <c r="B40" s="57" t="s">
        <v>55</v>
      </c>
      <c r="C40"/>
      <c r="D40" s="54"/>
    </row>
    <row r="41" spans="1:14" s="50" customFormat="1" ht="13">
      <c r="A41" s="50" t="s">
        <v>88</v>
      </c>
      <c r="B41" s="58">
        <v>344.02</v>
      </c>
      <c r="C41" s="222"/>
      <c r="D41" s="54"/>
      <c r="N41" s="63"/>
    </row>
    <row r="42" spans="1:14" s="63" customFormat="1" ht="13">
      <c r="A42" s="50" t="s">
        <v>89</v>
      </c>
      <c r="B42" s="61">
        <v>35.11</v>
      </c>
      <c r="C42" s="221"/>
      <c r="D42" s="54"/>
      <c r="N42" s="50"/>
    </row>
    <row r="43" spans="1:14" s="50" customFormat="1" ht="13">
      <c r="A43" s="50" t="s">
        <v>90</v>
      </c>
      <c r="B43" s="58">
        <v>4.3099999999999996</v>
      </c>
      <c r="C43" s="222"/>
      <c r="D43" s="54"/>
    </row>
    <row r="44" spans="1:14" s="50" customFormat="1" ht="13">
      <c r="A44" s="50" t="s">
        <v>91</v>
      </c>
      <c r="B44" s="57">
        <v>0.4</v>
      </c>
      <c r="C44" s="54"/>
      <c r="N44" s="63"/>
    </row>
    <row r="45" spans="1:14" s="50" customFormat="1" ht="13">
      <c r="B45" s="62"/>
      <c r="C45" s="60"/>
      <c r="D45" s="54"/>
      <c r="H45" s="63"/>
      <c r="I45" s="63"/>
      <c r="J45" s="63"/>
      <c r="K45" s="63"/>
      <c r="L45" s="63"/>
      <c r="M45" s="63"/>
    </row>
    <row r="46" spans="1:14" s="50" customFormat="1" ht="13">
      <c r="A46" s="363" t="s">
        <v>104</v>
      </c>
      <c r="B46" s="363"/>
      <c r="C46" s="70"/>
      <c r="D46" s="54"/>
    </row>
    <row r="47" spans="1:14" s="50" customFormat="1" ht="13">
      <c r="A47" s="63" t="s">
        <v>105</v>
      </c>
      <c r="B47" s="63"/>
      <c r="C47" s="71"/>
      <c r="D47" s="54"/>
    </row>
    <row r="48" spans="1:14" s="50" customFormat="1" ht="13">
      <c r="A48" s="50" t="s">
        <v>38</v>
      </c>
      <c r="B48" s="64" t="s">
        <v>55</v>
      </c>
      <c r="C48" s="54" t="s">
        <v>52</v>
      </c>
    </row>
    <row r="49" spans="1:14" s="50" customFormat="1" ht="13">
      <c r="A49" s="50" t="s">
        <v>40</v>
      </c>
      <c r="B49" s="57">
        <f>'Master Inputs'!E39</f>
        <v>8.6800000000000002E-2</v>
      </c>
      <c r="C49" s="54" t="s">
        <v>141</v>
      </c>
    </row>
    <row r="50" spans="1:14" s="50" customFormat="1" ht="13">
      <c r="A50" s="63" t="s">
        <v>106</v>
      </c>
      <c r="B50" s="63"/>
      <c r="C50" s="54"/>
      <c r="D50" s="63"/>
    </row>
    <row r="51" spans="1:14" s="50" customFormat="1" ht="13">
      <c r="A51" s="50" t="s">
        <v>38</v>
      </c>
      <c r="B51" s="64" t="s">
        <v>55</v>
      </c>
      <c r="C51" s="54" t="s">
        <v>51</v>
      </c>
    </row>
    <row r="52" spans="1:14" s="50" customFormat="1" ht="13">
      <c r="A52" s="50" t="s">
        <v>39</v>
      </c>
      <c r="B52" s="65">
        <v>0.15</v>
      </c>
      <c r="C52" s="54" t="s">
        <v>142</v>
      </c>
    </row>
    <row r="53" spans="1:14" s="50" customFormat="1" ht="13">
      <c r="A53" s="63" t="s">
        <v>137</v>
      </c>
      <c r="C53" s="54"/>
    </row>
    <row r="54" spans="1:14" s="50" customFormat="1" ht="13">
      <c r="A54" s="50" t="s">
        <v>38</v>
      </c>
      <c r="B54" s="64" t="s">
        <v>55</v>
      </c>
      <c r="C54" s="54" t="s">
        <v>112</v>
      </c>
    </row>
    <row r="55" spans="1:14" s="50" customFormat="1" ht="13">
      <c r="A55" s="50" t="s">
        <v>107</v>
      </c>
      <c r="B55" s="65">
        <f>VLOOKUP('Master Inputs'!B32,'Master Inputs'!D44:E48,2)</f>
        <v>0</v>
      </c>
      <c r="C55" s="54" t="s">
        <v>53</v>
      </c>
    </row>
    <row r="56" spans="1:14" s="50" customFormat="1" ht="13">
      <c r="A56" s="50" t="s">
        <v>110</v>
      </c>
      <c r="B56" s="65" t="s">
        <v>234</v>
      </c>
      <c r="C56" s="54" t="s">
        <v>101</v>
      </c>
    </row>
    <row r="57" spans="1:14" s="50" customFormat="1" ht="13">
      <c r="A57" s="50" t="s">
        <v>235</v>
      </c>
      <c r="B57" s="65">
        <v>0.5</v>
      </c>
      <c r="C57" s="54" t="s">
        <v>111</v>
      </c>
    </row>
    <row r="58" spans="1:14" s="216" customFormat="1" ht="13">
      <c r="A58" s="63" t="s">
        <v>139</v>
      </c>
      <c r="B58" s="66"/>
      <c r="C58" s="54"/>
      <c r="D58" s="50"/>
      <c r="H58" s="63"/>
      <c r="I58" s="63"/>
      <c r="J58" s="63"/>
      <c r="K58" s="63"/>
      <c r="L58" s="63"/>
      <c r="M58" s="63"/>
      <c r="N58" s="63"/>
    </row>
    <row r="59" spans="1:14" ht="13">
      <c r="A59" s="50" t="s">
        <v>38</v>
      </c>
      <c r="B59" s="65" t="s">
        <v>49</v>
      </c>
      <c r="C59" s="54"/>
      <c r="D59" s="50"/>
      <c r="H59" s="50"/>
      <c r="I59" s="50"/>
      <c r="J59" s="50"/>
      <c r="K59" s="50"/>
      <c r="L59" s="50"/>
      <c r="M59" s="50"/>
      <c r="N59" s="50"/>
    </row>
    <row r="60" spans="1:14" ht="13">
      <c r="A60" s="63" t="s">
        <v>136</v>
      </c>
      <c r="B60" s="50"/>
      <c r="C60" s="54"/>
      <c r="D60" s="50"/>
      <c r="H60" s="50"/>
      <c r="I60" s="50"/>
      <c r="J60" s="50"/>
      <c r="K60" s="50"/>
      <c r="L60" s="50"/>
      <c r="M60" s="50"/>
    </row>
    <row r="61" spans="1:14" ht="13">
      <c r="A61" s="50" t="s">
        <v>38</v>
      </c>
      <c r="B61" s="64" t="s">
        <v>49</v>
      </c>
      <c r="C61" s="54" t="s">
        <v>54</v>
      </c>
      <c r="D61" s="50"/>
    </row>
    <row r="62" spans="1:14" ht="13">
      <c r="A62" s="50" t="s">
        <v>47</v>
      </c>
      <c r="B62" s="61">
        <v>250</v>
      </c>
      <c r="C62" s="54" t="s">
        <v>143</v>
      </c>
      <c r="D62" s="50"/>
    </row>
    <row r="63" spans="1:14" ht="13">
      <c r="A63" s="50" t="s">
        <v>520</v>
      </c>
      <c r="B63" s="221"/>
      <c r="C63" s="54"/>
      <c r="D63" s="50"/>
    </row>
    <row r="64" spans="1:14" ht="13">
      <c r="A64" s="50" t="s">
        <v>38</v>
      </c>
      <c r="B64" s="61" t="s">
        <v>49</v>
      </c>
      <c r="C64" s="54"/>
      <c r="D64" s="50"/>
    </row>
    <row r="65" spans="1:4" ht="13">
      <c r="A65" s="50" t="s">
        <v>521</v>
      </c>
      <c r="B65" s="220">
        <v>0.01</v>
      </c>
      <c r="C65" s="54" t="s">
        <v>522</v>
      </c>
      <c r="D65" s="50"/>
    </row>
    <row r="66" spans="1:4">
      <c r="A66" s="216" t="s">
        <v>525</v>
      </c>
      <c r="B66" s="216"/>
      <c r="C66" s="216"/>
      <c r="D66" s="216"/>
    </row>
    <row r="67" spans="1:4">
      <c r="A67" s="3" t="s">
        <v>517</v>
      </c>
      <c r="B67" s="217" t="s">
        <v>49</v>
      </c>
    </row>
    <row r="68" spans="1:4" ht="13">
      <c r="A68" s="3" t="s">
        <v>528</v>
      </c>
      <c r="B68" s="156">
        <v>140000</v>
      </c>
      <c r="C68" s="230" t="s">
        <v>526</v>
      </c>
    </row>
    <row r="69" spans="1:4">
      <c r="A69" s="229" t="s">
        <v>518</v>
      </c>
      <c r="B69" s="218">
        <v>0.15</v>
      </c>
      <c r="C69" s="230" t="s">
        <v>527</v>
      </c>
    </row>
    <row r="70" spans="1:4">
      <c r="A70" s="123"/>
    </row>
  </sheetData>
  <mergeCells count="5">
    <mergeCell ref="A46:B46"/>
    <mergeCell ref="A3:J3"/>
    <mergeCell ref="E31:J31"/>
    <mergeCell ref="C29:C31"/>
    <mergeCell ref="C25:C28"/>
  </mergeCells>
  <phoneticPr fontId="6"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2" xr:uid="{526F03C6-E351-D94F-A91F-F03FF5984B21}">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1000000}">
          <x14:formula1>
            <xm:f>'Country equity risk premiums'!$A$5:$A$190</xm:f>
          </x14:formula1>
          <xm:sqref>B5</xm:sqref>
        </x14:dataValidation>
        <x14:dataValidation type="list" allowBlank="1" showInputMessage="1" showErrorMessage="1" xr:uid="{00000000-0002-0000-0000-000002000000}">
          <x14:formula1>
            <xm:f>'Industry Average Beta (US)'!$A$2:$A$95</xm:f>
          </x14:formula1>
          <xm:sqref>B6</xm:sqref>
        </x14:dataValidation>
        <x14:dataValidation type="list" allowBlank="1" showInputMessage="1" showErrorMessage="1" xr:uid="{00000000-0002-0000-0000-000003000000}">
          <x14:formula1>
            <xm:f>'Industry Average Beta (Global)'!$A$2:$A$95</xm:f>
          </x14:formula1>
          <xm:sqref>B7</xm:sqref>
        </x14:dataValidation>
        <x14:dataValidation type="list" allowBlank="1" showInputMessage="1" showErrorMessage="1" xr:uid="{00000000-0002-0000-0000-000004000000}">
          <x14:formula1>
            <xm:f>'Answer keys'!$A$2:$A$3</xm:f>
          </x14:formula1>
          <xm:sqref>B15:B16 B40 B48 B51 B54 B59 B61 B64 B67</xm:sqref>
        </x14:dataValidation>
        <x14:dataValidation type="list" allowBlank="1" showInputMessage="1" showErrorMessage="1" xr:uid="{00000000-0002-0000-0000-000005000000}">
          <x14:formula1>
            <xm:f>'Answer keys'!$B$2:$B$3</xm:f>
          </x14:formula1>
          <xm:sqref>B56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7"/>
  <sheetViews>
    <sheetView zoomScale="125" zoomScaleNormal="125" workbookViewId="0">
      <selection activeCell="B39" sqref="B39"/>
    </sheetView>
  </sheetViews>
  <sheetFormatPr baseColWidth="10" defaultRowHeight="16"/>
  <cols>
    <col min="1" max="1" width="26.6640625" style="44" customWidth="1"/>
    <col min="2" max="2" width="14.33203125" style="44" customWidth="1"/>
    <col min="3" max="13" width="14.33203125" style="46" customWidth="1"/>
    <col min="14" max="14" width="12.6640625" bestFit="1" customWidth="1"/>
  </cols>
  <sheetData>
    <row r="1" spans="1:14">
      <c r="A1" s="41"/>
      <c r="B1" s="42" t="s">
        <v>14</v>
      </c>
      <c r="C1" s="42">
        <v>1</v>
      </c>
      <c r="D1" s="42">
        <v>2</v>
      </c>
      <c r="E1" s="42">
        <v>3</v>
      </c>
      <c r="F1" s="42">
        <v>4</v>
      </c>
      <c r="G1" s="42">
        <v>5</v>
      </c>
      <c r="H1" s="42">
        <v>6</v>
      </c>
      <c r="I1" s="42">
        <v>7</v>
      </c>
      <c r="J1" s="42">
        <v>8</v>
      </c>
      <c r="K1" s="42">
        <v>9</v>
      </c>
      <c r="L1" s="276">
        <v>10</v>
      </c>
      <c r="M1" s="338" t="s">
        <v>43</v>
      </c>
    </row>
    <row r="2" spans="1:14">
      <c r="A2" s="44" t="s">
        <v>829</v>
      </c>
      <c r="B2" s="76"/>
      <c r="C2" s="77">
        <f>C3/B3-1</f>
        <v>0.5066562321794732</v>
      </c>
      <c r="D2" s="77">
        <f t="shared" ref="D2:L2" si="0">D3/C3-1</f>
        <v>0.3362785892084772</v>
      </c>
      <c r="E2" s="77">
        <f t="shared" si="0"/>
        <v>0.25165305492746559</v>
      </c>
      <c r="F2" s="77">
        <f t="shared" si="0"/>
        <v>0.20105655791496413</v>
      </c>
      <c r="G2" s="77">
        <f t="shared" si="0"/>
        <v>0.16739974199383112</v>
      </c>
      <c r="H2" s="77">
        <f t="shared" si="0"/>
        <v>0.14339539060367179</v>
      </c>
      <c r="I2" s="77">
        <f t="shared" si="0"/>
        <v>0.12541190193880714</v>
      </c>
      <c r="J2" s="77">
        <f t="shared" si="0"/>
        <v>0.11143644537857966</v>
      </c>
      <c r="K2" s="77">
        <f t="shared" si="0"/>
        <v>0.10026344362013617</v>
      </c>
      <c r="L2" s="328">
        <f t="shared" si="0"/>
        <v>9.112676077853199E-2</v>
      </c>
      <c r="M2" s="339">
        <f>IF('Input sheet'!B64="Yes",'Input sheet'!B65,'Input sheet'!B37)</f>
        <v>4.0800000000000003E-2</v>
      </c>
    </row>
    <row r="3" spans="1:14" ht="15" customHeight="1">
      <c r="A3" s="44" t="s">
        <v>807</v>
      </c>
      <c r="B3" s="78">
        <f>'Input sheet'!B8</f>
        <v>82419</v>
      </c>
      <c r="C3" s="79">
        <f>B3+($L$3-B3)*(1/10)</f>
        <v>124177.1</v>
      </c>
      <c r="D3" s="79">
        <f>C3+($L$3-C3)*(1/9)</f>
        <v>165935.20000000001</v>
      </c>
      <c r="E3" s="79">
        <f>D3+($L$3-D3)*(1/8)</f>
        <v>207693.30000000002</v>
      </c>
      <c r="F3" s="79">
        <f>E3+($L$3-E3)*(1/7)</f>
        <v>249451.40000000002</v>
      </c>
      <c r="G3" s="79">
        <f>F3+($L$3-F3)*(1/6)</f>
        <v>291209.5</v>
      </c>
      <c r="H3" s="79">
        <f t="shared" ref="H3" si="1">G3+($L$3-G3)*(1/5)</f>
        <v>332967.59999999998</v>
      </c>
      <c r="I3" s="79">
        <f>H3+($L$3-H3)*(1/4)</f>
        <v>374725.69999999995</v>
      </c>
      <c r="J3" s="79">
        <f>I3+($L$3-I3)*(1/3)</f>
        <v>416483.8</v>
      </c>
      <c r="K3" s="79">
        <f>J3+($L$3-J3)*(1/2)</f>
        <v>458241.9</v>
      </c>
      <c r="L3" s="329">
        <f>'Input sheet'!B25</f>
        <v>500000</v>
      </c>
      <c r="M3" s="340">
        <f>L3*(1+$M$2)</f>
        <v>520400</v>
      </c>
    </row>
    <row r="4" spans="1:14" ht="15" customHeight="1">
      <c r="A4" s="44" t="s">
        <v>806</v>
      </c>
      <c r="B4" s="78">
        <f>'Input sheet'!B9</f>
        <v>6035</v>
      </c>
      <c r="C4" s="79">
        <f>B4+($G$4-B4)*(1/5)</f>
        <v>13431.5</v>
      </c>
      <c r="D4" s="79">
        <f t="shared" ref="D4:F4" si="2">C4+($G$4-C4)*(1/5)</f>
        <v>19348.7</v>
      </c>
      <c r="E4" s="79">
        <f t="shared" si="2"/>
        <v>24082.46</v>
      </c>
      <c r="F4" s="79">
        <f t="shared" si="2"/>
        <v>27869.468000000001</v>
      </c>
      <c r="G4" s="79">
        <f>B4+(L4-B4)*(1/2)</f>
        <v>43017.5</v>
      </c>
      <c r="H4" s="79">
        <f>G4+(L4-G4)/5</f>
        <v>50414</v>
      </c>
      <c r="I4" s="79">
        <f>H4+(L4-H4)/4</f>
        <v>57810.5</v>
      </c>
      <c r="J4" s="79">
        <f>I4+(L4-I4)/3</f>
        <v>65207</v>
      </c>
      <c r="K4" s="79">
        <f>J4+(L4-J4)/2</f>
        <v>72603.5</v>
      </c>
      <c r="L4" s="329">
        <f>'Master Inputs'!B12</f>
        <v>80000</v>
      </c>
      <c r="M4" s="340">
        <f t="shared" ref="M4:M6" si="3">L4*(1+$M$2)</f>
        <v>83264</v>
      </c>
    </row>
    <row r="5" spans="1:14" ht="15" customHeight="1">
      <c r="A5" s="44" t="s">
        <v>808</v>
      </c>
      <c r="B5" s="78">
        <f>'Input sheet'!B10</f>
        <v>8319</v>
      </c>
      <c r="C5" s="79">
        <f>B5+($G$5-B5)*(1/5)</f>
        <v>10431.066666666666</v>
      </c>
      <c r="D5" s="79">
        <f t="shared" ref="D5:F5" si="4">C5+($G$5-C5)*(1/5)</f>
        <v>12120.72</v>
      </c>
      <c r="E5" s="79">
        <f t="shared" si="4"/>
        <v>13472.442666666666</v>
      </c>
      <c r="F5" s="79">
        <f t="shared" si="4"/>
        <v>14553.8208</v>
      </c>
      <c r="G5" s="79">
        <f>B5+(L5-B5)*(1/3)</f>
        <v>18879.333333333332</v>
      </c>
      <c r="H5" s="79">
        <f>G5+(L5-G5)/5</f>
        <v>23103.466666666667</v>
      </c>
      <c r="I5" s="79">
        <f>H5+(L5-H5)/4</f>
        <v>27327.599999999999</v>
      </c>
      <c r="J5" s="79">
        <f>I5+(L5-I5)/3</f>
        <v>31551.733333333334</v>
      </c>
      <c r="K5" s="79">
        <f>J5+(L5-J5)/2</f>
        <v>35775.866666666669</v>
      </c>
      <c r="L5" s="329">
        <f>'Master Inputs'!B13</f>
        <v>40000</v>
      </c>
      <c r="M5" s="340">
        <f t="shared" si="3"/>
        <v>41632</v>
      </c>
    </row>
    <row r="6" spans="1:14" ht="15" customHeight="1" thickBot="1">
      <c r="A6" s="44" t="s">
        <v>809</v>
      </c>
      <c r="B6" s="282">
        <v>0</v>
      </c>
      <c r="C6" s="283">
        <f>IF(C1&gt;'Master Inputs'!$B$15,B6+($L$6-B6)/(10-C1+1),0)</f>
        <v>0</v>
      </c>
      <c r="D6" s="283">
        <f>IF(D1&gt;'Master Inputs'!$B$15,C6+($L$6-C6)/(10-D1+1),0)</f>
        <v>0</v>
      </c>
      <c r="E6" s="283">
        <f>IF(E1&gt;'Master Inputs'!$B$15,D6+($L$6-D6)/(10-E1+1),0)</f>
        <v>0</v>
      </c>
      <c r="F6" s="283">
        <f>IF(F1&gt;'Master Inputs'!$B$15,E6+($L$6-E6)/(10-F1+1),0)</f>
        <v>11428.571428571429</v>
      </c>
      <c r="G6" s="283">
        <f>IF(G1&gt;'Master Inputs'!$B$15,F6+($L$6-F6)/(10-G1+1),0)</f>
        <v>22857.142857142855</v>
      </c>
      <c r="H6" s="283">
        <f>IF(H1&gt;'Master Inputs'!$B$15,G6+($L$6-G6)/(10-H1+1),0)</f>
        <v>34285.714285714283</v>
      </c>
      <c r="I6" s="283">
        <f>IF(I1&gt;'Master Inputs'!$B$15,H6+($L$6-H6)/(10-I1+1),0)</f>
        <v>45714.28571428571</v>
      </c>
      <c r="J6" s="283">
        <f>IF(J1&gt;'Master Inputs'!$B$15,I6+($L$6-I6)/(10-J1+1),0)</f>
        <v>57142.857142857138</v>
      </c>
      <c r="K6" s="283">
        <f>IF(K1&gt;'Master Inputs'!$B$15,J6+($L$6-J6)/(10-K1+1),0)</f>
        <v>68571.428571428565</v>
      </c>
      <c r="L6" s="329">
        <f>'Master Inputs'!B14</f>
        <v>80000</v>
      </c>
      <c r="M6" s="340">
        <f t="shared" si="3"/>
        <v>83264</v>
      </c>
    </row>
    <row r="7" spans="1:14" s="286" customFormat="1" ht="15" customHeight="1" thickBot="1">
      <c r="A7" s="296" t="s">
        <v>810</v>
      </c>
      <c r="B7" s="292">
        <f>SUM(B3:B6)</f>
        <v>96773</v>
      </c>
      <c r="C7" s="292">
        <f t="shared" ref="C7:M7" si="5">SUM(C3:C6)</f>
        <v>148039.66666666669</v>
      </c>
      <c r="D7" s="292">
        <f t="shared" si="5"/>
        <v>197404.62000000002</v>
      </c>
      <c r="E7" s="292">
        <f t="shared" si="5"/>
        <v>245248.20266666668</v>
      </c>
      <c r="F7" s="292">
        <f t="shared" si="5"/>
        <v>303303.26022857142</v>
      </c>
      <c r="G7" s="292">
        <f t="shared" si="5"/>
        <v>375963.47619047615</v>
      </c>
      <c r="H7" s="292">
        <f t="shared" si="5"/>
        <v>440770.78095238091</v>
      </c>
      <c r="I7" s="292">
        <f t="shared" si="5"/>
        <v>505578.08571428561</v>
      </c>
      <c r="J7" s="292">
        <f t="shared" si="5"/>
        <v>570385.39047619049</v>
      </c>
      <c r="K7" s="292">
        <f t="shared" si="5"/>
        <v>635192.69523809524</v>
      </c>
      <c r="L7" s="330">
        <f>SUM(L3:L6)</f>
        <v>700000</v>
      </c>
      <c r="M7" s="341">
        <f t="shared" si="5"/>
        <v>728560</v>
      </c>
    </row>
    <row r="8" spans="1:14" ht="15" customHeight="1">
      <c r="A8" s="44" t="s">
        <v>811</v>
      </c>
      <c r="B8" s="284">
        <f>B12/B3</f>
        <v>0.13174389400502312</v>
      </c>
      <c r="C8" s="285">
        <f>IF(C1&gt;'Input sheet'!$B$33,'Input sheet'!$B$29,'Input sheet'!$B$29-(('Input sheet'!$B$29-$B$8)/'Input sheet'!$B$33)*('Input sheet'!$B$33-C1))</f>
        <v>0.1253951152040185</v>
      </c>
      <c r="D8" s="285">
        <f>IF(D1&gt;'Input sheet'!$B$33,'Input sheet'!$B$29,'Input sheet'!$B$29-(('Input sheet'!$B$29-$B$8)/'Input sheet'!$B$33)*('Input sheet'!$B$33-D1))</f>
        <v>0.11904633640301387</v>
      </c>
      <c r="E8" s="285">
        <f>IF(E1&gt;'Input sheet'!$B$33,'Input sheet'!$B$29,'Input sheet'!$B$29-(('Input sheet'!$B$29-$B$8)/'Input sheet'!$B$33)*('Input sheet'!$B$33-E1))</f>
        <v>0.11269755760200925</v>
      </c>
      <c r="F8" s="285">
        <f>IF(F1&gt;'Input sheet'!$B$33,'Input sheet'!$B$29,'Input sheet'!$B$29-(('Input sheet'!$B$29-$B$8)/'Input sheet'!$B$33)*('Input sheet'!$B$33-F1))</f>
        <v>0.10634877880100463</v>
      </c>
      <c r="G8" s="285">
        <f>IF(G1&gt;'Input sheet'!$B$33,'Input sheet'!$B$29,'Input sheet'!$B$29-(('Input sheet'!$B$29-$B$8)/'Input sheet'!$B$33)*('Input sheet'!$B$33-G1))</f>
        <v>0.1</v>
      </c>
      <c r="H8" s="285">
        <f>IF(H1&gt;'Input sheet'!$B$33,'Input sheet'!$B$29,'Input sheet'!$B$29-(('Input sheet'!$B$29-$B$8)/'Input sheet'!$B$33)*('Input sheet'!$B$33-H1))</f>
        <v>0.1</v>
      </c>
      <c r="I8" s="285">
        <f>IF(I1&gt;'Input sheet'!$B$33,'Input sheet'!$B$29,'Input sheet'!$B$29-(('Input sheet'!$B$29-$B$8)/'Input sheet'!$B$33)*('Input sheet'!$B$33-I1))</f>
        <v>0.1</v>
      </c>
      <c r="J8" s="285">
        <f>IF(J1&gt;'Input sheet'!$B$33,'Input sheet'!$B$29,'Input sheet'!$B$29-(('Input sheet'!$B$29-$B$8)/'Input sheet'!$B$33)*('Input sheet'!$B$33-J1))</f>
        <v>0.1</v>
      </c>
      <c r="K8" s="285">
        <f>IF(K1&gt;'Input sheet'!$B$33,'Input sheet'!$B$29,'Input sheet'!$B$29-(('Input sheet'!$B$29-$B$8)/'Input sheet'!$B$33)*('Input sheet'!$B$33-K1))</f>
        <v>0.1</v>
      </c>
      <c r="L8" s="331">
        <f>IF(L1&gt;'Input sheet'!$B$33,'Input sheet'!$B$29,'Input sheet'!$B$29-(('Input sheet'!$B$29-$B$8)/'Input sheet'!$B$33)*('Input sheet'!$B$33-L1))</f>
        <v>0.1</v>
      </c>
      <c r="M8" s="339">
        <f>L8</f>
        <v>0.1</v>
      </c>
    </row>
    <row r="9" spans="1:14" ht="15" customHeight="1">
      <c r="A9" s="44" t="s">
        <v>812</v>
      </c>
      <c r="B9" s="80">
        <v>0.12</v>
      </c>
      <c r="C9" s="77">
        <f>IF(C1&gt;'Input sheet'!$B$33,'Input sheet'!$B$30,'Input sheet'!$B$30-(('Input sheet'!$B$30-$B$9)/'Input sheet'!$B$33)*('Input sheet'!$B$33-C1))</f>
        <v>0.128</v>
      </c>
      <c r="D9" s="77">
        <f>IF(D1&gt;'Input sheet'!$B$33,'Input sheet'!$B$30,'Input sheet'!$B$30-(('Input sheet'!$B$30-$B$9)/'Input sheet'!$B$33)*('Input sheet'!$B$33-D1))</f>
        <v>0.13600000000000001</v>
      </c>
      <c r="E9" s="77">
        <f>IF(E1&gt;'Input sheet'!$B$33,'Input sheet'!$B$30,'Input sheet'!$B$30-(('Input sheet'!$B$30-$B$9)/'Input sheet'!$B$33)*('Input sheet'!$B$33-E1))</f>
        <v>0.14399999999999999</v>
      </c>
      <c r="F9" s="77">
        <f>IF(F1&gt;'Input sheet'!$B$33,'Input sheet'!$B$30,'Input sheet'!$B$30-(('Input sheet'!$B$30-$B$9)/'Input sheet'!$B$33)*('Input sheet'!$B$33-F1))</f>
        <v>0.152</v>
      </c>
      <c r="G9" s="77">
        <f>IF(G1&gt;'Input sheet'!$B$33,'Input sheet'!$B$30,'Input sheet'!$B$30-(('Input sheet'!$B$30-$B$9)/'Input sheet'!$B$33)*('Input sheet'!$B$33-G1))</f>
        <v>0.16</v>
      </c>
      <c r="H9" s="77">
        <f>IF(H1&gt;'Input sheet'!$B$33,'Input sheet'!$B$30,'Input sheet'!$B$30-(('Input sheet'!$B$30-$B$9)/'Input sheet'!$B$33)*('Input sheet'!$B$33-H1))</f>
        <v>0.16</v>
      </c>
      <c r="I9" s="77">
        <f>IF(I1&gt;'Input sheet'!$B$33,'Input sheet'!$B$30,'Input sheet'!$B$30-(('Input sheet'!$B$30-$B$9)/'Input sheet'!$B$33)*('Input sheet'!$B$33-I1))</f>
        <v>0.16</v>
      </c>
      <c r="J9" s="77">
        <f>IF(J1&gt;'Input sheet'!$B$33,'Input sheet'!$B$30,'Input sheet'!$B$30-(('Input sheet'!$B$30-$B$9)/'Input sheet'!$B$33)*('Input sheet'!$B$33-J1))</f>
        <v>0.16</v>
      </c>
      <c r="K9" s="77">
        <f>IF(K1&gt;'Input sheet'!$B$33,'Input sheet'!$B$30,'Input sheet'!$B$30-(('Input sheet'!$B$30-$B$9)/'Input sheet'!$B$33)*('Input sheet'!$B$33-K1))</f>
        <v>0.16</v>
      </c>
      <c r="L9" s="328">
        <f>'Input sheet'!B30</f>
        <v>0.16</v>
      </c>
      <c r="M9" s="339">
        <f t="shared" ref="M9:M11" si="6">L9</f>
        <v>0.16</v>
      </c>
    </row>
    <row r="10" spans="1:14" ht="15" customHeight="1">
      <c r="A10" s="44" t="s">
        <v>813</v>
      </c>
      <c r="B10" s="80">
        <v>0.1</v>
      </c>
      <c r="C10" s="77">
        <f>IF(C1&gt;'Input sheet'!$B$33,'Input sheet'!$B$31,'Input sheet'!$B$31-(('Input sheet'!$B$31-$B$10)/'Input sheet'!$B$33)*('Input sheet'!$B$33-C1))</f>
        <v>0.12362000000000001</v>
      </c>
      <c r="D10" s="77">
        <f>IF(D1&gt;'Input sheet'!$B$33,'Input sheet'!$B$31,'Input sheet'!$B$31-(('Input sheet'!$B$31-$B$10)/'Input sheet'!$B$33)*('Input sheet'!$B$33-D1))</f>
        <v>0.14724000000000001</v>
      </c>
      <c r="E10" s="77">
        <f>IF(E1&gt;'Input sheet'!$B$33,'Input sheet'!$B$31,'Input sheet'!$B$31-(('Input sheet'!$B$31-$B$10)/'Input sheet'!$B$33)*('Input sheet'!$B$33-E1))</f>
        <v>0.17086000000000001</v>
      </c>
      <c r="F10" s="77">
        <f>IF(F1&gt;'Input sheet'!$B$33,'Input sheet'!$B$31,'Input sheet'!$B$31-(('Input sheet'!$B$31-$B$10)/'Input sheet'!$B$33)*('Input sheet'!$B$33-F1))</f>
        <v>0.19447999999999999</v>
      </c>
      <c r="G10" s="77">
        <f>IF(G1&gt;'Input sheet'!$B$33,'Input sheet'!$B$31,'Input sheet'!$B$31-(('Input sheet'!$B$31-$B$10)/'Input sheet'!$B$33)*('Input sheet'!$B$33-G1))</f>
        <v>0.21809999999999999</v>
      </c>
      <c r="H10" s="77">
        <f>IF(H1&gt;'Input sheet'!$B$33,'Input sheet'!$B$31,'Input sheet'!$B$31-(('Input sheet'!$B$31-$B$10)/'Input sheet'!$B$33)*('Input sheet'!$B$33-H1))</f>
        <v>0.21809999999999999</v>
      </c>
      <c r="I10" s="77">
        <f>IF(I1&gt;'Input sheet'!$B$33,'Input sheet'!$B$31,'Input sheet'!$B$31-(('Input sheet'!$B$31-$B$10)/'Input sheet'!$B$33)*('Input sheet'!$B$33-I1))</f>
        <v>0.21809999999999999</v>
      </c>
      <c r="J10" s="77">
        <f>IF(J1&gt;'Input sheet'!$B$33,'Input sheet'!$B$31,'Input sheet'!$B$31-(('Input sheet'!$B$31-$B$10)/'Input sheet'!$B$33)*('Input sheet'!$B$33-J1))</f>
        <v>0.21809999999999999</v>
      </c>
      <c r="K10" s="77">
        <f>IF(K1&gt;'Input sheet'!$B$33,'Input sheet'!$B$31,'Input sheet'!$B$31-(('Input sheet'!$B$31-$B$10)/'Input sheet'!$B$33)*('Input sheet'!$B$33-K1))</f>
        <v>0.21809999999999999</v>
      </c>
      <c r="L10" s="328">
        <f>'Input sheet'!B31</f>
        <v>0.21809999999999999</v>
      </c>
      <c r="M10" s="339">
        <f t="shared" si="6"/>
        <v>0.21809999999999999</v>
      </c>
    </row>
    <row r="11" spans="1:14" ht="15" customHeight="1">
      <c r="A11" s="44" t="s">
        <v>814</v>
      </c>
      <c r="B11" s="80">
        <v>0</v>
      </c>
      <c r="C11" s="77">
        <f>IF(C1&gt;'Input sheet'!$B$33,'Input sheet'!$B$32,'Input sheet'!$B$32-(('Input sheet'!$B$32-$B$11)/'Input sheet'!$B$33)*('Input sheet'!$B$33-C1))</f>
        <v>4.9999999999999989E-2</v>
      </c>
      <c r="D11" s="77">
        <f>IF(D1&gt;'Input sheet'!$B$33,'Input sheet'!$B$32,'Input sheet'!$B$32-(('Input sheet'!$B$32-$B$11)/'Input sheet'!$B$33)*('Input sheet'!$B$33-D1))</f>
        <v>9.9999999999999978E-2</v>
      </c>
      <c r="E11" s="77">
        <f>IF(E1&gt;'Input sheet'!$B$33,'Input sheet'!$B$32,'Input sheet'!$B$32-(('Input sheet'!$B$32-$B$11)/'Input sheet'!$B$33)*('Input sheet'!$B$33-E1))</f>
        <v>0.15</v>
      </c>
      <c r="F11" s="77">
        <f>IF(F1&gt;'Input sheet'!$B$33,'Input sheet'!$B$32,'Input sheet'!$B$32-(('Input sheet'!$B$32-$B$11)/'Input sheet'!$B$33)*('Input sheet'!$B$33-F1))</f>
        <v>0.2</v>
      </c>
      <c r="G11" s="77">
        <f>IF(G1&gt;'Input sheet'!$B$33,'Input sheet'!$B$32,'Input sheet'!$B$32-(('Input sheet'!$B$32-$B$11)/'Input sheet'!$B$33)*('Input sheet'!$B$33-G1))</f>
        <v>0.25</v>
      </c>
      <c r="H11" s="77">
        <f>IF(H1&gt;'Input sheet'!$B$33,'Input sheet'!$B$32,'Input sheet'!$B$32-(('Input sheet'!$B$32-$B$11)/'Input sheet'!$B$33)*('Input sheet'!$B$33-H1))</f>
        <v>0.25</v>
      </c>
      <c r="I11" s="77">
        <f>IF(I1&gt;'Input sheet'!$B$33,'Input sheet'!$B$32,'Input sheet'!$B$32-(('Input sheet'!$B$32-$B$11)/'Input sheet'!$B$33)*('Input sheet'!$B$33-I1))</f>
        <v>0.25</v>
      </c>
      <c r="J11" s="77">
        <f>IF(J1&gt;'Input sheet'!$B$33,'Input sheet'!$B$32,'Input sheet'!$B$32-(('Input sheet'!$B$32-$B$11)/'Input sheet'!$B$33)*('Input sheet'!$B$33-J1))</f>
        <v>0.25</v>
      </c>
      <c r="K11" s="77">
        <f>IF(K1&gt;'Input sheet'!$B$33,'Input sheet'!$B$32,'Input sheet'!$B$32-(('Input sheet'!$B$32-$B$11)/'Input sheet'!$B$33)*('Input sheet'!$B$33-K1))</f>
        <v>0.25</v>
      </c>
      <c r="L11" s="328">
        <f>'Input sheet'!B32</f>
        <v>0.25</v>
      </c>
      <c r="M11" s="339">
        <f t="shared" si="6"/>
        <v>0.25</v>
      </c>
    </row>
    <row r="12" spans="1:14" ht="15" customHeight="1">
      <c r="A12" s="294" t="s">
        <v>24</v>
      </c>
      <c r="B12" s="295">
        <f>IF('Input sheet'!B16="Yes",IF('Input sheet'!B15="Yes",'Input sheet'!B11+'Operating lease converter'!F32+'R&amp; D converter'!D39,'Input sheet'!B11+'Operating lease converter'!F32),IF('Input sheet'!B15="Yes",'Input sheet'!B11+'R&amp; D converter'!D39,'Input sheet'!B11))</f>
        <v>10858.2</v>
      </c>
      <c r="C12" s="291">
        <f>C8*C3+C9*C4+C10*C5+C11*C6</f>
        <v>18579.92222153426</v>
      </c>
      <c r="D12" s="291">
        <f t="shared" ref="D12:M12" si="7">D8*D3+D9*D4+D10*D5+D11*D6</f>
        <v>24170.05565310139</v>
      </c>
      <c r="E12" s="291">
        <f t="shared" si="7"/>
        <v>29176.303434328056</v>
      </c>
      <c r="F12" s="291">
        <f t="shared" si="7"/>
        <v>35881.152251099207</v>
      </c>
      <c r="G12" s="291">
        <f t="shared" si="7"/>
        <v>45835.618314285719</v>
      </c>
      <c r="H12" s="291">
        <f t="shared" si="7"/>
        <v>54973.294651428572</v>
      </c>
      <c r="I12" s="291">
        <f t="shared" si="7"/>
        <v>64110.970988571426</v>
      </c>
      <c r="J12" s="291">
        <f t="shared" si="7"/>
        <v>73248.647325714293</v>
      </c>
      <c r="K12" s="291">
        <f t="shared" si="7"/>
        <v>82386.323662857147</v>
      </c>
      <c r="L12" s="332">
        <f t="shared" si="7"/>
        <v>91524</v>
      </c>
      <c r="M12" s="340">
        <f t="shared" si="7"/>
        <v>95258.179199999999</v>
      </c>
      <c r="N12" s="337">
        <f>M12-B12</f>
        <v>84399.979200000002</v>
      </c>
    </row>
    <row r="13" spans="1:14" ht="15" customHeight="1">
      <c r="A13" s="44" t="s">
        <v>138</v>
      </c>
      <c r="B13" s="81">
        <f>'Input sheet'!B22</f>
        <v>9.2815183009489377E-2</v>
      </c>
      <c r="C13" s="82">
        <f>B13</f>
        <v>9.2815183009489377E-2</v>
      </c>
      <c r="D13" s="82">
        <f>C13</f>
        <v>9.2815183009489377E-2</v>
      </c>
      <c r="E13" s="82">
        <f>D13</f>
        <v>9.2815183009489377E-2</v>
      </c>
      <c r="F13" s="82">
        <f>E13</f>
        <v>9.2815183009489377E-2</v>
      </c>
      <c r="G13" s="82">
        <f>F13</f>
        <v>9.2815183009489377E-2</v>
      </c>
      <c r="H13" s="82">
        <f>G13+($M$13-$G$13)/5</f>
        <v>0.1242521464075915</v>
      </c>
      <c r="I13" s="82">
        <f>H13+($M$13-$G$13)/5</f>
        <v>0.15568910980569362</v>
      </c>
      <c r="J13" s="82">
        <f>I13+($M$13-$G$13)/5</f>
        <v>0.18712607320379573</v>
      </c>
      <c r="K13" s="82">
        <f>J13+($M$13-$G$13)/5</f>
        <v>0.21856303660189785</v>
      </c>
      <c r="L13" s="333">
        <f>K13+($M$13-$G$13)/5</f>
        <v>0.24999999999999997</v>
      </c>
      <c r="M13" s="342">
        <f>IF('Input sheet'!B59="Yes",'Input sheet'!B22,'Input sheet'!B23)</f>
        <v>0.25</v>
      </c>
    </row>
    <row r="14" spans="1:14" ht="15" customHeight="1">
      <c r="A14" s="44" t="s">
        <v>12</v>
      </c>
      <c r="B14" s="78">
        <f>IF(B12&gt;0,B12*(1-B13),B12)</f>
        <v>9850.394179846362</v>
      </c>
      <c r="C14" s="79">
        <f>IF(C12&gt;0,IF(C12&lt;B17,C12,C12-(C12-B17)*C13),C12)</f>
        <v>16855.423340240479</v>
      </c>
      <c r="D14" s="79">
        <f t="shared" ref="D14:L14" si="8">IF(D12&gt;0,IF(D12&lt;C17,D12,D12-(D12-C17)*D13),D12)</f>
        <v>21926.707514309241</v>
      </c>
      <c r="E14" s="79">
        <f t="shared" si="8"/>
        <v>26468.299491530503</v>
      </c>
      <c r="F14" s="79">
        <f t="shared" si="8"/>
        <v>32550.836538322081</v>
      </c>
      <c r="G14" s="79">
        <f t="shared" si="8"/>
        <v>41581.377012092184</v>
      </c>
      <c r="H14" s="79">
        <f t="shared" si="8"/>
        <v>48142.744795891602</v>
      </c>
      <c r="I14" s="79">
        <f t="shared" si="8"/>
        <v>54129.590986582087</v>
      </c>
      <c r="J14" s="79">
        <f t="shared" si="8"/>
        <v>59541.915584163668</v>
      </c>
      <c r="K14" s="79">
        <f t="shared" si="8"/>
        <v>64379.7185886363</v>
      </c>
      <c r="L14" s="329">
        <f t="shared" si="8"/>
        <v>68643</v>
      </c>
      <c r="M14" s="340">
        <f>M12*(1-M13)</f>
        <v>71443.634399999995</v>
      </c>
    </row>
    <row r="15" spans="1:14" ht="15" customHeight="1">
      <c r="A15" s="44" t="s">
        <v>15</v>
      </c>
      <c r="B15" s="78"/>
      <c r="C15" s="79">
        <f>(C7-B7)/C45</f>
        <v>12816.666666666672</v>
      </c>
      <c r="D15" s="79">
        <f t="shared" ref="D15:L15" si="9">(D7-C7)/D45</f>
        <v>12341.238333333335</v>
      </c>
      <c r="E15" s="79">
        <f t="shared" si="9"/>
        <v>11960.895666666664</v>
      </c>
      <c r="F15" s="79">
        <f t="shared" si="9"/>
        <v>14513.764390476186</v>
      </c>
      <c r="G15" s="79">
        <f t="shared" si="9"/>
        <v>18165.053990476183</v>
      </c>
      <c r="H15" s="79">
        <f t="shared" si="9"/>
        <v>24302.739285714284</v>
      </c>
      <c r="I15" s="79">
        <f t="shared" si="9"/>
        <v>24302.739285714262</v>
      </c>
      <c r="J15" s="79">
        <f t="shared" si="9"/>
        <v>24302.739285714328</v>
      </c>
      <c r="K15" s="79">
        <f t="shared" si="9"/>
        <v>24302.739285714284</v>
      </c>
      <c r="L15" s="329">
        <f t="shared" si="9"/>
        <v>24302.739285714284</v>
      </c>
      <c r="M15" s="343">
        <f>IF(M2&gt;0,(M2/M47)*M14,0)</f>
        <v>19432.668556799999</v>
      </c>
      <c r="N15" s="337">
        <f>SUM(C15:M15)</f>
        <v>210743.98403299047</v>
      </c>
    </row>
    <row r="16" spans="1:14" ht="15" customHeight="1">
      <c r="A16" s="294" t="s">
        <v>16</v>
      </c>
      <c r="B16" s="295"/>
      <c r="C16" s="291">
        <f t="shared" ref="C16:L16" si="10">C14-C15</f>
        <v>4038.7566735738073</v>
      </c>
      <c r="D16" s="291">
        <f t="shared" si="10"/>
        <v>9585.4691809759061</v>
      </c>
      <c r="E16" s="291">
        <f t="shared" si="10"/>
        <v>14507.403824863839</v>
      </c>
      <c r="F16" s="291">
        <f t="shared" si="10"/>
        <v>18037.072147845895</v>
      </c>
      <c r="G16" s="291">
        <f t="shared" si="10"/>
        <v>23416.323021616001</v>
      </c>
      <c r="H16" s="291">
        <f t="shared" si="10"/>
        <v>23840.005510177318</v>
      </c>
      <c r="I16" s="291">
        <f t="shared" si="10"/>
        <v>29826.851700867825</v>
      </c>
      <c r="J16" s="291">
        <f t="shared" si="10"/>
        <v>35239.17629844934</v>
      </c>
      <c r="K16" s="291">
        <f t="shared" si="10"/>
        <v>40076.979302922016</v>
      </c>
      <c r="L16" s="332">
        <f t="shared" si="10"/>
        <v>44340.260714285716</v>
      </c>
      <c r="M16" s="343">
        <f>M14-M15</f>
        <v>52010.9658432</v>
      </c>
    </row>
    <row r="17" spans="1:13" ht="15" customHeight="1">
      <c r="A17" s="44" t="s">
        <v>46</v>
      </c>
      <c r="B17" s="78">
        <f>IF('Input sheet'!B61="Yes",'Input sheet'!B62,0)</f>
        <v>0</v>
      </c>
      <c r="C17" s="79">
        <f>IF(C12&lt;0,B17-C12,IF(B17&gt;C12,B17-C12,0))</f>
        <v>0</v>
      </c>
      <c r="D17" s="79">
        <f t="shared" ref="D17:M17" si="11">IF(D12&lt;0,C17-D12,IF(C17&gt;D12,C17-D12,0))</f>
        <v>0</v>
      </c>
      <c r="E17" s="79">
        <f t="shared" si="11"/>
        <v>0</v>
      </c>
      <c r="F17" s="79">
        <f t="shared" si="11"/>
        <v>0</v>
      </c>
      <c r="G17" s="79">
        <f t="shared" si="11"/>
        <v>0</v>
      </c>
      <c r="H17" s="79">
        <f t="shared" si="11"/>
        <v>0</v>
      </c>
      <c r="I17" s="79">
        <f t="shared" si="11"/>
        <v>0</v>
      </c>
      <c r="J17" s="79">
        <f t="shared" si="11"/>
        <v>0</v>
      </c>
      <c r="K17" s="79">
        <f t="shared" si="11"/>
        <v>0</v>
      </c>
      <c r="L17" s="329">
        <f t="shared" si="11"/>
        <v>0</v>
      </c>
      <c r="M17" s="340">
        <f t="shared" si="11"/>
        <v>0</v>
      </c>
    </row>
    <row r="18" spans="1:13" ht="15" customHeight="1">
      <c r="A18" s="298"/>
      <c r="B18" s="299"/>
      <c r="C18" s="300"/>
      <c r="D18" s="300"/>
      <c r="E18" s="300"/>
      <c r="F18" s="300"/>
      <c r="G18" s="300"/>
      <c r="H18" s="300"/>
      <c r="I18" s="300"/>
      <c r="J18" s="300"/>
      <c r="K18" s="300"/>
      <c r="L18" s="334"/>
      <c r="M18" s="338"/>
    </row>
    <row r="19" spans="1:13" ht="15" customHeight="1">
      <c r="A19" s="294" t="s">
        <v>144</v>
      </c>
      <c r="B19" s="301"/>
      <c r="C19" s="302">
        <f>'Input sheet'!B38</f>
        <v>9.1700000000000004E-2</v>
      </c>
      <c r="D19" s="302">
        <f>C19</f>
        <v>9.1700000000000004E-2</v>
      </c>
      <c r="E19" s="302">
        <f>D19</f>
        <v>9.1700000000000004E-2</v>
      </c>
      <c r="F19" s="302">
        <f>E19</f>
        <v>9.1700000000000004E-2</v>
      </c>
      <c r="G19" s="302">
        <f>F19</f>
        <v>9.1700000000000004E-2</v>
      </c>
      <c r="H19" s="302">
        <f>G19-($G$19-$M$19)/5</f>
        <v>9.0720000000000009E-2</v>
      </c>
      <c r="I19" s="302">
        <f>H19-($G$19-$M$19)/5</f>
        <v>8.9740000000000014E-2</v>
      </c>
      <c r="J19" s="302">
        <f>I19-($G$19-$M$19)/5</f>
        <v>8.8760000000000019E-2</v>
      </c>
      <c r="K19" s="302">
        <f>J19-($G$19-$M$19)/5</f>
        <v>8.7780000000000025E-2</v>
      </c>
      <c r="L19" s="335">
        <f>K19-($G$19-$M$19)/5</f>
        <v>8.680000000000003E-2</v>
      </c>
      <c r="M19" s="339">
        <f>IF('Input sheet'!B48="Yes",'Input sheet'!B49,'Input sheet'!B37+0.045)</f>
        <v>8.6800000000000002E-2</v>
      </c>
    </row>
    <row r="20" spans="1:13" ht="15" customHeight="1">
      <c r="A20" s="44" t="s">
        <v>145</v>
      </c>
      <c r="B20" s="76"/>
      <c r="C20" s="131">
        <f>1/(1+C19)</f>
        <v>0.91600256480718156</v>
      </c>
      <c r="D20" s="131">
        <f>C20*(1/(1+D19))</f>
        <v>0.83906069873333489</v>
      </c>
      <c r="E20" s="131">
        <f t="shared" ref="E20:L20" si="12">D20*(1/(1+E19))</f>
        <v>0.76858175206864066</v>
      </c>
      <c r="F20" s="131">
        <f t="shared" si="12"/>
        <v>0.70402285615887217</v>
      </c>
      <c r="G20" s="131">
        <f t="shared" si="12"/>
        <v>0.64488674192440432</v>
      </c>
      <c r="H20" s="131">
        <f t="shared" si="12"/>
        <v>0.59124866319899183</v>
      </c>
      <c r="I20" s="131">
        <f t="shared" si="12"/>
        <v>0.54255938407234006</v>
      </c>
      <c r="J20" s="131">
        <f t="shared" si="12"/>
        <v>0.49832780784777186</v>
      </c>
      <c r="K20" s="131">
        <f t="shared" si="12"/>
        <v>0.45811451566288391</v>
      </c>
      <c r="L20" s="336">
        <f t="shared" si="12"/>
        <v>0.42152605416165245</v>
      </c>
      <c r="M20" s="338"/>
    </row>
    <row r="21" spans="1:13" ht="15" customHeight="1">
      <c r="A21" s="44" t="s">
        <v>20</v>
      </c>
      <c r="B21" s="76"/>
      <c r="C21" s="79">
        <f t="shared" ref="C21:L21" si="13">C16*C20</f>
        <v>3699.5114716257285</v>
      </c>
      <c r="D21" s="79">
        <f t="shared" si="13"/>
        <v>8042.7904686764914</v>
      </c>
      <c r="E21" s="79">
        <f t="shared" si="13"/>
        <v>11150.125849681148</v>
      </c>
      <c r="F21" s="79">
        <f t="shared" si="13"/>
        <v>12698.51105027011</v>
      </c>
      <c r="G21" s="79">
        <f t="shared" si="13"/>
        <v>15100.876261259365</v>
      </c>
      <c r="H21" s="79">
        <f t="shared" si="13"/>
        <v>14095.371388548938</v>
      </c>
      <c r="I21" s="79">
        <f t="shared" si="13"/>
        <v>16182.838287639875</v>
      </c>
      <c r="J21" s="79">
        <f t="shared" si="13"/>
        <v>17560.661475167421</v>
      </c>
      <c r="K21" s="79">
        <f t="shared" si="13"/>
        <v>18359.845962589541</v>
      </c>
      <c r="L21" s="329">
        <f t="shared" si="13"/>
        <v>18690.575139391793</v>
      </c>
      <c r="M21" s="338" t="s">
        <v>846</v>
      </c>
    </row>
    <row r="22" spans="1:13" ht="15" customHeight="1"/>
    <row r="23" spans="1:13" ht="15" customHeight="1">
      <c r="A23" s="43" t="s">
        <v>21</v>
      </c>
      <c r="B23" s="78">
        <f>M16</f>
        <v>52010.9658432</v>
      </c>
      <c r="H23" s="297"/>
    </row>
    <row r="24" spans="1:13" ht="15" customHeight="1">
      <c r="A24" s="43" t="s">
        <v>140</v>
      </c>
      <c r="B24" s="80">
        <f>M19</f>
        <v>8.6800000000000002E-2</v>
      </c>
      <c r="G24" s="293"/>
      <c r="H24" s="293"/>
      <c r="I24" s="293"/>
      <c r="J24" s="293"/>
      <c r="K24" s="293"/>
      <c r="L24" s="293"/>
    </row>
    <row r="25" spans="1:13">
      <c r="A25" s="43" t="s">
        <v>22</v>
      </c>
      <c r="B25" s="78">
        <f>B23/(B24-M2)</f>
        <v>1130673.1705043479</v>
      </c>
      <c r="D25" s="132"/>
    </row>
    <row r="26" spans="1:13">
      <c r="A26" s="43" t="s">
        <v>23</v>
      </c>
      <c r="B26" s="84">
        <f>B25*L20</f>
        <v>476608.20010914304</v>
      </c>
    </row>
    <row r="27" spans="1:13">
      <c r="A27" s="43" t="s">
        <v>44</v>
      </c>
      <c r="B27" s="84">
        <f>SUM(C21:L21)</f>
        <v>135581.10735485039</v>
      </c>
    </row>
    <row r="28" spans="1:13">
      <c r="A28" s="43" t="s">
        <v>45</v>
      </c>
      <c r="B28" s="84">
        <f>B26+B27</f>
        <v>612189.30746399343</v>
      </c>
    </row>
    <row r="29" spans="1:13">
      <c r="A29" s="43" t="s">
        <v>108</v>
      </c>
      <c r="B29" s="85">
        <f>IF('Input sheet'!B54="Yes",'Input sheet'!B55,0)</f>
        <v>0</v>
      </c>
    </row>
    <row r="30" spans="1:13">
      <c r="A30" s="43" t="s">
        <v>109</v>
      </c>
      <c r="B30" s="86">
        <f>IF('Input sheet'!B56="B",('Input sheet'!B13+'Input sheet'!B14)*'Input sheet'!B57,'Valuation output'!B28*'Input sheet'!B57)</f>
        <v>306094.65373199672</v>
      </c>
    </row>
    <row r="31" spans="1:13">
      <c r="A31" s="43" t="s">
        <v>42</v>
      </c>
      <c r="B31" s="78">
        <f>B28*(1-B29)+B30*B29</f>
        <v>612189.30746399343</v>
      </c>
    </row>
    <row r="32" spans="1:13">
      <c r="A32" s="43" t="s">
        <v>387</v>
      </c>
      <c r="B32" s="78">
        <f>IF('Input sheet'!B16="Yes",'Input sheet'!B14+'Operating lease converter'!C28,'Input sheet'!B14)</f>
        <v>5230</v>
      </c>
    </row>
    <row r="33" spans="1:13">
      <c r="A33" s="43" t="s">
        <v>389</v>
      </c>
      <c r="B33" s="78">
        <f>'Input sheet'!B19</f>
        <v>733</v>
      </c>
    </row>
    <row r="34" spans="1:13">
      <c r="A34" s="43" t="s">
        <v>386</v>
      </c>
      <c r="B34" s="78">
        <f>IF('Input sheet'!B67="YES",'Input sheet'!B17-'Input sheet'!B68*('Input sheet'!B23-'Input sheet'!B69),'Input sheet'!B17)</f>
        <v>29094</v>
      </c>
    </row>
    <row r="35" spans="1:13">
      <c r="A35" s="43" t="s">
        <v>385</v>
      </c>
      <c r="B35" s="78">
        <f>'Input sheet'!B18</f>
        <v>0</v>
      </c>
    </row>
    <row r="36" spans="1:13">
      <c r="A36" s="43" t="s">
        <v>50</v>
      </c>
      <c r="B36" s="84">
        <f>B31-B32-B33+B34+B35</f>
        <v>635320.30746399343</v>
      </c>
    </row>
    <row r="37" spans="1:13">
      <c r="A37" s="43" t="s">
        <v>56</v>
      </c>
      <c r="B37" s="87">
        <f ca="1">IF('Input sheet'!B40="No",0,'Option value'!D27)</f>
        <v>51761.387392874705</v>
      </c>
    </row>
    <row r="38" spans="1:13">
      <c r="A38" s="43" t="s">
        <v>57</v>
      </c>
      <c r="B38" s="84">
        <f ca="1">B36-B37</f>
        <v>583558.92007111874</v>
      </c>
    </row>
    <row r="39" spans="1:13">
      <c r="A39" s="43" t="s">
        <v>13</v>
      </c>
      <c r="B39" s="88">
        <f>'Input sheet'!B20</f>
        <v>3193.1</v>
      </c>
    </row>
    <row r="40" spans="1:13">
      <c r="A40" s="43" t="s">
        <v>92</v>
      </c>
      <c r="B40" s="89">
        <f ca="1">B38/B39</f>
        <v>182.75623064455192</v>
      </c>
    </row>
    <row r="41" spans="1:13">
      <c r="A41" s="43" t="s">
        <v>99</v>
      </c>
      <c r="B41" s="78">
        <f>'Input sheet'!B21</f>
        <v>182.58</v>
      </c>
    </row>
    <row r="42" spans="1:13">
      <c r="A42" s="43" t="s">
        <v>48</v>
      </c>
      <c r="B42" s="81">
        <f ca="1">B41/B40</f>
        <v>0.99903570650406626</v>
      </c>
    </row>
    <row r="44" spans="1:13">
      <c r="A44" s="45" t="s">
        <v>17</v>
      </c>
      <c r="B44" s="76"/>
      <c r="C44" s="83"/>
      <c r="D44" s="83"/>
      <c r="E44" s="83"/>
      <c r="F44" s="83"/>
      <c r="G44" s="83"/>
      <c r="H44" s="83"/>
      <c r="I44" s="83"/>
      <c r="J44" s="83"/>
      <c r="K44" s="83"/>
      <c r="L44" s="83"/>
      <c r="M44" s="83" t="s">
        <v>41</v>
      </c>
    </row>
    <row r="45" spans="1:13">
      <c r="A45" s="43" t="s">
        <v>36</v>
      </c>
      <c r="B45" s="76"/>
      <c r="C45" s="90">
        <f>'Input sheet'!B35</f>
        <v>4</v>
      </c>
      <c r="D45" s="90">
        <f>C45</f>
        <v>4</v>
      </c>
      <c r="E45" s="90">
        <f t="shared" ref="E45:L45" si="14">D45</f>
        <v>4</v>
      </c>
      <c r="F45" s="90">
        <f t="shared" si="14"/>
        <v>4</v>
      </c>
      <c r="G45" s="90">
        <f t="shared" si="14"/>
        <v>4</v>
      </c>
      <c r="H45" s="90">
        <f>'Input sheet'!C35</f>
        <v>2.6666666666666665</v>
      </c>
      <c r="I45" s="90">
        <f t="shared" si="14"/>
        <v>2.6666666666666665</v>
      </c>
      <c r="J45" s="90">
        <f t="shared" si="14"/>
        <v>2.6666666666666665</v>
      </c>
      <c r="K45" s="90">
        <f t="shared" si="14"/>
        <v>2.6666666666666665</v>
      </c>
      <c r="L45" s="90">
        <f t="shared" si="14"/>
        <v>2.6666666666666665</v>
      </c>
      <c r="M45" s="83"/>
    </row>
    <row r="46" spans="1:13">
      <c r="A46" s="43" t="s">
        <v>18</v>
      </c>
      <c r="B46" s="91">
        <f>IF('Input sheet'!B16="Yes",IF('Input sheet'!B15="Yes",'Input sheet'!B13+'Input sheet'!B14-'Input sheet'!B17+'Operating lease converter'!F33+'R&amp; D converter'!D35,'Input sheet'!B13+'Input sheet'!B14-'Input sheet'!B17+'Operating lease converter'!F33),IF('Input sheet'!B15="Yes",'Input sheet'!B13+'Input sheet'!B14-'Input sheet'!B17+'R&amp; D converter'!D35,'Input sheet'!B13+'Input sheet'!B14-'Input sheet'!B17))</f>
        <v>47629.2</v>
      </c>
      <c r="C46" s="92">
        <f t="shared" ref="C46:L46" si="15">B46+C15</f>
        <v>60445.866666666669</v>
      </c>
      <c r="D46" s="92">
        <f t="shared" si="15"/>
        <v>72787.10500000001</v>
      </c>
      <c r="E46" s="92">
        <f t="shared" si="15"/>
        <v>84748.000666666674</v>
      </c>
      <c r="F46" s="92">
        <f t="shared" si="15"/>
        <v>99261.765057142853</v>
      </c>
      <c r="G46" s="92">
        <f t="shared" si="15"/>
        <v>117426.81904761904</v>
      </c>
      <c r="H46" s="92">
        <f t="shared" si="15"/>
        <v>141729.55833333332</v>
      </c>
      <c r="I46" s="92">
        <f t="shared" si="15"/>
        <v>166032.29761904757</v>
      </c>
      <c r="J46" s="92">
        <f t="shared" si="15"/>
        <v>190335.03690476192</v>
      </c>
      <c r="K46" s="92">
        <f t="shared" si="15"/>
        <v>214637.7761904762</v>
      </c>
      <c r="L46" s="92">
        <f t="shared" si="15"/>
        <v>238940.51547619049</v>
      </c>
      <c r="M46" s="83"/>
    </row>
    <row r="47" spans="1:13">
      <c r="A47" s="43" t="s">
        <v>19</v>
      </c>
      <c r="B47" s="80">
        <f t="shared" ref="B47:L47" si="16">B14/B46</f>
        <v>0.20681418499253321</v>
      </c>
      <c r="C47" s="77">
        <f t="shared" si="16"/>
        <v>0.27885154551908392</v>
      </c>
      <c r="D47" s="77">
        <f t="shared" si="16"/>
        <v>0.30124439643957868</v>
      </c>
      <c r="E47" s="77">
        <f t="shared" si="16"/>
        <v>0.31231768635624096</v>
      </c>
      <c r="F47" s="77">
        <f t="shared" si="16"/>
        <v>0.32792925372204762</v>
      </c>
      <c r="G47" s="77">
        <f t="shared" si="16"/>
        <v>0.35410460190725307</v>
      </c>
      <c r="H47" s="77">
        <f t="shared" si="16"/>
        <v>0.33968034164521155</v>
      </c>
      <c r="I47" s="77">
        <f t="shared" si="16"/>
        <v>0.32601844197072788</v>
      </c>
      <c r="J47" s="77">
        <f t="shared" si="16"/>
        <v>0.31282687913080709</v>
      </c>
      <c r="K47" s="77">
        <f t="shared" si="16"/>
        <v>0.29994588898229985</v>
      </c>
      <c r="L47" s="93">
        <f t="shared" si="16"/>
        <v>0.28728070609205669</v>
      </c>
      <c r="M47" s="77">
        <f>IF('Input sheet'!B51="Yes",'Input sheet'!B52,'Valuation output'!L19)</f>
        <v>0.15</v>
      </c>
    </row>
  </sheetData>
  <phoneticPr fontId="6" type="noConversion"/>
  <pageMargins left="0.75" right="0.75" top="1" bottom="1" header="0.5" footer="0.5"/>
  <pageSetup orientation="landscape" horizontalDpi="4294967292" verticalDpi="4294967292"/>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39"/>
  <sheetViews>
    <sheetView zoomScale="124" zoomScaleNormal="124" workbookViewId="0">
      <selection activeCell="F9" sqref="F9"/>
    </sheetView>
  </sheetViews>
  <sheetFormatPr baseColWidth="10" defaultRowHeight="16"/>
  <cols>
    <col min="1" max="1" width="20.33203125" style="231" customWidth="1"/>
    <col min="2" max="2" width="14.5" style="231" bestFit="1" customWidth="1"/>
    <col min="3" max="3" width="17.6640625" style="231" customWidth="1"/>
    <col min="4" max="4" width="16.5" style="231" customWidth="1"/>
    <col min="5" max="5" width="13.83203125" style="231" customWidth="1"/>
    <col min="6" max="6" width="24.6640625" style="232" customWidth="1"/>
    <col min="7" max="7" width="37.1640625" style="231" customWidth="1"/>
    <col min="8" max="8" width="17" customWidth="1"/>
  </cols>
  <sheetData>
    <row r="1" spans="1:11" ht="18">
      <c r="A1" s="397" t="str">
        <f>'Input sheet'!B2</f>
        <v>Tesla</v>
      </c>
      <c r="B1" s="398"/>
      <c r="C1" s="398"/>
      <c r="D1" s="398"/>
      <c r="E1" s="398"/>
      <c r="F1" s="398"/>
      <c r="G1" s="399"/>
    </row>
    <row r="2" spans="1:11" ht="18">
      <c r="A2" s="400" t="s">
        <v>838</v>
      </c>
      <c r="B2" s="400"/>
      <c r="C2" s="400"/>
      <c r="D2" s="400"/>
      <c r="E2" s="400"/>
      <c r="F2" s="400"/>
      <c r="G2" s="303">
        <f>'Input sheet'!B1</f>
        <v>43857</v>
      </c>
    </row>
    <row r="3" spans="1:11" ht="16" customHeight="1">
      <c r="A3" s="373" t="s">
        <v>839</v>
      </c>
      <c r="B3" s="374"/>
      <c r="C3" s="374"/>
      <c r="D3" s="374"/>
      <c r="E3" s="374"/>
      <c r="F3" s="374"/>
      <c r="G3" s="374"/>
      <c r="H3" s="375" t="s">
        <v>552</v>
      </c>
      <c r="I3" s="376"/>
      <c r="J3" s="376"/>
      <c r="K3" s="377"/>
    </row>
    <row r="4" spans="1:11" ht="16" customHeight="1">
      <c r="A4" s="374"/>
      <c r="B4" s="374"/>
      <c r="C4" s="374"/>
      <c r="D4" s="374"/>
      <c r="E4" s="374"/>
      <c r="F4" s="374"/>
      <c r="G4" s="374"/>
      <c r="H4" s="378"/>
      <c r="I4" s="378"/>
      <c r="J4" s="378"/>
      <c r="K4" s="379"/>
    </row>
    <row r="5" spans="1:11" ht="12" customHeight="1">
      <c r="A5" s="374"/>
      <c r="B5" s="374"/>
      <c r="C5" s="374"/>
      <c r="D5" s="374"/>
      <c r="E5" s="374"/>
      <c r="F5" s="374"/>
      <c r="G5" s="374"/>
      <c r="H5" s="378"/>
      <c r="I5" s="378"/>
      <c r="J5" s="378"/>
      <c r="K5" s="379"/>
    </row>
    <row r="6" spans="1:11" ht="53" customHeight="1">
      <c r="A6" s="374"/>
      <c r="B6" s="374"/>
      <c r="C6" s="374"/>
      <c r="D6" s="374"/>
      <c r="E6" s="374"/>
      <c r="F6" s="374"/>
      <c r="G6" s="374"/>
      <c r="H6" s="380"/>
      <c r="I6" s="380"/>
      <c r="J6" s="380"/>
      <c r="K6" s="381"/>
    </row>
    <row r="7" spans="1:11" ht="18">
      <c r="A7" s="400" t="s">
        <v>529</v>
      </c>
      <c r="B7" s="400"/>
      <c r="C7" s="400"/>
      <c r="D7" s="400"/>
      <c r="E7" s="400"/>
      <c r="F7" s="400"/>
      <c r="G7" s="400"/>
    </row>
    <row r="8" spans="1:11" ht="18">
      <c r="A8" s="304"/>
      <c r="B8" s="305" t="s">
        <v>530</v>
      </c>
      <c r="C8" s="306">
        <v>44105</v>
      </c>
      <c r="D8" s="305" t="s">
        <v>835</v>
      </c>
      <c r="E8" s="305"/>
      <c r="F8" s="305" t="s">
        <v>41</v>
      </c>
      <c r="G8" s="305" t="s">
        <v>539</v>
      </c>
    </row>
    <row r="9" spans="1:11" ht="57">
      <c r="A9" s="304" t="s">
        <v>540</v>
      </c>
      <c r="B9" s="307">
        <f>'Valuation output'!B7</f>
        <v>96773</v>
      </c>
      <c r="C9" s="308"/>
      <c r="D9" s="308">
        <f>F9</f>
        <v>4.0800000000000003E-2</v>
      </c>
      <c r="E9" s="309"/>
      <c r="F9" s="308">
        <f>'Valuation output'!M2</f>
        <v>4.0800000000000003E-2</v>
      </c>
      <c r="G9" s="310" t="s">
        <v>627</v>
      </c>
      <c r="H9" s="382" t="s">
        <v>553</v>
      </c>
      <c r="I9" s="382"/>
      <c r="J9" s="382"/>
      <c r="K9" s="383"/>
    </row>
    <row r="10" spans="1:11" ht="57">
      <c r="A10" s="304" t="s">
        <v>541</v>
      </c>
      <c r="B10" s="308">
        <f>'Valuation output'!B12/'Valuation output'!B7</f>
        <v>0.11220278383433396</v>
      </c>
      <c r="C10" s="308">
        <f>B10</f>
        <v>0.11220278383433396</v>
      </c>
      <c r="D10" s="308">
        <f>'Valuation output'!G12/'Valuation output'!G7</f>
        <v>0.12191508275943221</v>
      </c>
      <c r="E10" s="308"/>
      <c r="F10" s="308">
        <f>'Valuation output'!L12/'Valuation output'!L7</f>
        <v>0.13074857142857144</v>
      </c>
      <c r="G10" s="311" t="s">
        <v>785</v>
      </c>
      <c r="H10" s="384"/>
      <c r="I10" s="384"/>
      <c r="J10" s="384"/>
      <c r="K10" s="385"/>
    </row>
    <row r="11" spans="1:11" ht="18">
      <c r="A11" s="304" t="s">
        <v>138</v>
      </c>
      <c r="B11" s="308">
        <f>'Valuation output'!B13</f>
        <v>9.2815183009489377E-2</v>
      </c>
      <c r="C11" s="308">
        <f>B11</f>
        <v>9.2815183009489377E-2</v>
      </c>
      <c r="D11" s="308">
        <f>F11</f>
        <v>0.25</v>
      </c>
      <c r="E11" s="308"/>
      <c r="F11" s="308">
        <f>'Valuation output'!M13</f>
        <v>0.25</v>
      </c>
      <c r="G11" s="304" t="s">
        <v>628</v>
      </c>
      <c r="H11" s="384"/>
      <c r="I11" s="384"/>
      <c r="J11" s="384"/>
      <c r="K11" s="385"/>
    </row>
    <row r="12" spans="1:11" ht="38">
      <c r="A12" s="304" t="s">
        <v>542</v>
      </c>
      <c r="B12" s="309"/>
      <c r="C12" s="312" t="s">
        <v>546</v>
      </c>
      <c r="D12" s="313">
        <f>'Input sheet'!B35</f>
        <v>4</v>
      </c>
      <c r="E12" s="314" t="s">
        <v>557</v>
      </c>
      <c r="F12" s="315">
        <f>'Valuation output'!M2/'Valuation output'!M47</f>
        <v>0.27200000000000002</v>
      </c>
      <c r="G12" s="311" t="s">
        <v>629</v>
      </c>
      <c r="H12" s="384"/>
      <c r="I12" s="384"/>
      <c r="J12" s="384"/>
      <c r="K12" s="385"/>
    </row>
    <row r="13" spans="1:11" ht="18">
      <c r="A13" s="304" t="s">
        <v>555</v>
      </c>
      <c r="B13" s="308">
        <f>'Valuation output'!B47</f>
        <v>0.20681418499253321</v>
      </c>
      <c r="C13" s="312" t="s">
        <v>556</v>
      </c>
      <c r="D13" s="316">
        <f>Diagnostics!B6</f>
        <v>0.42164677922586974</v>
      </c>
      <c r="E13" s="314"/>
      <c r="F13" s="315">
        <f>'Valuation output'!M47</f>
        <v>0.15</v>
      </c>
      <c r="G13" s="304" t="s">
        <v>631</v>
      </c>
      <c r="H13" s="384"/>
      <c r="I13" s="384"/>
      <c r="J13" s="384"/>
      <c r="K13" s="385"/>
    </row>
    <row r="14" spans="1:11" ht="18">
      <c r="A14" s="304" t="s">
        <v>543</v>
      </c>
      <c r="B14" s="309"/>
      <c r="C14" s="308">
        <f>'Valuation output'!C19</f>
        <v>9.1700000000000004E-2</v>
      </c>
      <c r="D14" s="308">
        <f>F14</f>
        <v>8.6800000000000002E-2</v>
      </c>
      <c r="E14" s="309"/>
      <c r="F14" s="308">
        <f>'Valuation output'!M19</f>
        <v>8.6800000000000002E-2</v>
      </c>
      <c r="G14" s="304" t="s">
        <v>630</v>
      </c>
      <c r="H14" s="386"/>
      <c r="I14" s="386"/>
      <c r="J14" s="386"/>
      <c r="K14" s="387"/>
    </row>
    <row r="15" spans="1:11" ht="18">
      <c r="A15" s="400" t="s">
        <v>534</v>
      </c>
      <c r="B15" s="400"/>
      <c r="C15" s="400"/>
      <c r="D15" s="400"/>
      <c r="E15" s="400"/>
      <c r="F15" s="400"/>
      <c r="G15" s="400"/>
    </row>
    <row r="16" spans="1:11" ht="18">
      <c r="A16" s="305"/>
      <c r="B16" s="317" t="s">
        <v>11</v>
      </c>
      <c r="C16" s="317" t="s">
        <v>533</v>
      </c>
      <c r="D16" s="317" t="s">
        <v>547</v>
      </c>
      <c r="E16" s="317" t="s">
        <v>535</v>
      </c>
      <c r="F16" s="317" t="s">
        <v>544</v>
      </c>
      <c r="G16" s="318" t="s">
        <v>16</v>
      </c>
      <c r="H16" s="388" t="s">
        <v>554</v>
      </c>
      <c r="I16" s="389"/>
      <c r="J16" s="389"/>
      <c r="K16" s="390"/>
    </row>
    <row r="17" spans="1:11" ht="18">
      <c r="A17" s="309">
        <v>1</v>
      </c>
      <c r="B17" s="325">
        <f>'Valuation output'!C7</f>
        <v>148039.66666666669</v>
      </c>
      <c r="C17" s="315">
        <f>D17/B17</f>
        <v>0.12550637703994375</v>
      </c>
      <c r="D17" s="326">
        <f>'Valuation output'!C12</f>
        <v>18579.92222153426</v>
      </c>
      <c r="E17" s="325">
        <f>'Valuation output'!C14</f>
        <v>16855.423340240479</v>
      </c>
      <c r="F17" s="325">
        <f>'Valuation output'!C15</f>
        <v>12816.666666666672</v>
      </c>
      <c r="G17" s="326">
        <f>E17-F17</f>
        <v>4038.7566735738073</v>
      </c>
      <c r="H17" s="391"/>
      <c r="I17" s="391"/>
      <c r="J17" s="391"/>
      <c r="K17" s="392"/>
    </row>
    <row r="18" spans="1:11" ht="18">
      <c r="A18" s="309">
        <v>2</v>
      </c>
      <c r="B18" s="325">
        <f>'Valuation output'!D7</f>
        <v>197404.62000000002</v>
      </c>
      <c r="C18" s="315">
        <f t="shared" ref="C18:C27" si="0">D18/B18</f>
        <v>0.1224391589877754</v>
      </c>
      <c r="D18" s="326">
        <f>'Valuation output'!D12</f>
        <v>24170.05565310139</v>
      </c>
      <c r="E18" s="325">
        <f>'Valuation output'!D14</f>
        <v>21926.707514309241</v>
      </c>
      <c r="F18" s="325">
        <f>'Valuation output'!D15</f>
        <v>12341.238333333335</v>
      </c>
      <c r="G18" s="326">
        <f t="shared" ref="G18:G27" si="1">E18-F18</f>
        <v>9585.4691809759061</v>
      </c>
      <c r="H18" s="391"/>
      <c r="I18" s="391"/>
      <c r="J18" s="391"/>
      <c r="K18" s="392"/>
    </row>
    <row r="19" spans="1:11" ht="18">
      <c r="A19" s="309">
        <v>3</v>
      </c>
      <c r="B19" s="325">
        <f>'Valuation output'!E7</f>
        <v>245248.20266666668</v>
      </c>
      <c r="C19" s="315">
        <f t="shared" si="0"/>
        <v>0.11896643121981829</v>
      </c>
      <c r="D19" s="326">
        <f>'Valuation output'!E12</f>
        <v>29176.303434328056</v>
      </c>
      <c r="E19" s="325">
        <f>'Valuation output'!E14</f>
        <v>26468.299491530503</v>
      </c>
      <c r="F19" s="325">
        <f>'Valuation output'!E15</f>
        <v>11960.895666666664</v>
      </c>
      <c r="G19" s="326">
        <f t="shared" si="1"/>
        <v>14507.403824863839</v>
      </c>
      <c r="H19" s="391"/>
      <c r="I19" s="391"/>
      <c r="J19" s="391"/>
      <c r="K19" s="392"/>
    </row>
    <row r="20" spans="1:11" ht="18">
      <c r="A20" s="309">
        <v>4</v>
      </c>
      <c r="B20" s="325">
        <f>'Valuation output'!F7</f>
        <v>303303.26022857142</v>
      </c>
      <c r="C20" s="315">
        <f t="shared" si="0"/>
        <v>0.11830124154965867</v>
      </c>
      <c r="D20" s="326">
        <f>'Valuation output'!F12</f>
        <v>35881.152251099207</v>
      </c>
      <c r="E20" s="325">
        <f>'Valuation output'!F14</f>
        <v>32550.836538322081</v>
      </c>
      <c r="F20" s="325">
        <f>'Valuation output'!F15</f>
        <v>14513.764390476186</v>
      </c>
      <c r="G20" s="326">
        <f t="shared" si="1"/>
        <v>18037.072147845895</v>
      </c>
      <c r="H20" s="391"/>
      <c r="I20" s="391"/>
      <c r="J20" s="391"/>
      <c r="K20" s="392"/>
    </row>
    <row r="21" spans="1:11" ht="18">
      <c r="A21" s="309">
        <v>5</v>
      </c>
      <c r="B21" s="325">
        <f>'Valuation output'!G7</f>
        <v>375963.47619047615</v>
      </c>
      <c r="C21" s="315">
        <f t="shared" si="0"/>
        <v>0.12191508275943221</v>
      </c>
      <c r="D21" s="326">
        <f>'Valuation output'!G12</f>
        <v>45835.618314285719</v>
      </c>
      <c r="E21" s="325">
        <f>'Valuation output'!G14</f>
        <v>41581.377012092184</v>
      </c>
      <c r="F21" s="325">
        <f>'Valuation output'!G15</f>
        <v>18165.053990476183</v>
      </c>
      <c r="G21" s="326">
        <f t="shared" si="1"/>
        <v>23416.323021616001</v>
      </c>
      <c r="H21" s="391"/>
      <c r="I21" s="391"/>
      <c r="J21" s="391"/>
      <c r="K21" s="392"/>
    </row>
    <row r="22" spans="1:11" ht="18">
      <c r="A22" s="309">
        <v>6</v>
      </c>
      <c r="B22" s="325">
        <f>'Valuation output'!H7</f>
        <v>440770.78095238091</v>
      </c>
      <c r="C22" s="315">
        <f t="shared" si="0"/>
        <v>0.12472082321937684</v>
      </c>
      <c r="D22" s="326">
        <f>'Valuation output'!H12</f>
        <v>54973.294651428572</v>
      </c>
      <c r="E22" s="325">
        <f>'Valuation output'!H14</f>
        <v>48142.744795891602</v>
      </c>
      <c r="F22" s="325">
        <f>'Valuation output'!H15</f>
        <v>24302.739285714284</v>
      </c>
      <c r="G22" s="326">
        <f t="shared" si="1"/>
        <v>23840.005510177318</v>
      </c>
      <c r="H22" s="391"/>
      <c r="I22" s="391"/>
      <c r="J22" s="391"/>
      <c r="K22" s="392"/>
    </row>
    <row r="23" spans="1:11" ht="18">
      <c r="A23" s="309">
        <v>7</v>
      </c>
      <c r="B23" s="325">
        <f>'Valuation output'!I7</f>
        <v>505578.08571428561</v>
      </c>
      <c r="C23" s="315">
        <f t="shared" si="0"/>
        <v>0.12680725846333871</v>
      </c>
      <c r="D23" s="326">
        <f>'Valuation output'!I12</f>
        <v>64110.970988571426</v>
      </c>
      <c r="E23" s="325">
        <f>'Valuation output'!I14</f>
        <v>54129.590986582087</v>
      </c>
      <c r="F23" s="325">
        <f>'Valuation output'!I15</f>
        <v>24302.739285714262</v>
      </c>
      <c r="G23" s="326">
        <f t="shared" si="1"/>
        <v>29826.851700867825</v>
      </c>
      <c r="H23" s="391"/>
      <c r="I23" s="391"/>
      <c r="J23" s="391"/>
      <c r="K23" s="392"/>
    </row>
    <row r="24" spans="1:11" ht="18">
      <c r="A24" s="309">
        <v>8</v>
      </c>
      <c r="B24" s="325">
        <f>'Valuation output'!J7</f>
        <v>570385.39047619049</v>
      </c>
      <c r="C24" s="315">
        <f t="shared" si="0"/>
        <v>0.12841957130872886</v>
      </c>
      <c r="D24" s="326">
        <f>'Valuation output'!J12</f>
        <v>73248.647325714293</v>
      </c>
      <c r="E24" s="325">
        <f>'Valuation output'!J14</f>
        <v>59541.915584163668</v>
      </c>
      <c r="F24" s="325">
        <f>'Valuation output'!J15</f>
        <v>24302.739285714328</v>
      </c>
      <c r="G24" s="326">
        <f t="shared" si="1"/>
        <v>35239.17629844934</v>
      </c>
      <c r="H24" s="391"/>
      <c r="I24" s="391"/>
      <c r="J24" s="391"/>
      <c r="K24" s="392"/>
    </row>
    <row r="25" spans="1:11" ht="18">
      <c r="A25" s="309">
        <v>9</v>
      </c>
      <c r="B25" s="325">
        <f>'Valuation output'!K7</f>
        <v>635192.69523809524</v>
      </c>
      <c r="C25" s="315">
        <f t="shared" si="0"/>
        <v>0.12970288273226363</v>
      </c>
      <c r="D25" s="326">
        <f>'Valuation output'!K12</f>
        <v>82386.323662857147</v>
      </c>
      <c r="E25" s="325">
        <f>'Valuation output'!K14</f>
        <v>64379.7185886363</v>
      </c>
      <c r="F25" s="325">
        <f>'Valuation output'!K15</f>
        <v>24302.739285714284</v>
      </c>
      <c r="G25" s="326">
        <f t="shared" si="1"/>
        <v>40076.979302922016</v>
      </c>
      <c r="H25" s="391"/>
      <c r="I25" s="391"/>
      <c r="J25" s="391"/>
      <c r="K25" s="392"/>
    </row>
    <row r="26" spans="1:11" ht="18">
      <c r="A26" s="309">
        <v>10</v>
      </c>
      <c r="B26" s="325">
        <f>'Valuation output'!L7</f>
        <v>700000</v>
      </c>
      <c r="C26" s="315">
        <f t="shared" si="0"/>
        <v>0.13074857142857144</v>
      </c>
      <c r="D26" s="326">
        <f>'Valuation output'!L12</f>
        <v>91524</v>
      </c>
      <c r="E26" s="325">
        <f>'Valuation output'!L14</f>
        <v>68643</v>
      </c>
      <c r="F26" s="325">
        <f>'Valuation output'!L15</f>
        <v>24302.739285714284</v>
      </c>
      <c r="G26" s="326">
        <f t="shared" si="1"/>
        <v>44340.260714285716</v>
      </c>
      <c r="H26" s="391"/>
      <c r="I26" s="391"/>
      <c r="J26" s="391"/>
      <c r="K26" s="392"/>
    </row>
    <row r="27" spans="1:11" ht="18">
      <c r="A27" s="309" t="s">
        <v>43</v>
      </c>
      <c r="B27" s="325">
        <f>'Valuation output'!M7</f>
        <v>728560</v>
      </c>
      <c r="C27" s="315">
        <f t="shared" si="0"/>
        <v>0.13074857142857144</v>
      </c>
      <c r="D27" s="326">
        <f>'Valuation output'!M12</f>
        <v>95258.179199999999</v>
      </c>
      <c r="E27" s="325">
        <f>'Valuation output'!M14</f>
        <v>71443.634399999995</v>
      </c>
      <c r="F27" s="325">
        <f>'Valuation output'!M15</f>
        <v>19432.668556799999</v>
      </c>
      <c r="G27" s="326">
        <f t="shared" si="1"/>
        <v>52010.9658432</v>
      </c>
      <c r="H27" s="393"/>
      <c r="I27" s="393"/>
      <c r="J27" s="393"/>
      <c r="K27" s="394"/>
    </row>
    <row r="28" spans="1:11" ht="18">
      <c r="A28" s="400" t="s">
        <v>536</v>
      </c>
      <c r="B28" s="400"/>
      <c r="C28" s="400"/>
      <c r="D28" s="400"/>
      <c r="E28" s="400"/>
      <c r="F28" s="400"/>
      <c r="G28" s="400"/>
    </row>
    <row r="29" spans="1:11" ht="18">
      <c r="A29" s="372" t="s">
        <v>537</v>
      </c>
      <c r="B29" s="372"/>
      <c r="C29" s="372"/>
      <c r="D29" s="320">
        <f>'Valuation output'!B25</f>
        <v>1130673.1705043479</v>
      </c>
      <c r="E29" s="320"/>
      <c r="F29" s="304"/>
      <c r="G29" s="304"/>
      <c r="H29" s="384" t="s">
        <v>558</v>
      </c>
      <c r="I29" s="384"/>
      <c r="J29" s="384"/>
      <c r="K29" s="384"/>
    </row>
    <row r="30" spans="1:11" ht="18">
      <c r="A30" s="372" t="s">
        <v>538</v>
      </c>
      <c r="B30" s="372"/>
      <c r="C30" s="372"/>
      <c r="D30" s="320">
        <f>'Valuation output'!B26</f>
        <v>476608.20010914304</v>
      </c>
      <c r="E30" s="320"/>
      <c r="F30" s="304"/>
      <c r="G30" s="304"/>
      <c r="H30" s="384"/>
      <c r="I30" s="384"/>
      <c r="J30" s="384"/>
      <c r="K30" s="384"/>
    </row>
    <row r="31" spans="1:11" ht="18">
      <c r="A31" s="372" t="s">
        <v>44</v>
      </c>
      <c r="B31" s="372"/>
      <c r="C31" s="372"/>
      <c r="D31" s="320">
        <f>'Valuation output'!B27</f>
        <v>135581.10735485039</v>
      </c>
      <c r="E31" s="320"/>
      <c r="F31" s="304"/>
      <c r="G31" s="304"/>
      <c r="H31" s="384"/>
      <c r="I31" s="384"/>
      <c r="J31" s="384"/>
      <c r="K31" s="384"/>
    </row>
    <row r="32" spans="1:11" ht="18">
      <c r="A32" s="372" t="s">
        <v>42</v>
      </c>
      <c r="B32" s="372"/>
      <c r="C32" s="372"/>
      <c r="D32" s="320">
        <f>'Valuation output'!B28</f>
        <v>612189.30746399343</v>
      </c>
      <c r="E32" s="320"/>
      <c r="F32" s="304"/>
      <c r="G32" s="304"/>
      <c r="H32" s="384"/>
      <c r="I32" s="384"/>
      <c r="J32" s="384"/>
      <c r="K32" s="384"/>
    </row>
    <row r="33" spans="1:11" ht="18">
      <c r="A33" s="372" t="s">
        <v>548</v>
      </c>
      <c r="B33" s="372"/>
      <c r="C33" s="372"/>
      <c r="D33" s="320">
        <f>D32-'Valuation output'!B31</f>
        <v>0</v>
      </c>
      <c r="E33" s="395" t="s">
        <v>108</v>
      </c>
      <c r="F33" s="395"/>
      <c r="G33" s="321">
        <f>'Valuation output'!B29</f>
        <v>0</v>
      </c>
      <c r="H33" s="384"/>
      <c r="I33" s="384"/>
      <c r="J33" s="384"/>
      <c r="K33" s="384"/>
    </row>
    <row r="34" spans="1:11" ht="18">
      <c r="A34" s="372" t="s">
        <v>679</v>
      </c>
      <c r="B34" s="372"/>
      <c r="C34" s="372"/>
      <c r="D34" s="320">
        <f>'Valuation output'!B32+'Valuation output'!B33</f>
        <v>5963</v>
      </c>
      <c r="E34" s="320"/>
      <c r="F34" s="304"/>
      <c r="G34" s="304"/>
      <c r="H34" s="384"/>
      <c r="I34" s="384"/>
      <c r="J34" s="384"/>
      <c r="K34" s="384"/>
    </row>
    <row r="35" spans="1:11" ht="18">
      <c r="A35" s="372" t="s">
        <v>549</v>
      </c>
      <c r="B35" s="372"/>
      <c r="C35" s="372"/>
      <c r="D35" s="320">
        <f>'Valuation output'!B34+'Valuation output'!B35</f>
        <v>29094</v>
      </c>
      <c r="E35" s="320"/>
      <c r="F35" s="304"/>
      <c r="G35" s="304"/>
      <c r="H35" s="384"/>
      <c r="I35" s="384"/>
      <c r="J35" s="384"/>
      <c r="K35" s="384"/>
    </row>
    <row r="36" spans="1:11" ht="18">
      <c r="A36" s="372" t="s">
        <v>50</v>
      </c>
      <c r="B36" s="372"/>
      <c r="C36" s="372"/>
      <c r="D36" s="320">
        <f>D32-D33-D34+D35</f>
        <v>635320.30746399343</v>
      </c>
      <c r="E36" s="320"/>
      <c r="F36" s="304"/>
      <c r="G36" s="304"/>
      <c r="H36" s="384"/>
      <c r="I36" s="384"/>
      <c r="J36" s="384"/>
      <c r="K36" s="384"/>
    </row>
    <row r="37" spans="1:11" ht="18">
      <c r="A37" s="372" t="s">
        <v>550</v>
      </c>
      <c r="B37" s="372"/>
      <c r="C37" s="372"/>
      <c r="D37" s="320">
        <f ca="1">'Valuation output'!B37</f>
        <v>51761.387392874705</v>
      </c>
      <c r="E37" s="320"/>
      <c r="F37" s="304"/>
      <c r="G37" s="304"/>
      <c r="H37" s="384"/>
      <c r="I37" s="384"/>
      <c r="J37" s="384"/>
      <c r="K37" s="384"/>
    </row>
    <row r="38" spans="1:11" ht="18">
      <c r="A38" s="372" t="s">
        <v>545</v>
      </c>
      <c r="B38" s="372"/>
      <c r="C38" s="372"/>
      <c r="D38" s="322">
        <f>'Valuation output'!B39</f>
        <v>3193.1</v>
      </c>
      <c r="E38" s="304"/>
      <c r="F38" s="319"/>
      <c r="G38" s="304"/>
      <c r="H38" s="384"/>
      <c r="I38" s="384"/>
      <c r="J38" s="384"/>
      <c r="K38" s="384"/>
    </row>
    <row r="39" spans="1:11" ht="18">
      <c r="A39" s="372" t="s">
        <v>523</v>
      </c>
      <c r="B39" s="372"/>
      <c r="C39" s="372"/>
      <c r="D39" s="323">
        <f ca="1">(D36-D37)/D38</f>
        <v>182.75623064455192</v>
      </c>
      <c r="E39" s="396" t="s">
        <v>551</v>
      </c>
      <c r="F39" s="396"/>
      <c r="G39" s="324">
        <f>'Input sheet'!B21</f>
        <v>182.58</v>
      </c>
      <c r="H39" s="384"/>
      <c r="I39" s="384"/>
      <c r="J39" s="384"/>
      <c r="K39" s="384"/>
    </row>
  </sheetData>
  <mergeCells count="23">
    <mergeCell ref="A36:C36"/>
    <mergeCell ref="A1:G1"/>
    <mergeCell ref="A7:G7"/>
    <mergeCell ref="A15:G15"/>
    <mergeCell ref="A28:G28"/>
    <mergeCell ref="A30:C30"/>
    <mergeCell ref="A2:F2"/>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5:C35"/>
  </mergeCells>
  <pageMargins left="0.75" right="0.75" top="1" bottom="1" header="0.3" footer="0.3"/>
  <pageSetup orientation="portrait" horizontalDpi="0" verticalDpi="0"/>
  <headerFooter alignWithMargin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zoomScale="125" zoomScaleNormal="125" workbookViewId="0">
      <selection activeCell="B27" sqref="B27"/>
    </sheetView>
  </sheetViews>
  <sheetFormatPr baseColWidth="10" defaultRowHeight="16"/>
  <cols>
    <col min="1" max="1" width="61.6640625" style="4" customWidth="1"/>
    <col min="2" max="2" width="43.83203125" style="4" customWidth="1"/>
    <col min="3" max="3" width="68" style="4" bestFit="1" customWidth="1"/>
    <col min="4" max="16384" width="10.83203125" style="4"/>
  </cols>
  <sheetData>
    <row r="1" spans="1:4" s="122" customFormat="1" ht="13">
      <c r="A1" s="124" t="s">
        <v>93</v>
      </c>
      <c r="B1" s="125"/>
    </row>
    <row r="2" spans="1:4" s="122" customFormat="1" ht="13">
      <c r="A2" s="125" t="s">
        <v>7</v>
      </c>
      <c r="B2" s="126">
        <f>'Valuation output'!B46</f>
        <v>47629.2</v>
      </c>
    </row>
    <row r="3" spans="1:4" s="122" customFormat="1" ht="13">
      <c r="A3" s="125" t="s">
        <v>8</v>
      </c>
      <c r="B3" s="126">
        <f>'Valuation output'!L46</f>
        <v>238940.51547619049</v>
      </c>
    </row>
    <row r="4" spans="1:4" s="122" customFormat="1" ht="13">
      <c r="A4" s="125" t="s">
        <v>9</v>
      </c>
      <c r="B4" s="126">
        <f>B3-B2</f>
        <v>191311.31547619047</v>
      </c>
    </row>
    <row r="5" spans="1:4" s="122" customFormat="1" ht="13">
      <c r="A5" s="125" t="s">
        <v>10</v>
      </c>
      <c r="B5" s="126">
        <f>'Valuation output'!L12-'Valuation output'!B12</f>
        <v>80665.8</v>
      </c>
    </row>
    <row r="6" spans="1:4" s="122" customFormat="1" ht="13">
      <c r="A6" s="125" t="s">
        <v>4</v>
      </c>
      <c r="B6" s="127">
        <f>B5/B4</f>
        <v>0.42164677922586974</v>
      </c>
    </row>
    <row r="7" spans="1:4" s="122" customFormat="1" ht="13">
      <c r="A7" s="125" t="s">
        <v>5</v>
      </c>
      <c r="B7" s="127">
        <f>'Valuation output'!L47</f>
        <v>0.28728070609205669</v>
      </c>
    </row>
    <row r="8" spans="1:4" s="122" customFormat="1" ht="13">
      <c r="A8" s="125" t="s">
        <v>236</v>
      </c>
      <c r="B8" s="127">
        <f>(1/'Valuation output'!L20)^(1/10)-1</f>
        <v>9.0228567322319098E-2</v>
      </c>
    </row>
    <row r="9" spans="1:4" s="122" customFormat="1" ht="14" thickBot="1">
      <c r="A9" s="128" t="s">
        <v>26</v>
      </c>
      <c r="B9" s="129">
        <f ca="1">'Valuation output'!B40/'Valuation output'!B41</f>
        <v>1.0009652242554052</v>
      </c>
    </row>
    <row r="10" spans="1:4" s="122" customFormat="1" ht="14" thickBot="1">
      <c r="A10" s="130"/>
      <c r="B10" s="401" t="str">
        <f ca="1">IF(B9="NA","Value is negative. See below",IF(B9&gt;2,"Value seems high. See below",IF(B9&lt;0.5,"Value seems low. See below"," ")))</f>
        <v xml:space="preserve"> </v>
      </c>
      <c r="C10" s="402"/>
    </row>
    <row r="11" spans="1:4" s="7" customFormat="1" ht="14">
      <c r="A11" s="183" t="s">
        <v>6</v>
      </c>
      <c r="B11" s="184" t="s">
        <v>0</v>
      </c>
      <c r="C11" s="185" t="s">
        <v>1</v>
      </c>
    </row>
    <row r="12" spans="1:4" s="7" customFormat="1" ht="14">
      <c r="A12" s="194" t="s">
        <v>150</v>
      </c>
      <c r="B12" s="186" t="s">
        <v>2</v>
      </c>
      <c r="C12" s="187" t="s">
        <v>3</v>
      </c>
    </row>
    <row r="13" spans="1:4" s="7" customFormat="1" ht="14">
      <c r="A13" s="194" t="s">
        <v>151</v>
      </c>
      <c r="B13" s="188" t="s">
        <v>148</v>
      </c>
      <c r="C13" s="189" t="s">
        <v>149</v>
      </c>
      <c r="D13" s="7" t="s">
        <v>155</v>
      </c>
    </row>
    <row r="14" spans="1:4" s="7" customFormat="1" ht="13">
      <c r="A14" s="195" t="s">
        <v>152</v>
      </c>
      <c r="B14" s="190" t="s">
        <v>146</v>
      </c>
      <c r="C14" s="191" t="s">
        <v>147</v>
      </c>
      <c r="D14" s="7" t="s">
        <v>155</v>
      </c>
    </row>
    <row r="15" spans="1:4" s="7" customFormat="1" ht="14" thickBot="1">
      <c r="A15" s="196" t="s">
        <v>157</v>
      </c>
      <c r="B15" s="192" t="s">
        <v>153</v>
      </c>
      <c r="C15" s="193" t="s">
        <v>154</v>
      </c>
      <c r="D15" s="7" t="s">
        <v>156</v>
      </c>
    </row>
    <row r="16" spans="1:4">
      <c r="B16" s="67"/>
    </row>
  </sheetData>
  <mergeCells count="1">
    <mergeCell ref="B10:C10"/>
  </mergeCells>
  <phoneticPr fontId="6"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722C6-73EA-F540-9EDF-0DF58AAAB5A5}">
  <dimension ref="A1:C5"/>
  <sheetViews>
    <sheetView zoomScale="75" workbookViewId="0">
      <selection activeCell="B6" sqref="B6"/>
    </sheetView>
  </sheetViews>
  <sheetFormatPr baseColWidth="10" defaultRowHeight="13"/>
  <cols>
    <col min="1" max="1" width="23.5" customWidth="1"/>
    <col min="2" max="2" width="12.5" bestFit="1" customWidth="1"/>
  </cols>
  <sheetData>
    <row r="1" spans="1:3">
      <c r="A1" t="s">
        <v>845</v>
      </c>
      <c r="B1" t="s">
        <v>840</v>
      </c>
    </row>
    <row r="2" spans="1:3">
      <c r="A2" t="s">
        <v>841</v>
      </c>
      <c r="B2" s="327">
        <v>351402</v>
      </c>
    </row>
    <row r="3" spans="1:3">
      <c r="A3" t="s">
        <v>842</v>
      </c>
      <c r="B3" s="327">
        <f>C3-B2</f>
        <v>81965</v>
      </c>
      <c r="C3">
        <v>433367</v>
      </c>
    </row>
    <row r="4" spans="1:3">
      <c r="A4" t="s">
        <v>843</v>
      </c>
      <c r="B4" s="327">
        <f>C4-C3</f>
        <v>54474</v>
      </c>
      <c r="C4">
        <v>487841</v>
      </c>
    </row>
    <row r="5" spans="1:3">
      <c r="A5" t="s">
        <v>844</v>
      </c>
      <c r="B5" s="327">
        <f>C5-C4</f>
        <v>121679</v>
      </c>
      <c r="C5">
        <v>609520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zoomScale="186" zoomScaleNormal="186" workbookViewId="0">
      <selection activeCell="D27" sqref="D27"/>
    </sheetView>
  </sheetViews>
  <sheetFormatPr baseColWidth="10" defaultRowHeight="13"/>
  <sheetData>
    <row r="1" spans="1:7" s="6" customFormat="1" ht="19">
      <c r="A1" s="5" t="s">
        <v>58</v>
      </c>
      <c r="B1" s="5"/>
    </row>
    <row r="2" spans="1:7" ht="14">
      <c r="A2" s="7" t="s">
        <v>59</v>
      </c>
      <c r="B2" s="7"/>
      <c r="D2" s="27">
        <f ca="1">'Valuation output'!B40</f>
        <v>182.75623064455192</v>
      </c>
    </row>
    <row r="3" spans="1:7" ht="14">
      <c r="A3" s="7" t="s">
        <v>60</v>
      </c>
      <c r="B3" s="7"/>
      <c r="D3" s="8">
        <f>'Input sheet'!B42</f>
        <v>35.11</v>
      </c>
    </row>
    <row r="4" spans="1:7" ht="14">
      <c r="A4" s="7" t="s">
        <v>61</v>
      </c>
      <c r="B4" s="7"/>
      <c r="D4" s="11">
        <f>'Input sheet'!B43</f>
        <v>4.3099999999999996</v>
      </c>
    </row>
    <row r="5" spans="1:7" ht="14">
      <c r="A5" s="7" t="s">
        <v>62</v>
      </c>
      <c r="B5" s="7"/>
      <c r="D5" s="9">
        <f>'Input sheet'!B44</f>
        <v>0.4</v>
      </c>
      <c r="E5" s="7" t="s">
        <v>63</v>
      </c>
    </row>
    <row r="6" spans="1:7" ht="14">
      <c r="A6" s="7" t="s">
        <v>64</v>
      </c>
      <c r="B6" s="7"/>
      <c r="D6" s="10">
        <v>0</v>
      </c>
    </row>
    <row r="7" spans="1:7" ht="14">
      <c r="A7" s="7" t="s">
        <v>65</v>
      </c>
      <c r="B7" s="7"/>
      <c r="D7" s="10">
        <f>'Input sheet'!B37</f>
        <v>4.0800000000000003E-2</v>
      </c>
    </row>
    <row r="8" spans="1:7" ht="14">
      <c r="A8" s="7" t="s">
        <v>66</v>
      </c>
      <c r="B8" s="7"/>
      <c r="D8" s="11">
        <f>'Input sheet'!B41</f>
        <v>344.02</v>
      </c>
    </row>
    <row r="9" spans="1:7" ht="14">
      <c r="A9" s="7" t="s">
        <v>67</v>
      </c>
      <c r="B9" s="7"/>
      <c r="D9" s="12">
        <f>'Input sheet'!B20</f>
        <v>3193.1</v>
      </c>
    </row>
    <row r="10" spans="1:7" ht="14">
      <c r="A10" s="7"/>
      <c r="B10" s="7"/>
    </row>
    <row r="11" spans="1:7" s="15" customFormat="1" ht="14">
      <c r="A11" s="13" t="s">
        <v>68</v>
      </c>
      <c r="B11" s="14"/>
    </row>
    <row r="12" spans="1:7" s="7" customFormat="1">
      <c r="A12" s="16" t="s">
        <v>69</v>
      </c>
    </row>
    <row r="13" spans="1:7" s="7" customFormat="1">
      <c r="A13" s="7" t="s">
        <v>70</v>
      </c>
      <c r="C13" s="17">
        <f ca="1">D2</f>
        <v>182.75623064455192</v>
      </c>
      <c r="D13" s="7" t="s">
        <v>71</v>
      </c>
      <c r="F13" s="18">
        <f>D8</f>
        <v>344.02</v>
      </c>
      <c r="G13" s="19"/>
    </row>
    <row r="14" spans="1:7" s="7" customFormat="1">
      <c r="A14" s="7" t="s">
        <v>72</v>
      </c>
      <c r="C14" s="17">
        <f>D3</f>
        <v>35.11</v>
      </c>
      <c r="D14" s="7" t="s">
        <v>73</v>
      </c>
      <c r="F14" s="20">
        <f>D9</f>
        <v>3193.1</v>
      </c>
      <c r="G14" s="19"/>
    </row>
    <row r="15" spans="1:7" s="7" customFormat="1">
      <c r="A15" s="7" t="s">
        <v>74</v>
      </c>
      <c r="C15" s="17">
        <f ca="1">(C13*F14+C26*F13)/(F14+F13)</f>
        <v>179.61514098023065</v>
      </c>
      <c r="D15" s="7" t="s">
        <v>75</v>
      </c>
      <c r="F15" s="21">
        <f>D7</f>
        <v>4.0800000000000003E-2</v>
      </c>
    </row>
    <row r="16" spans="1:7" s="7" customFormat="1">
      <c r="A16" s="7" t="s">
        <v>76</v>
      </c>
      <c r="C16" s="17">
        <f>C14</f>
        <v>35.11</v>
      </c>
      <c r="D16" s="7" t="s">
        <v>77</v>
      </c>
      <c r="F16" s="22">
        <f>D5^2</f>
        <v>0.16000000000000003</v>
      </c>
    </row>
    <row r="17" spans="1:7" s="7" customFormat="1">
      <c r="A17" s="7" t="s">
        <v>78</v>
      </c>
      <c r="C17" s="17">
        <f>D4</f>
        <v>4.3099999999999996</v>
      </c>
      <c r="D17" s="7" t="s">
        <v>79</v>
      </c>
      <c r="F17" s="21">
        <f>D6</f>
        <v>0</v>
      </c>
    </row>
    <row r="18" spans="1:7" s="7" customFormat="1">
      <c r="C18" s="16"/>
      <c r="D18" s="7" t="s">
        <v>80</v>
      </c>
      <c r="F18" s="23">
        <f>F15-F17</f>
        <v>4.0800000000000003E-2</v>
      </c>
    </row>
    <row r="19" spans="1:7" s="7" customFormat="1"/>
    <row r="20" spans="1:7" s="7" customFormat="1">
      <c r="A20" s="7" t="s">
        <v>81</v>
      </c>
      <c r="B20" s="18">
        <f ca="1">(LN(C15/C16)+(F18+(F16/2))*C17)/(((F16)^(0.5))*(C17^0.5))</f>
        <v>2.5926330898820007</v>
      </c>
    </row>
    <row r="21" spans="1:7" s="7" customFormat="1">
      <c r="A21" s="7" t="s">
        <v>82</v>
      </c>
      <c r="B21" s="18">
        <f ca="1">NORMSDIST(B20)</f>
        <v>0.99523778391691298</v>
      </c>
    </row>
    <row r="22" spans="1:7" s="7" customFormat="1"/>
    <row r="23" spans="1:7" s="7" customFormat="1" ht="15.75" customHeight="1">
      <c r="A23" s="7" t="s">
        <v>83</v>
      </c>
      <c r="B23" s="18">
        <f ca="1">B20-((F16^0.5)*(C17^(0.5)))</f>
        <v>1.7622115102009328</v>
      </c>
    </row>
    <row r="24" spans="1:7" s="7" customFormat="1">
      <c r="A24" s="7" t="s">
        <v>84</v>
      </c>
      <c r="B24" s="18">
        <f ca="1">NORMSDIST(B23)</f>
        <v>0.96098321595326386</v>
      </c>
    </row>
    <row r="25" spans="1:7" ht="15" thickBot="1">
      <c r="A25" s="7"/>
      <c r="B25" s="7"/>
    </row>
    <row r="26" spans="1:7" s="7" customFormat="1" ht="14" thickBot="1">
      <c r="A26" s="7" t="s">
        <v>85</v>
      </c>
      <c r="C26" s="24">
        <f ca="1">((EXP((0-F17)*C17))*C15*B21-C16*(EXP((0-F15)*C17))*B24)</f>
        <v>150.46040170011833</v>
      </c>
      <c r="G26" s="25"/>
    </row>
    <row r="27" spans="1:7" s="7" customFormat="1" ht="14" thickBot="1">
      <c r="A27" s="7" t="s">
        <v>86</v>
      </c>
      <c r="D27" s="26">
        <f ca="1">C26*D8</f>
        <v>51761.387392874705</v>
      </c>
    </row>
  </sheetData>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topLeftCell="A6" workbookViewId="0">
      <selection activeCell="B23" sqref="B23"/>
    </sheetView>
  </sheetViews>
  <sheetFormatPr baseColWidth="10" defaultRowHeight="13"/>
  <cols>
    <col min="1" max="1" width="40.1640625" bestFit="1" customWidth="1"/>
    <col min="2" max="2" width="17.33203125" bestFit="1" customWidth="1"/>
    <col min="7" max="7" width="19.5" bestFit="1" customWidth="1"/>
    <col min="8" max="8" width="16.33203125" customWidth="1"/>
    <col min="11" max="11" width="18.1640625" bestFit="1" customWidth="1"/>
  </cols>
  <sheetData>
    <row r="1" spans="1:17">
      <c r="A1" s="404" t="s">
        <v>614</v>
      </c>
      <c r="B1" s="404"/>
      <c r="C1" s="404"/>
      <c r="D1" s="404"/>
      <c r="E1" s="404"/>
      <c r="F1" s="404"/>
      <c r="G1" s="404"/>
      <c r="H1" s="404"/>
      <c r="I1" s="404"/>
      <c r="J1" s="404"/>
      <c r="K1" s="404"/>
    </row>
    <row r="2" spans="1:17">
      <c r="A2" s="404"/>
      <c r="B2" s="404"/>
      <c r="C2" s="404"/>
      <c r="D2" s="404"/>
      <c r="E2" s="404"/>
      <c r="F2" s="404"/>
      <c r="G2" s="404"/>
      <c r="H2" s="404"/>
      <c r="I2" s="404"/>
      <c r="J2" s="404"/>
      <c r="K2" s="404"/>
    </row>
    <row r="3" spans="1:17" s="94" customFormat="1" ht="18">
      <c r="A3" s="94" t="s">
        <v>179</v>
      </c>
      <c r="B3" s="212"/>
      <c r="C3" s="207"/>
      <c r="G3" s="107" t="s">
        <v>507</v>
      </c>
    </row>
    <row r="4" spans="1:17" s="13" customFormat="1" ht="15" customHeight="1">
      <c r="A4" s="13" t="s">
        <v>6</v>
      </c>
      <c r="B4" s="211"/>
      <c r="C4" s="207"/>
      <c r="G4" s="139" t="s">
        <v>349</v>
      </c>
      <c r="H4" s="139" t="s">
        <v>11</v>
      </c>
      <c r="I4" s="139" t="s">
        <v>376</v>
      </c>
      <c r="J4" s="139" t="s">
        <v>378</v>
      </c>
      <c r="K4" s="139" t="s">
        <v>377</v>
      </c>
    </row>
    <row r="5" spans="1:17" s="7" customFormat="1" ht="15" customHeight="1">
      <c r="A5" s="16" t="s">
        <v>180</v>
      </c>
      <c r="G5" s="137" t="s">
        <v>375</v>
      </c>
      <c r="H5" s="248">
        <v>45235</v>
      </c>
      <c r="I5" s="101">
        <f>IF(H5=0,0,VLOOKUP(G5,'Country equity risk premiums'!$A$5:$D$195,4))</f>
        <v>4.4999999999999998E-2</v>
      </c>
      <c r="J5" s="101">
        <f t="shared" ref="J5:J12" si="0">IF(H5&gt;0,H5/$H$18,)</f>
        <v>0.46743409835387972</v>
      </c>
      <c r="K5" s="101">
        <f t="shared" ref="K5:K12" si="1">IF(J5=0,0,I5*J5)</f>
        <v>2.1034534425924588E-2</v>
      </c>
      <c r="M5" s="403" t="s">
        <v>560</v>
      </c>
      <c r="N5" s="403"/>
      <c r="O5" s="403"/>
      <c r="P5" s="403"/>
      <c r="Q5" s="403"/>
    </row>
    <row r="6" spans="1:17" s="7" customFormat="1" ht="15" customHeight="1">
      <c r="A6" s="7" t="s">
        <v>181</v>
      </c>
      <c r="B6" s="98">
        <f>'Input sheet'!B20</f>
        <v>3193.1</v>
      </c>
      <c r="G6" s="137" t="s">
        <v>268</v>
      </c>
      <c r="H6" s="248">
        <v>21745</v>
      </c>
      <c r="I6" s="101">
        <f>IF(H6=0,0,VLOOKUP(G6,'Country equity risk premiums'!$A$5:$D$195,4))</f>
        <v>5.5313534284766833E-2</v>
      </c>
      <c r="J6" s="101">
        <f t="shared" si="0"/>
        <v>0.22470110464695731</v>
      </c>
      <c r="K6" s="101">
        <f t="shared" si="1"/>
        <v>1.2429012255714453E-2</v>
      </c>
      <c r="M6" s="403"/>
      <c r="N6" s="403"/>
      <c r="O6" s="403"/>
      <c r="P6" s="403"/>
      <c r="Q6" s="403"/>
    </row>
    <row r="7" spans="1:17" s="7" customFormat="1" ht="15" customHeight="1">
      <c r="A7" s="7" t="s">
        <v>182</v>
      </c>
      <c r="B7" s="99">
        <f>'Input sheet'!B21</f>
        <v>182.58</v>
      </c>
      <c r="G7" s="137"/>
      <c r="H7" s="248"/>
      <c r="I7" s="101">
        <f>IF(H7=0,0,VLOOKUP(G7,'Country equity risk premiums'!$A$5:$D$195,4))</f>
        <v>0</v>
      </c>
      <c r="J7" s="101">
        <f t="shared" si="0"/>
        <v>0</v>
      </c>
      <c r="K7" s="101">
        <f t="shared" si="1"/>
        <v>0</v>
      </c>
      <c r="M7" s="403"/>
      <c r="N7" s="403"/>
      <c r="O7" s="403"/>
      <c r="P7" s="403"/>
      <c r="Q7" s="403"/>
    </row>
    <row r="8" spans="1:17" s="7" customFormat="1" ht="15" customHeight="1">
      <c r="G8" s="137"/>
      <c r="H8" s="248"/>
      <c r="I8" s="101">
        <f>IF(H8=0,0,VLOOKUP(G8,'Country equity risk premiums'!$A$5:$D$195,4))</f>
        <v>0</v>
      </c>
      <c r="J8" s="101">
        <f t="shared" si="0"/>
        <v>0</v>
      </c>
      <c r="K8" s="101">
        <f t="shared" si="1"/>
        <v>0</v>
      </c>
      <c r="M8" s="403"/>
      <c r="N8" s="403"/>
      <c r="O8" s="403"/>
      <c r="P8" s="403"/>
      <c r="Q8" s="403"/>
    </row>
    <row r="9" spans="1:17" s="7" customFormat="1" ht="15" customHeight="1">
      <c r="A9" s="7" t="s">
        <v>471</v>
      </c>
      <c r="B9" s="137" t="s">
        <v>476</v>
      </c>
      <c r="G9" s="137"/>
      <c r="H9" s="137"/>
      <c r="I9" s="101">
        <f>IF(H9=0,0,VLOOKUP(G9,'Country equity risk premiums'!$A$5:$D$195,4))</f>
        <v>0</v>
      </c>
      <c r="J9" s="101">
        <f t="shared" si="0"/>
        <v>0</v>
      </c>
      <c r="K9" s="101">
        <f t="shared" si="1"/>
        <v>0</v>
      </c>
      <c r="M9" s="403"/>
      <c r="N9" s="403"/>
      <c r="O9" s="403"/>
      <c r="P9" s="403"/>
      <c r="Q9" s="403"/>
    </row>
    <row r="10" spans="1:17" s="7" customFormat="1" ht="15" customHeight="1">
      <c r="A10" s="7" t="s">
        <v>473</v>
      </c>
      <c r="B10" s="208">
        <v>1.2</v>
      </c>
      <c r="G10" s="137"/>
      <c r="H10" s="137"/>
      <c r="I10" s="101">
        <f>IF(H10=0,0,VLOOKUP(G10,'Country equity risk premiums'!$A$5:$D$195,4))</f>
        <v>0</v>
      </c>
      <c r="J10" s="101">
        <f t="shared" si="0"/>
        <v>0</v>
      </c>
      <c r="K10" s="101">
        <f t="shared" si="1"/>
        <v>0</v>
      </c>
      <c r="M10" s="403"/>
      <c r="N10" s="403"/>
      <c r="O10" s="403"/>
      <c r="P10" s="403"/>
      <c r="Q10" s="403"/>
    </row>
    <row r="11" spans="1:17" s="7" customFormat="1" ht="15" customHeight="1">
      <c r="A11" s="7" t="s">
        <v>207</v>
      </c>
      <c r="B11" s="142">
        <f>IF(B9="Single Business(US)",VLOOKUP('Input sheet'!B6,'Industry Average Beta (US)'!A2:G95,7),IF(B9="Multibusiness(US)",K48,IF(B9="Single Business(Global)",VLOOKUP('Input sheet'!B7,'Industry Average Beta (Global)'!A2:G95,7),'Cost of capital worksheet'!K64)))</f>
        <v>0.95943121124751984</v>
      </c>
      <c r="G11" s="137"/>
      <c r="H11" s="137"/>
      <c r="I11" s="101">
        <f>IF(H11=0,0,VLOOKUP(G11,'Country equity risk premiums'!$A$5:$D$195,4))</f>
        <v>0</v>
      </c>
      <c r="J11" s="101">
        <f t="shared" si="0"/>
        <v>0</v>
      </c>
      <c r="K11" s="101">
        <f t="shared" si="1"/>
        <v>0</v>
      </c>
      <c r="M11" s="403"/>
      <c r="N11" s="403"/>
      <c r="O11" s="403"/>
      <c r="P11" s="403"/>
      <c r="Q11" s="403"/>
    </row>
    <row r="12" spans="1:17" s="7" customFormat="1" ht="15" customHeight="1">
      <c r="A12" s="7" t="s">
        <v>183</v>
      </c>
      <c r="B12" s="103">
        <f>'Input sheet'!B37</f>
        <v>4.0800000000000003E-2</v>
      </c>
      <c r="G12" s="137"/>
      <c r="H12" s="137"/>
      <c r="I12" s="101">
        <f>IF(H12=0,0,VLOOKUP(G12,'Country equity risk premiums'!$A$5:$D$195,4))</f>
        <v>0</v>
      </c>
      <c r="J12" s="101">
        <f t="shared" si="0"/>
        <v>0</v>
      </c>
      <c r="K12" s="101">
        <f t="shared" si="1"/>
        <v>0</v>
      </c>
      <c r="M12" s="403"/>
      <c r="N12" s="403"/>
      <c r="O12" s="403"/>
      <c r="P12" s="403"/>
      <c r="Q12" s="403"/>
    </row>
    <row r="13" spans="1:17" s="7" customFormat="1" ht="15" customHeight="1">
      <c r="A13" s="7" t="s">
        <v>437</v>
      </c>
      <c r="B13" s="201" t="s">
        <v>440</v>
      </c>
      <c r="G13" s="137"/>
      <c r="H13" s="137"/>
      <c r="I13" s="101">
        <f>IF(H13=0,0,VLOOKUP(G13,'Country equity risk premiums'!$A$5:$D$195,4))</f>
        <v>0</v>
      </c>
      <c r="J13" s="101">
        <f>IF(H13&gt;0,H13/$H$18,)</f>
        <v>0</v>
      </c>
      <c r="K13" s="101">
        <f>IF(J13=0,0,I13*J13)</f>
        <v>0</v>
      </c>
      <c r="M13" s="403"/>
      <c r="N13" s="403"/>
      <c r="O13" s="403"/>
      <c r="P13" s="403"/>
      <c r="Q13" s="403"/>
    </row>
    <row r="14" spans="1:17" s="7" customFormat="1" ht="15" customHeight="1">
      <c r="A14" s="7" t="s">
        <v>443</v>
      </c>
      <c r="B14" s="201">
        <v>0.06</v>
      </c>
      <c r="G14" s="137"/>
      <c r="H14" s="137"/>
      <c r="I14" s="101">
        <f>IF(H14=0,0,VLOOKUP(G14,'Country equity risk premiums'!$A$5:$D$195,4))</f>
        <v>0</v>
      </c>
      <c r="J14" s="101">
        <f>IF(H14&gt;0,H14/$H$18,)</f>
        <v>0</v>
      </c>
      <c r="K14" s="101">
        <f>IF(J14=0,0,I14*J14)</f>
        <v>0</v>
      </c>
      <c r="M14" s="403"/>
      <c r="N14" s="403"/>
      <c r="O14" s="403"/>
      <c r="P14" s="403"/>
      <c r="Q14" s="403"/>
    </row>
    <row r="15" spans="1:17" s="7" customFormat="1" ht="15" customHeight="1">
      <c r="A15" s="7" t="s">
        <v>444</v>
      </c>
      <c r="B15" s="202">
        <f>IF(B13="Will Input",B14,IF(B13="Country of Incorporation",VLOOKUP('Input sheet'!B5,'Country equity risk premiums'!A5:E190,4),IF(B13="Operating regions",'Cost of capital worksheet'!K32,'Cost of capital worksheet'!K18)))</f>
        <v>5.3197680169285388E-2</v>
      </c>
      <c r="G15" s="137"/>
      <c r="H15" s="137"/>
      <c r="I15" s="101">
        <f>IF(H15=0,0,VLOOKUP(G15,'Country equity risk premiums'!$A$5:$D$195,4))</f>
        <v>0</v>
      </c>
      <c r="J15" s="101">
        <f>IF(H15&gt;0,H15/$H$18,)</f>
        <v>0</v>
      </c>
      <c r="K15" s="101">
        <f>IF(J15=0,0,I15*J15)</f>
        <v>0</v>
      </c>
      <c r="M15" s="403"/>
      <c r="N15" s="403"/>
      <c r="O15" s="403"/>
      <c r="P15" s="403"/>
      <c r="Q15" s="403"/>
    </row>
    <row r="16" spans="1:17" s="7" customFormat="1" ht="15" customHeight="1">
      <c r="G16" s="234" t="s">
        <v>617</v>
      </c>
      <c r="H16" s="137">
        <v>29793</v>
      </c>
      <c r="I16" s="242">
        <v>6.4100000000000004E-2</v>
      </c>
      <c r="J16" s="101">
        <f>IF(H16&gt;0,H16/$H$18,)</f>
        <v>0.30786479699916297</v>
      </c>
      <c r="K16" s="101">
        <f>IF(J16=0,0,I16*J16)</f>
        <v>1.9734133487646348E-2</v>
      </c>
      <c r="M16" s="403"/>
      <c r="N16" s="403"/>
      <c r="O16" s="403"/>
      <c r="P16" s="403"/>
      <c r="Q16" s="403"/>
    </row>
    <row r="17" spans="1:17" s="7" customFormat="1" ht="15" customHeight="1">
      <c r="A17" s="16" t="s">
        <v>184</v>
      </c>
      <c r="G17" s="234"/>
      <c r="H17" s="137"/>
      <c r="I17" s="234"/>
      <c r="J17" s="101">
        <f>IF(H17&gt;0,H17/$H$18,)</f>
        <v>0</v>
      </c>
      <c r="K17" s="101">
        <f>IF(J17=0,0,I17*J17)</f>
        <v>0</v>
      </c>
      <c r="M17" s="403"/>
      <c r="N17" s="403"/>
      <c r="O17" s="403"/>
      <c r="P17" s="403"/>
      <c r="Q17" s="403"/>
    </row>
    <row r="18" spans="1:17" s="7" customFormat="1" ht="15" customHeight="1">
      <c r="A18" s="7" t="s">
        <v>185</v>
      </c>
      <c r="B18" s="99">
        <f>'Input sheet'!B14</f>
        <v>5230</v>
      </c>
      <c r="G18" s="138" t="s">
        <v>379</v>
      </c>
      <c r="H18" s="138">
        <f>SUM(H5:H17)</f>
        <v>96773</v>
      </c>
      <c r="I18" s="138"/>
      <c r="J18" s="101">
        <f>SUM(J5:J17)</f>
        <v>1</v>
      </c>
      <c r="K18" s="101">
        <f>SUM(K5:K17)</f>
        <v>5.3197680169285388E-2</v>
      </c>
      <c r="M18" s="403"/>
      <c r="N18" s="403"/>
      <c r="O18" s="403"/>
      <c r="P18" s="403"/>
      <c r="Q18" s="403"/>
    </row>
    <row r="19" spans="1:17" s="7" customFormat="1" ht="15" customHeight="1">
      <c r="A19" s="7" t="s">
        <v>186</v>
      </c>
      <c r="B19" s="99">
        <f>'Input sheet'!B12</f>
        <v>156</v>
      </c>
      <c r="G19" s="107" t="s">
        <v>445</v>
      </c>
      <c r="M19" s="403"/>
      <c r="N19" s="403"/>
      <c r="O19" s="403"/>
      <c r="P19" s="403"/>
      <c r="Q19" s="403"/>
    </row>
    <row r="20" spans="1:17" s="7" customFormat="1" ht="15" customHeight="1">
      <c r="A20" s="7" t="s">
        <v>187</v>
      </c>
      <c r="B20" s="95">
        <v>3</v>
      </c>
      <c r="G20" s="18" t="s">
        <v>352</v>
      </c>
      <c r="H20" s="18" t="s">
        <v>11</v>
      </c>
      <c r="I20" s="18" t="s">
        <v>376</v>
      </c>
      <c r="J20" s="18" t="s">
        <v>378</v>
      </c>
      <c r="K20" s="18" t="s">
        <v>377</v>
      </c>
    </row>
    <row r="21" spans="1:17" s="7" customFormat="1" ht="15" customHeight="1">
      <c r="A21" s="7" t="s">
        <v>450</v>
      </c>
      <c r="B21" s="110" t="s">
        <v>449</v>
      </c>
      <c r="G21" s="18" t="str">
        <f>'Country equity risk premiums'!A201</f>
        <v>Africa</v>
      </c>
      <c r="H21" s="137">
        <v>0</v>
      </c>
      <c r="I21" s="23">
        <f>'Country equity risk premiums'!B201</f>
        <v>0.13663852306889546</v>
      </c>
      <c r="J21" s="101">
        <f t="shared" ref="J21:J29" si="2">H21/$H$32</f>
        <v>0</v>
      </c>
      <c r="K21" s="140">
        <f>I21*J21</f>
        <v>0</v>
      </c>
    </row>
    <row r="22" spans="1:17" s="7" customFormat="1" ht="15" customHeight="1">
      <c r="A22" s="7" t="s">
        <v>452</v>
      </c>
      <c r="B22" s="203">
        <v>0.04</v>
      </c>
      <c r="G22" s="18" t="str">
        <f>'Country equity risk premiums'!A202</f>
        <v>Asia</v>
      </c>
      <c r="H22" s="137">
        <f>3159+4281</f>
        <v>7440</v>
      </c>
      <c r="I22" s="23">
        <f>'Country equity risk premiums'!B202</f>
        <v>6.1805405008578562E-2</v>
      </c>
      <c r="J22" s="101">
        <f t="shared" si="2"/>
        <v>7.3442312248282404E-2</v>
      </c>
      <c r="K22" s="140">
        <f t="shared" ref="K22:K29" si="3">I22*J22</f>
        <v>4.5391318532715837E-3</v>
      </c>
    </row>
    <row r="23" spans="1:17" s="7" customFormat="1" ht="15" customHeight="1">
      <c r="A23" s="7" t="s">
        <v>451</v>
      </c>
      <c r="B23" s="110" t="s">
        <v>462</v>
      </c>
      <c r="G23" s="18" t="str">
        <f>'Country equity risk premiums'!A203</f>
        <v>Australia &amp; New Zealand</v>
      </c>
      <c r="H23" s="137"/>
      <c r="I23" s="23">
        <f>'Country equity risk premiums'!B203</f>
        <v>4.5047923618641933E-2</v>
      </c>
      <c r="J23" s="101">
        <f t="shared" si="2"/>
        <v>0</v>
      </c>
      <c r="K23" s="140">
        <f t="shared" si="3"/>
        <v>0</v>
      </c>
    </row>
    <row r="24" spans="1:17" s="7" customFormat="1" ht="15" customHeight="1">
      <c r="A24" s="7" t="s">
        <v>468</v>
      </c>
      <c r="B24" s="110">
        <v>1</v>
      </c>
      <c r="G24" s="18" t="str">
        <f>'Country equity risk premiums'!A204</f>
        <v>Caribbean</v>
      </c>
      <c r="H24" s="137">
        <v>0</v>
      </c>
      <c r="I24" s="23">
        <f>'Country equity risk premiums'!B204</f>
        <v>0.1865348819700155</v>
      </c>
      <c r="J24" s="101">
        <f t="shared" si="2"/>
        <v>0</v>
      </c>
      <c r="K24" s="140">
        <f t="shared" si="3"/>
        <v>0</v>
      </c>
    </row>
    <row r="25" spans="1:17" s="7" customFormat="1" ht="15" customHeight="1">
      <c r="A25" s="7" t="s">
        <v>121</v>
      </c>
      <c r="B25" s="202">
        <f>IF(B21="Direct Input",B22,IF(B21="Synthetic Rating",'Synthetic rating'!D13,B12+VLOOKUP('Cost of capital worksheet'!B23,'Synthetic rating'!G39:H53,2)))</f>
        <v>5.5500000000000001E-2</v>
      </c>
      <c r="G25" s="18" t="str">
        <f>'Country equity risk premiums'!A205</f>
        <v>Central and South America</v>
      </c>
      <c r="H25" s="137">
        <v>0</v>
      </c>
      <c r="I25" s="23">
        <f>'Country equity risk premiums'!B205</f>
        <v>0.10261091058162494</v>
      </c>
      <c r="J25" s="101">
        <f t="shared" si="2"/>
        <v>0</v>
      </c>
      <c r="K25" s="140">
        <f t="shared" si="3"/>
        <v>0</v>
      </c>
    </row>
    <row r="26" spans="1:17" s="7" customFormat="1" ht="15" customHeight="1">
      <c r="A26" s="7" t="s">
        <v>188</v>
      </c>
      <c r="B26" s="205">
        <f>'Input sheet'!B23</f>
        <v>0.25</v>
      </c>
      <c r="G26" s="18" t="str">
        <f>'Country equity risk premiums'!A206</f>
        <v>Eastern Europe &amp; Russia</v>
      </c>
      <c r="H26" s="137"/>
      <c r="I26" s="23">
        <f>'Country equity risk premiums'!B206</f>
        <v>9.5579383477192262E-2</v>
      </c>
      <c r="J26" s="101">
        <f t="shared" si="2"/>
        <v>0</v>
      </c>
      <c r="K26" s="140">
        <f t="shared" si="3"/>
        <v>0</v>
      </c>
    </row>
    <row r="27" spans="1:17" s="7" customFormat="1" ht="15" customHeight="1">
      <c r="G27" s="18" t="str">
        <f>'Country equity risk premiums'!A207</f>
        <v>Middle East</v>
      </c>
      <c r="H27" s="137">
        <v>0</v>
      </c>
      <c r="I27" s="23">
        <f>'Country equity risk premiums'!B207</f>
        <v>6.6589990892489848E-2</v>
      </c>
      <c r="J27" s="101">
        <f t="shared" si="2"/>
        <v>0</v>
      </c>
      <c r="K27" s="140">
        <f t="shared" si="3"/>
        <v>0</v>
      </c>
    </row>
    <row r="28" spans="1:17" s="7" customFormat="1" ht="15" customHeight="1">
      <c r="A28" s="7" t="s">
        <v>189</v>
      </c>
      <c r="B28" s="95">
        <v>0</v>
      </c>
      <c r="G28" s="18" t="str">
        <f>'Country equity risk premiums'!A208</f>
        <v>North America</v>
      </c>
      <c r="H28" s="137">
        <v>93864</v>
      </c>
      <c r="I28" s="23">
        <f>'Country equity risk premiums'!B208</f>
        <v>4.4999999999999998E-2</v>
      </c>
      <c r="J28" s="101">
        <f t="shared" si="2"/>
        <v>0.92655768775171765</v>
      </c>
      <c r="K28" s="140">
        <f t="shared" si="3"/>
        <v>4.1695095948827296E-2</v>
      </c>
    </row>
    <row r="29" spans="1:17" s="7" customFormat="1" ht="15" customHeight="1">
      <c r="A29" s="7" t="s">
        <v>190</v>
      </c>
      <c r="B29" s="95">
        <v>0</v>
      </c>
      <c r="G29" s="18" t="str">
        <f>'Country equity risk premiums'!A209</f>
        <v>Western Europe</v>
      </c>
      <c r="H29" s="137"/>
      <c r="I29" s="23">
        <f>'Country equity risk premiums'!B209</f>
        <v>5.7871606293643366E-2</v>
      </c>
      <c r="J29" s="101">
        <f t="shared" si="2"/>
        <v>0</v>
      </c>
      <c r="K29" s="140">
        <f t="shared" si="3"/>
        <v>0</v>
      </c>
    </row>
    <row r="30" spans="1:17" s="7" customFormat="1" ht="15" customHeight="1">
      <c r="A30" s="7" t="s">
        <v>191</v>
      </c>
      <c r="B30" s="95">
        <v>0</v>
      </c>
      <c r="G30" s="137"/>
      <c r="H30" s="137"/>
      <c r="I30" s="235"/>
      <c r="J30" s="101">
        <f>H30/$H$32</f>
        <v>0</v>
      </c>
      <c r="K30" s="140">
        <f>I30*J30</f>
        <v>0</v>
      </c>
    </row>
    <row r="31" spans="1:17" s="7" customFormat="1" ht="15" customHeight="1">
      <c r="A31" s="7" t="s">
        <v>192</v>
      </c>
      <c r="B31" s="95">
        <v>0</v>
      </c>
      <c r="G31" s="137"/>
      <c r="H31" s="137"/>
      <c r="I31" s="235"/>
      <c r="J31" s="101">
        <f>H31/$H$32</f>
        <v>0</v>
      </c>
      <c r="K31" s="140">
        <f>I31*J31</f>
        <v>0</v>
      </c>
    </row>
    <row r="32" spans="1:17" s="7" customFormat="1" ht="15" customHeight="1">
      <c r="G32" s="138" t="s">
        <v>379</v>
      </c>
      <c r="H32" s="138">
        <f>SUM(H21:H31)</f>
        <v>101304</v>
      </c>
      <c r="I32" s="103"/>
      <c r="J32" s="101">
        <f>SUM(J21:J31)</f>
        <v>1</v>
      </c>
      <c r="K32" s="141">
        <f>SUM(K21:K31)</f>
        <v>4.6234227802098876E-2</v>
      </c>
    </row>
    <row r="33" spans="1:11" s="7" customFormat="1" ht="15" customHeight="1">
      <c r="A33" s="7" t="s">
        <v>193</v>
      </c>
      <c r="B33" s="99">
        <f>IF('Input sheet'!B16="Yes",'Operating lease converter'!F33,0)</f>
        <v>0</v>
      </c>
    </row>
    <row r="34" spans="1:11" s="7" customFormat="1" ht="15" customHeight="1">
      <c r="G34" s="94" t="s">
        <v>474</v>
      </c>
    </row>
    <row r="35" spans="1:11" s="7" customFormat="1" ht="15" customHeight="1">
      <c r="A35" s="16" t="s">
        <v>194</v>
      </c>
      <c r="G35" s="18" t="s">
        <v>390</v>
      </c>
      <c r="H35" s="18" t="s">
        <v>11</v>
      </c>
      <c r="I35" s="18" t="s">
        <v>166</v>
      </c>
      <c r="J35" s="18" t="s">
        <v>391</v>
      </c>
      <c r="K35" s="18" t="s">
        <v>208</v>
      </c>
    </row>
    <row r="36" spans="1:11" s="7" customFormat="1" ht="15" customHeight="1">
      <c r="A36" s="7" t="s">
        <v>195</v>
      </c>
      <c r="B36" s="95">
        <v>0</v>
      </c>
      <c r="G36" s="137" t="s">
        <v>505</v>
      </c>
      <c r="H36" s="148">
        <v>90738</v>
      </c>
      <c r="I36" s="149">
        <f>IF(G36=0,,VLOOKUP(G36,'Industry Average Beta (US)'!$A$2:$S$95,15))</f>
        <v>2.4924481910179397</v>
      </c>
      <c r="J36" s="150">
        <f>H36*I36</f>
        <v>226159.76395658581</v>
      </c>
      <c r="K36" s="149">
        <f>IF(I36=0,0,VLOOKUP(G36,'Industry Average Beta (US)'!$A$2:$S$95,7))</f>
        <v>1.3040309184380587</v>
      </c>
    </row>
    <row r="37" spans="1:11" s="7" customFormat="1" ht="15" customHeight="1">
      <c r="A37" s="7" t="s">
        <v>196</v>
      </c>
      <c r="B37" s="95">
        <v>70</v>
      </c>
      <c r="G37" s="137" t="s">
        <v>506</v>
      </c>
      <c r="H37" s="148">
        <v>6035</v>
      </c>
      <c r="I37" s="149">
        <f>IF(G37=0,,VLOOKUP(G37,'Industry Average Beta (US)'!$A$2:$S$95,15))</f>
        <v>7.4719645715662937</v>
      </c>
      <c r="J37" s="150">
        <f>H37*I37</f>
        <v>45093.306189402581</v>
      </c>
      <c r="K37" s="149">
        <f>IF(I37=0,0,VLOOKUP(G37,'Industry Average Beta (US)'!$A$2:$S$95,7))</f>
        <v>0.55608601915516875</v>
      </c>
    </row>
    <row r="38" spans="1:11" s="7" customFormat="1" ht="15" customHeight="1">
      <c r="A38" s="7" t="s">
        <v>197</v>
      </c>
      <c r="B38" s="95">
        <v>5</v>
      </c>
      <c r="G38" s="137"/>
      <c r="H38" s="148"/>
      <c r="I38" s="149">
        <f>IF(G38=0,,VLOOKUP(G38,'Industry Average Beta (US)'!$A$2:$S$95,15))</f>
        <v>0</v>
      </c>
      <c r="J38" s="150">
        <f t="shared" ref="J38:J47" si="4">H38*I38</f>
        <v>0</v>
      </c>
      <c r="K38" s="149">
        <f>IF(I38=0,0,VLOOKUP(G38,'Industry Average Beta (US)'!$A$2:$S$95,7))</f>
        <v>0</v>
      </c>
    </row>
    <row r="39" spans="1:11" s="7" customFormat="1" ht="15" customHeight="1">
      <c r="G39" s="137"/>
      <c r="H39" s="148"/>
      <c r="I39" s="149">
        <f>IF(G39=0,,VLOOKUP(G39,'Industry Average Beta (US)'!$A$2:$S$95,15))</f>
        <v>0</v>
      </c>
      <c r="J39" s="150">
        <f t="shared" si="4"/>
        <v>0</v>
      </c>
      <c r="K39" s="149">
        <f>IF(I39=0,0,VLOOKUP(G39,'Industry Average Beta (US)'!$A$2:$S$95,7))</f>
        <v>0</v>
      </c>
    </row>
    <row r="40" spans="1:11" s="96" customFormat="1" ht="15" customHeight="1">
      <c r="A40" s="13" t="s">
        <v>120</v>
      </c>
      <c r="B40" s="7"/>
      <c r="C40" s="7"/>
      <c r="D40" s="7"/>
      <c r="E40" s="7"/>
      <c r="F40" s="7"/>
      <c r="G40" s="137"/>
      <c r="H40" s="148"/>
      <c r="I40" s="149">
        <f>IF(G40=0,,VLOOKUP(G40,'Industry Average Beta (US)'!$A$2:$S$95,15))</f>
        <v>0</v>
      </c>
      <c r="J40" s="150">
        <f t="shared" si="4"/>
        <v>0</v>
      </c>
      <c r="K40" s="149">
        <f>IF(I40=0,0,VLOOKUP(G40,'Industry Average Beta (US)'!$A$2:$S$95,7))</f>
        <v>0</v>
      </c>
    </row>
    <row r="41" spans="1:11" s="7" customFormat="1" ht="15" customHeight="1">
      <c r="A41" s="18" t="s">
        <v>198</v>
      </c>
      <c r="B41" s="18"/>
      <c r="C41" s="100">
        <f>B19*(1-(1+B25)^(-B20))/B25+B18/(1+B25)^B20</f>
        <v>4868.098939857573</v>
      </c>
      <c r="G41" s="137"/>
      <c r="H41" s="148"/>
      <c r="I41" s="149">
        <f>IF(G41=0,,VLOOKUP(G41,'Industry Average Beta (US)'!$A$2:$S$95,15))</f>
        <v>0</v>
      </c>
      <c r="J41" s="150">
        <f t="shared" si="4"/>
        <v>0</v>
      </c>
      <c r="K41" s="149">
        <f>IF(I41=0,0,VLOOKUP(G41,'Industry Average Beta (US)'!$A$2:$S$95,7))</f>
        <v>0</v>
      </c>
    </row>
    <row r="42" spans="1:11" s="7" customFormat="1" ht="15" customHeight="1">
      <c r="A42" s="18" t="s">
        <v>199</v>
      </c>
      <c r="B42" s="18"/>
      <c r="C42" s="100">
        <f>B29*(1-(1+B25)^(-B30))/B25+B28/(1+B25)^B30</f>
        <v>0</v>
      </c>
      <c r="G42" s="137"/>
      <c r="H42" s="148"/>
      <c r="I42" s="149">
        <f>IF(G42=0,,VLOOKUP(G42,'Industry Average Beta (US)'!$A$2:$S$95,15))</f>
        <v>0</v>
      </c>
      <c r="J42" s="150">
        <f t="shared" si="4"/>
        <v>0</v>
      </c>
      <c r="K42" s="149">
        <f>IF(I42=0,0,VLOOKUP(G42,'Industry Average Beta (US)'!$A$2:$S$95,7))</f>
        <v>0</v>
      </c>
    </row>
    <row r="43" spans="1:11" s="7" customFormat="1" ht="15" customHeight="1">
      <c r="A43" s="18" t="s">
        <v>200</v>
      </c>
      <c r="B43" s="18"/>
      <c r="C43" s="100">
        <f>B33</f>
        <v>0</v>
      </c>
      <c r="G43" s="137"/>
      <c r="H43" s="148"/>
      <c r="I43" s="149">
        <f>IF(G43=0,,VLOOKUP(G43,'Industry Average Beta (US)'!$A$2:$S$95,15))</f>
        <v>0</v>
      </c>
      <c r="J43" s="150">
        <f t="shared" si="4"/>
        <v>0</v>
      </c>
      <c r="K43" s="149">
        <f>IF(I43=0,0,VLOOKUP(G43,'Industry Average Beta (US)'!$A$2:$S$95,7))</f>
        <v>0</v>
      </c>
    </row>
    <row r="44" spans="1:11" ht="14">
      <c r="A44" s="18" t="s">
        <v>201</v>
      </c>
      <c r="B44" s="18"/>
      <c r="C44" s="100">
        <f>B31-C42</f>
        <v>0</v>
      </c>
      <c r="D44" s="7"/>
      <c r="E44" s="7"/>
      <c r="F44" s="7"/>
      <c r="G44" s="137"/>
      <c r="H44" s="148"/>
      <c r="I44" s="149">
        <f>IF(G44=0,,VLOOKUP(G44,'Industry Average Beta (US)'!$A$2:$S$95,15))</f>
        <v>0</v>
      </c>
      <c r="J44" s="150">
        <f t="shared" si="4"/>
        <v>0</v>
      </c>
      <c r="K44" s="149">
        <f>IF(I44=0,0,VLOOKUP(G44,'Industry Average Beta (US)'!$A$2:$S$95,7))</f>
        <v>0</v>
      </c>
    </row>
    <row r="45" spans="1:11" ht="14">
      <c r="A45" s="18" t="s">
        <v>209</v>
      </c>
      <c r="B45" s="18"/>
      <c r="C45" s="106">
        <f>IF(B9="Direct Input",B10,B11*(1+(1-B26)*(C48/B48)))</f>
        <v>0.96543974879677374</v>
      </c>
      <c r="D45" s="7"/>
      <c r="E45" s="7"/>
      <c r="F45" s="7"/>
      <c r="G45" s="137"/>
      <c r="H45" s="148"/>
      <c r="I45" s="149">
        <f>IF(G45=0,,VLOOKUP(G45,'Industry Average Beta (US)'!$A$2:$S$95,15))</f>
        <v>0</v>
      </c>
      <c r="J45" s="150">
        <f t="shared" si="4"/>
        <v>0</v>
      </c>
      <c r="K45" s="149">
        <f>IF(I45=0,0,VLOOKUP(G45,'Industry Average Beta (US)'!$A$2:$S$95,7))</f>
        <v>0</v>
      </c>
    </row>
    <row r="46" spans="1:11" ht="14">
      <c r="A46" s="7"/>
      <c r="B46" s="7"/>
      <c r="C46" s="106"/>
      <c r="D46" s="7"/>
      <c r="E46" s="7"/>
      <c r="F46" s="7"/>
      <c r="G46" s="137"/>
      <c r="H46" s="148"/>
      <c r="I46" s="149">
        <f>IF(G46=0,,VLOOKUP(G46,'Industry Average Beta (US)'!$A$2:$S$95,15))</f>
        <v>0</v>
      </c>
      <c r="J46" s="150">
        <f t="shared" si="4"/>
        <v>0</v>
      </c>
      <c r="K46" s="149">
        <f>IF(I46=0,0,VLOOKUP(G46,'Industry Average Beta (US)'!$A$2:$S$95,7))</f>
        <v>0</v>
      </c>
    </row>
    <row r="47" spans="1:11" ht="14">
      <c r="A47" s="96"/>
      <c r="B47" s="97" t="s">
        <v>180</v>
      </c>
      <c r="C47" s="97" t="s">
        <v>202</v>
      </c>
      <c r="D47" s="97" t="s">
        <v>194</v>
      </c>
      <c r="E47" s="97" t="s">
        <v>203</v>
      </c>
      <c r="F47" s="96"/>
      <c r="G47" s="137"/>
      <c r="H47" s="148"/>
      <c r="I47" s="149">
        <f>IF(G47=0,,VLOOKUP(G47,'Industry Average Beta (US)'!$A$2:$S$95,15))</f>
        <v>0</v>
      </c>
      <c r="J47" s="150">
        <f t="shared" si="4"/>
        <v>0</v>
      </c>
      <c r="K47" s="149">
        <f>IF(I47=0,0,VLOOKUP(G47,'Industry Average Beta (US)'!$A$2:$S$95,7))</f>
        <v>0</v>
      </c>
    </row>
    <row r="48" spans="1:11" ht="14">
      <c r="A48" s="18" t="s">
        <v>204</v>
      </c>
      <c r="B48" s="100">
        <f>B6*B7</f>
        <v>582996.19799999997</v>
      </c>
      <c r="C48" s="100">
        <f>C41+C42+C43</f>
        <v>4868.098939857573</v>
      </c>
      <c r="D48" s="100">
        <f>B36*B37</f>
        <v>0</v>
      </c>
      <c r="E48" s="99">
        <f>SUM(B48:D48)</f>
        <v>587864.29693985754</v>
      </c>
      <c r="F48" s="7"/>
      <c r="G48" s="151" t="s">
        <v>237</v>
      </c>
      <c r="H48" s="152">
        <f>SUM(H36:H47)</f>
        <v>96773</v>
      </c>
      <c r="I48" s="153"/>
      <c r="J48" s="150">
        <f>SUM(J36:J47)</f>
        <v>271253.07014598837</v>
      </c>
      <c r="K48" s="153">
        <f>K36*(J36/J48)+K37*J37/J48+K38*J38/J48+K39*J39/J48+K40*J40/J48+K41*J41/J48+K42*J42/J48+K43*J43/J48+K44*J44/J48+K45*J45/J48+K46*J46/J48+K47*J47/J48</f>
        <v>1.1796920184653759</v>
      </c>
    </row>
    <row r="49" spans="1:11" ht="15" thickBot="1">
      <c r="A49" s="18" t="s">
        <v>205</v>
      </c>
      <c r="B49" s="101">
        <f>B48/$E$48</f>
        <v>0.99171900902096188</v>
      </c>
      <c r="C49" s="101">
        <f>C48/$E$48</f>
        <v>8.280990979038165E-3</v>
      </c>
      <c r="D49" s="101">
        <f>D48/$E$48</f>
        <v>0</v>
      </c>
      <c r="E49" s="102">
        <f>SUM(B49:D49)</f>
        <v>1</v>
      </c>
      <c r="F49" s="7"/>
    </row>
    <row r="50" spans="1:11" ht="19" thickBot="1">
      <c r="A50" s="18" t="s">
        <v>206</v>
      </c>
      <c r="B50" s="103">
        <f>B12+C45*B15</f>
        <v>9.2159154979206001E-2</v>
      </c>
      <c r="C50" s="101">
        <f>B25*(1-B26)</f>
        <v>4.1625000000000002E-2</v>
      </c>
      <c r="D50" s="104">
        <f>B38/B37</f>
        <v>7.1428571428571425E-2</v>
      </c>
      <c r="E50" s="105">
        <f>B49*B50+C49*C50+D49*D50</f>
        <v>9.1740682097689888E-2</v>
      </c>
      <c r="F50" s="7"/>
      <c r="G50" s="209" t="s">
        <v>475</v>
      </c>
    </row>
    <row r="51" spans="1:11" ht="14">
      <c r="G51" s="18" t="s">
        <v>390</v>
      </c>
      <c r="H51" s="18" t="s">
        <v>11</v>
      </c>
      <c r="I51" s="18" t="s">
        <v>166</v>
      </c>
      <c r="J51" s="18" t="s">
        <v>391</v>
      </c>
      <c r="K51" s="18" t="s">
        <v>208</v>
      </c>
    </row>
    <row r="52" spans="1:11" ht="14">
      <c r="G52" s="137" t="s">
        <v>505</v>
      </c>
      <c r="H52" s="148">
        <v>90738</v>
      </c>
      <c r="I52" s="149">
        <f>IF(G52=0,,VLOOKUP(G52,'Industry Average Beta (Global)'!$A$2:$O$95,15))</f>
        <v>1.2010454020784698</v>
      </c>
      <c r="J52" s="150">
        <f>H52*I52</f>
        <v>108980.45769379618</v>
      </c>
      <c r="K52" s="149">
        <f>IF(G52=0,,VLOOKUP(G52,'Industry Average Beta (Global)'!$A$2:$O$95,7))</f>
        <v>1.1030216126379662</v>
      </c>
    </row>
    <row r="53" spans="1:11" ht="14">
      <c r="G53" s="137" t="s">
        <v>506</v>
      </c>
      <c r="H53" s="148">
        <v>6035</v>
      </c>
      <c r="I53" s="149">
        <f>IF(G53=0,,VLOOKUP(G53,'Industry Average Beta (Global)'!$A$2:$O$95,15))</f>
        <v>7.4006674058734268</v>
      </c>
      <c r="J53" s="150">
        <f>H53*I53</f>
        <v>44663.027794446134</v>
      </c>
      <c r="K53" s="149">
        <f>IF(G53=0,,VLOOKUP(G53,'Industry Average Beta (Global)'!$A$2:$O$95,7))</f>
        <v>0.60906204827929356</v>
      </c>
    </row>
    <row r="54" spans="1:11" ht="14">
      <c r="G54" s="137"/>
      <c r="H54" s="148"/>
      <c r="I54" s="149">
        <f>IF(G54=0,,VLOOKUP(G54,'Industry Average Beta (Global)'!$A$2:$O$95,15))</f>
        <v>0</v>
      </c>
      <c r="J54" s="150">
        <f t="shared" ref="J54:J63" si="5">H54*I54</f>
        <v>0</v>
      </c>
      <c r="K54" s="149">
        <f>IF(G54=0,,VLOOKUP(G54,'Industry Average Beta (Global)'!$A$2:$O$95,7))</f>
        <v>0</v>
      </c>
    </row>
    <row r="55" spans="1:11" ht="14">
      <c r="G55" s="137"/>
      <c r="H55" s="148"/>
      <c r="I55" s="149">
        <f>IF(G55=0,,VLOOKUP(G55,'Industry Average Beta (Global)'!$A$2:$O$95,15))</f>
        <v>0</v>
      </c>
      <c r="J55" s="150">
        <f t="shared" si="5"/>
        <v>0</v>
      </c>
      <c r="K55" s="149">
        <f>IF(G55=0,,VLOOKUP(G55,'Industry Average Beta (Global)'!$A$2:$O$95,7))</f>
        <v>0</v>
      </c>
    </row>
    <row r="56" spans="1:11" ht="14">
      <c r="G56" s="137"/>
      <c r="H56" s="148"/>
      <c r="I56" s="149">
        <f>IF(G56=0,,VLOOKUP(G56,'Industry Average Beta (Global)'!$A$2:$O$95,15))</f>
        <v>0</v>
      </c>
      <c r="J56" s="150">
        <f t="shared" si="5"/>
        <v>0</v>
      </c>
      <c r="K56" s="149">
        <f>IF(G56=0,,VLOOKUP(G56,'Industry Average Beta (Global)'!$A$2:$O$95,7))</f>
        <v>0</v>
      </c>
    </row>
    <row r="57" spans="1:11" ht="14">
      <c r="G57" s="137"/>
      <c r="H57" s="148"/>
      <c r="I57" s="149">
        <f>IF(G57=0,,VLOOKUP(G57,'Industry Average Beta (Global)'!$A$2:$O$95,15))</f>
        <v>0</v>
      </c>
      <c r="J57" s="150">
        <f t="shared" si="5"/>
        <v>0</v>
      </c>
      <c r="K57" s="149">
        <f>IF(G57=0,,VLOOKUP(G57,'Industry Average Beta (Global)'!$A$2:$O$95,7))</f>
        <v>0</v>
      </c>
    </row>
    <row r="58" spans="1:11" ht="14">
      <c r="G58" s="137"/>
      <c r="H58" s="148"/>
      <c r="I58" s="149">
        <f>IF(G58=0,,VLOOKUP(G58,'Industry Average Beta (Global)'!$A$2:$O$95,15))</f>
        <v>0</v>
      </c>
      <c r="J58" s="150">
        <f t="shared" si="5"/>
        <v>0</v>
      </c>
      <c r="K58" s="149">
        <f>IF(G58=0,,VLOOKUP(G58,'Industry Average Beta (Global)'!$A$2:$O$95,7))</f>
        <v>0</v>
      </c>
    </row>
    <row r="59" spans="1:11" ht="14">
      <c r="G59" s="137"/>
      <c r="H59" s="148"/>
      <c r="I59" s="149">
        <f>IF(G59=0,,VLOOKUP(G59,'Industry Average Beta (Global)'!$A$2:$O$95,15))</f>
        <v>0</v>
      </c>
      <c r="J59" s="150">
        <f t="shared" si="5"/>
        <v>0</v>
      </c>
      <c r="K59" s="149">
        <f>IF(G59=0,,VLOOKUP(G59,'Industry Average Beta (Global)'!$A$2:$O$95,7))</f>
        <v>0</v>
      </c>
    </row>
    <row r="60" spans="1:11" ht="14">
      <c r="G60" s="137"/>
      <c r="H60" s="148"/>
      <c r="I60" s="149">
        <f>IF(G60=0,,VLOOKUP(G60,'Industry Average Beta (Global)'!$A$2:$O$95,15))</f>
        <v>0</v>
      </c>
      <c r="J60" s="150">
        <f t="shared" si="5"/>
        <v>0</v>
      </c>
      <c r="K60" s="149">
        <f>IF(G60=0,,VLOOKUP(G60,'Industry Average Beta (Global)'!$A$2:$O$95,7))</f>
        <v>0</v>
      </c>
    </row>
    <row r="61" spans="1:11" ht="14">
      <c r="G61" s="137"/>
      <c r="H61" s="148"/>
      <c r="I61" s="149">
        <f>IF(G61=0,,VLOOKUP(G61,'Industry Average Beta (Global)'!$A$2:$O$95,15))</f>
        <v>0</v>
      </c>
      <c r="J61" s="150">
        <f t="shared" si="5"/>
        <v>0</v>
      </c>
      <c r="K61" s="149">
        <f>IF(G61=0,,VLOOKUP(G61,'Industry Average Beta (Global)'!$A$2:$O$95,7))</f>
        <v>0</v>
      </c>
    </row>
    <row r="62" spans="1:11" ht="14">
      <c r="G62" s="137"/>
      <c r="H62" s="148"/>
      <c r="I62" s="149">
        <f>IF(G62=0,,VLOOKUP(G62,'Industry Average Beta (Global)'!$A$2:$O$95,15))</f>
        <v>0</v>
      </c>
      <c r="J62" s="150">
        <f t="shared" si="5"/>
        <v>0</v>
      </c>
      <c r="K62" s="149">
        <f>IF(G62=0,,VLOOKUP(G62,'Industry Average Beta (Global)'!$A$2:$O$95,7))</f>
        <v>0</v>
      </c>
    </row>
    <row r="63" spans="1:11" ht="14">
      <c r="G63" s="137"/>
      <c r="H63" s="148"/>
      <c r="I63" s="149">
        <f>IF(G63=0,,VLOOKUP(G63,'Industry Average Beta (Global)'!$A$2:$O$95,15))</f>
        <v>0</v>
      </c>
      <c r="J63" s="150">
        <f t="shared" si="5"/>
        <v>0</v>
      </c>
      <c r="K63" s="149">
        <f>IF(G63=0,,VLOOKUP(G63,'Industry Average Beta (Global)'!$A$2:$O$95,7))</f>
        <v>0</v>
      </c>
    </row>
    <row r="64" spans="1:11" ht="14">
      <c r="G64" s="151" t="s">
        <v>237</v>
      </c>
      <c r="H64" s="152">
        <f>SUM(H52:H63)</f>
        <v>96773</v>
      </c>
      <c r="I64" s="153"/>
      <c r="J64" s="150">
        <f>SUM(J52:J63)</f>
        <v>153643.48548824232</v>
      </c>
      <c r="K64" s="153">
        <f>K52*(J52/J64)+K53*J53/J64+K54*J54/J64+K55*J55/J64+K56*J56/J64+K57*J57/J64+K58*J58/J64+K59*J59/J64+K60*J60/J64+K61*J61/J64+K62*J62/J64+K63*J63/J64</f>
        <v>0.95943121124751984</v>
      </c>
    </row>
  </sheetData>
  <mergeCells count="2">
    <mergeCell ref="M5:Q19"/>
    <mergeCell ref="A1:K2"/>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800-000000000000}">
          <x14:formula1>
            <xm:f>'Answer keys'!$F$2:$F$6</xm:f>
          </x14:formula1>
          <xm:sqref>B9</xm:sqref>
        </x14:dataValidation>
        <x14:dataValidation type="list" allowBlank="1" showInputMessage="1" showErrorMessage="1" xr:uid="{00000000-0002-0000-0800-000001000000}">
          <x14:formula1>
            <xm:f>'Answer keys'!$C$2:$C$5</xm:f>
          </x14:formula1>
          <xm:sqref>B13</xm:sqref>
        </x14:dataValidation>
        <x14:dataValidation type="list" allowBlank="1" showInputMessage="1" showErrorMessage="1" xr:uid="{00000000-0002-0000-0800-000002000000}">
          <x14:formula1>
            <xm:f>'Answer keys'!$D$2:$D$4</xm:f>
          </x14:formula1>
          <xm:sqref>B21</xm:sqref>
        </x14:dataValidation>
        <x14:dataValidation type="list" allowBlank="1" showInputMessage="1" showErrorMessage="1" xr:uid="{00000000-0002-0000-0800-000003000000}">
          <x14:formula1>
            <xm:f>'Answer keys'!$E$2:$E$3</xm:f>
          </x14:formula1>
          <xm:sqref>B24</xm:sqref>
        </x14:dataValidation>
        <x14:dataValidation type="list" allowBlank="1" showInputMessage="1" showErrorMessage="1" xr:uid="{00000000-0002-0000-0800-000005000000}">
          <x14:formula1>
            <xm:f>'Industry Average Beta (US)'!$A$2:$A$95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B23</xm:sqref>
        </x14:dataValidation>
        <x14:dataValidation type="list" allowBlank="1" showInputMessage="1" showErrorMessage="1" xr:uid="{380E6B1A-BA92-ED46-B8EF-8BAFB13379A6}">
          <x14:formula1>
            <xm:f>'Country equity risk premiums'!$A$5:$A$195</xm:f>
          </x14:formula1>
          <xm:sqref>G5:G15</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53"/>
  <sheetViews>
    <sheetView topLeftCell="A11" workbookViewId="0">
      <selection activeCell="D13" sqref="D13"/>
    </sheetView>
  </sheetViews>
  <sheetFormatPr baseColWidth="10" defaultRowHeight="13"/>
  <sheetData>
    <row r="1" spans="1:11" ht="18">
      <c r="A1" s="5" t="s">
        <v>210</v>
      </c>
    </row>
    <row r="2" spans="1:11" ht="18">
      <c r="A2" s="5" t="s">
        <v>211</v>
      </c>
    </row>
    <row r="3" spans="1:11" s="108" customFormat="1" ht="17" thickBot="1">
      <c r="A3" s="107" t="s">
        <v>212</v>
      </c>
      <c r="J3"/>
      <c r="K3"/>
    </row>
    <row r="4" spans="1:11" s="109" customFormat="1" ht="15" thickBot="1">
      <c r="A4" s="7" t="s">
        <v>213</v>
      </c>
      <c r="B4" s="7"/>
      <c r="C4" s="206">
        <f>'Cost of capital worksheet'!B24</f>
        <v>1</v>
      </c>
      <c r="D4" s="7"/>
      <c r="E4" s="7"/>
      <c r="F4" s="7"/>
      <c r="G4" s="7"/>
      <c r="H4" s="7"/>
      <c r="I4" s="7"/>
      <c r="J4"/>
      <c r="K4"/>
    </row>
    <row r="5" spans="1:11" s="109" customFormat="1" ht="15" thickBot="1">
      <c r="A5" s="7" t="s">
        <v>214</v>
      </c>
      <c r="B5" s="7"/>
      <c r="C5" s="7"/>
      <c r="D5" s="7"/>
      <c r="E5" s="7"/>
      <c r="F5" s="99">
        <f>IF('Input sheet'!B16="Yes",'Input sheet'!B11+'Operating lease converter'!F32,'Input sheet'!B11)</f>
        <v>8891</v>
      </c>
      <c r="G5" s="7" t="s">
        <v>215</v>
      </c>
      <c r="H5" s="7"/>
      <c r="I5" s="7"/>
      <c r="J5"/>
      <c r="K5"/>
    </row>
    <row r="6" spans="1:11" s="109" customFormat="1" ht="15" thickBot="1">
      <c r="A6" s="7" t="s">
        <v>216</v>
      </c>
      <c r="B6" s="7"/>
      <c r="C6" s="7"/>
      <c r="D6" s="7"/>
      <c r="E6" s="7"/>
      <c r="F6" s="178">
        <f>IF('Input sheet'!B16="Yes",'Cost of capital worksheet'!B19+'Operating lease converter'!C28*'Operating lease converter'!C15,'Cost of capital worksheet'!B19)</f>
        <v>156</v>
      </c>
      <c r="G6" s="7" t="s">
        <v>217</v>
      </c>
      <c r="H6" s="7"/>
      <c r="I6" s="7"/>
      <c r="J6"/>
      <c r="K6"/>
    </row>
    <row r="7" spans="1:11" s="109" customFormat="1" ht="15" thickBot="1">
      <c r="A7" s="7" t="s">
        <v>232</v>
      </c>
      <c r="B7" s="7"/>
      <c r="C7" s="7"/>
      <c r="D7" s="7"/>
      <c r="E7" s="7"/>
      <c r="F7" s="117">
        <f>'Input sheet'!B37</f>
        <v>4.0800000000000003E-2</v>
      </c>
      <c r="G7" s="7"/>
      <c r="H7" s="7"/>
      <c r="I7" s="7"/>
      <c r="J7"/>
      <c r="K7"/>
    </row>
    <row r="8" spans="1:11" s="109" customFormat="1" ht="15" thickBot="1">
      <c r="A8" s="16" t="s">
        <v>120</v>
      </c>
      <c r="B8" s="7"/>
      <c r="C8" s="7"/>
      <c r="D8" s="7"/>
      <c r="E8" s="7"/>
      <c r="F8" s="7"/>
      <c r="G8" s="7"/>
      <c r="H8" s="7"/>
      <c r="I8" s="7"/>
      <c r="J8"/>
      <c r="K8"/>
    </row>
    <row r="9" spans="1:11" s="109" customFormat="1" ht="15" thickBot="1">
      <c r="A9" s="7" t="s">
        <v>218</v>
      </c>
      <c r="B9" s="7"/>
      <c r="C9" s="7"/>
      <c r="D9" s="118">
        <f>IF(F6=0,1000000,IF(F5&lt;0,-100000,F5/F6))</f>
        <v>56.993589743589745</v>
      </c>
      <c r="E9" s="7"/>
      <c r="F9" s="7"/>
      <c r="G9" s="7"/>
      <c r="H9" s="7"/>
      <c r="I9" s="7"/>
      <c r="J9"/>
      <c r="K9"/>
    </row>
    <row r="10" spans="1:11" s="109" customFormat="1" ht="15" thickBot="1">
      <c r="A10" s="7" t="s">
        <v>219</v>
      </c>
      <c r="D10" s="119" t="str">
        <f>IF(C4=1,VLOOKUP(D9,A19:D33,3),(IF(C4=2,VLOOKUP(D9,A38:D52,3),VLOOKUP(D9,F19:I33,3))))</f>
        <v>Aaa/AAA</v>
      </c>
      <c r="F10" s="15" t="s">
        <v>220</v>
      </c>
      <c r="J10"/>
      <c r="K10"/>
    </row>
    <row r="11" spans="1:11" s="109" customFormat="1" ht="15" thickBot="1">
      <c r="A11" s="7" t="s">
        <v>469</v>
      </c>
      <c r="D11" s="120">
        <f>IF(C4=1,VLOOKUP(D9,A19:D33,4),(IF(C4=2,VLOOKUP(D9,A38:D52,4),VLOOKUP(D9,F19:I33,4))))</f>
        <v>5.8999999999999999E-3</v>
      </c>
      <c r="F11" s="15" t="s">
        <v>221</v>
      </c>
      <c r="J11"/>
      <c r="K11"/>
    </row>
    <row r="12" spans="1:11" s="109" customFormat="1" ht="15" thickBot="1">
      <c r="A12" s="7" t="s">
        <v>470</v>
      </c>
      <c r="D12" s="120">
        <f>VLOOKUP('Input sheet'!B5,'Country equity risk premiums'!A5:C195,3)</f>
        <v>0</v>
      </c>
      <c r="F12" s="15"/>
      <c r="J12"/>
      <c r="K12"/>
    </row>
    <row r="13" spans="1:11" s="7" customFormat="1" ht="15" thickBot="1">
      <c r="A13" s="7" t="s">
        <v>222</v>
      </c>
      <c r="D13" s="121">
        <f>F7+D11+D12</f>
        <v>4.6700000000000005E-2</v>
      </c>
      <c r="J13"/>
      <c r="K13"/>
    </row>
    <row r="14" spans="1:11" s="7" customFormat="1" ht="14">
      <c r="D14" s="111"/>
      <c r="J14"/>
      <c r="K14"/>
    </row>
    <row r="15" spans="1:11" s="14" customFormat="1" ht="14">
      <c r="A15" s="14" t="s">
        <v>223</v>
      </c>
      <c r="D15" s="112"/>
      <c r="J15"/>
      <c r="K15"/>
    </row>
    <row r="16" spans="1:11" s="109" customFormat="1" ht="14">
      <c r="A16" s="16" t="s">
        <v>224</v>
      </c>
      <c r="F16"/>
      <c r="G16"/>
      <c r="H16"/>
      <c r="I16"/>
      <c r="J16"/>
      <c r="K16"/>
    </row>
    <row r="17" spans="1:11" s="109" customFormat="1" ht="14">
      <c r="A17" s="113" t="s">
        <v>225</v>
      </c>
      <c r="B17" s="113"/>
      <c r="C17" s="114"/>
      <c r="D17" s="114"/>
      <c r="F17"/>
      <c r="G17"/>
      <c r="H17"/>
      <c r="I17"/>
      <c r="J17"/>
      <c r="K17"/>
    </row>
    <row r="18" spans="1:11" s="109" customFormat="1" ht="14">
      <c r="A18" s="97" t="s">
        <v>226</v>
      </c>
      <c r="B18" s="97" t="s">
        <v>227</v>
      </c>
      <c r="C18" s="97" t="s">
        <v>228</v>
      </c>
      <c r="D18" s="97" t="s">
        <v>229</v>
      </c>
      <c r="F18"/>
      <c r="G18"/>
      <c r="H18"/>
      <c r="I18"/>
      <c r="J18"/>
      <c r="K18"/>
    </row>
    <row r="19" spans="1:11" s="109" customFormat="1" ht="16">
      <c r="A19" s="29">
        <v>-100000</v>
      </c>
      <c r="B19" s="29">
        <v>0.19999900000000001</v>
      </c>
      <c r="C19" s="204" t="s">
        <v>453</v>
      </c>
      <c r="D19" s="361">
        <v>0.2</v>
      </c>
      <c r="F19"/>
      <c r="G19"/>
      <c r="H19"/>
      <c r="I19"/>
      <c r="J19"/>
      <c r="K19"/>
    </row>
    <row r="20" spans="1:11" s="109" customFormat="1" ht="16">
      <c r="A20" s="29">
        <v>0.2</v>
      </c>
      <c r="B20" s="29">
        <v>0.64999899999999999</v>
      </c>
      <c r="C20" s="204" t="s">
        <v>454</v>
      </c>
      <c r="D20" s="361">
        <v>0.17</v>
      </c>
      <c r="F20"/>
      <c r="G20"/>
      <c r="H20"/>
      <c r="I20"/>
      <c r="J20"/>
      <c r="K20"/>
    </row>
    <row r="21" spans="1:11" s="109" customFormat="1" ht="16">
      <c r="A21" s="29">
        <v>0.65</v>
      </c>
      <c r="B21" s="29">
        <v>0.79999900000000002</v>
      </c>
      <c r="C21" s="204" t="s">
        <v>455</v>
      </c>
      <c r="D21" s="361">
        <v>0.1178</v>
      </c>
      <c r="F21"/>
      <c r="G21"/>
      <c r="H21"/>
      <c r="I21"/>
      <c r="J21"/>
      <c r="K21"/>
    </row>
    <row r="22" spans="1:11" s="109" customFormat="1" ht="16">
      <c r="A22" s="29">
        <v>0.8</v>
      </c>
      <c r="B22" s="29">
        <v>1.2499990000000001</v>
      </c>
      <c r="C22" s="204" t="s">
        <v>456</v>
      </c>
      <c r="D22" s="361">
        <v>8.5099999999999995E-2</v>
      </c>
      <c r="F22"/>
      <c r="G22"/>
      <c r="H22"/>
      <c r="I22"/>
      <c r="J22"/>
      <c r="K22"/>
    </row>
    <row r="23" spans="1:11" s="109" customFormat="1" ht="16">
      <c r="A23" s="29">
        <v>1.25</v>
      </c>
      <c r="B23" s="29">
        <v>1.4999990000000001</v>
      </c>
      <c r="C23" s="204" t="s">
        <v>457</v>
      </c>
      <c r="D23" s="361">
        <v>5.2400000000000002E-2</v>
      </c>
      <c r="F23"/>
      <c r="G23"/>
      <c r="H23"/>
      <c r="I23"/>
      <c r="J23"/>
      <c r="K23"/>
    </row>
    <row r="24" spans="1:11" s="109" customFormat="1" ht="16">
      <c r="A24" s="29">
        <v>1.5</v>
      </c>
      <c r="B24" s="29">
        <v>1.7499990000000001</v>
      </c>
      <c r="C24" s="204" t="s">
        <v>458</v>
      </c>
      <c r="D24" s="361">
        <v>3.61E-2</v>
      </c>
      <c r="F24"/>
      <c r="G24"/>
      <c r="H24"/>
      <c r="I24"/>
      <c r="J24"/>
      <c r="K24"/>
    </row>
    <row r="25" spans="1:11" s="109" customFormat="1" ht="16">
      <c r="A25" s="29">
        <v>1.75</v>
      </c>
      <c r="B25" s="29">
        <v>1.9999990000000001</v>
      </c>
      <c r="C25" s="204" t="s">
        <v>459</v>
      </c>
      <c r="D25" s="361">
        <v>3.1399999999999997E-2</v>
      </c>
      <c r="F25"/>
      <c r="G25"/>
      <c r="H25"/>
      <c r="I25"/>
      <c r="J25"/>
      <c r="K25"/>
    </row>
    <row r="26" spans="1:11" s="109" customFormat="1" ht="16">
      <c r="A26" s="29">
        <v>2</v>
      </c>
      <c r="B26" s="29">
        <v>2.2499999000000002</v>
      </c>
      <c r="C26" s="204" t="s">
        <v>460</v>
      </c>
      <c r="D26" s="361">
        <v>2.2100000000000002E-2</v>
      </c>
      <c r="F26"/>
      <c r="G26"/>
      <c r="H26"/>
      <c r="I26"/>
      <c r="J26"/>
      <c r="K26"/>
    </row>
    <row r="27" spans="1:11" s="109" customFormat="1" ht="16">
      <c r="A27" s="29">
        <v>2.25</v>
      </c>
      <c r="B27" s="29">
        <v>2.4999899999999999</v>
      </c>
      <c r="C27" s="204" t="s">
        <v>461</v>
      </c>
      <c r="D27" s="361">
        <v>1.7399999999999999E-2</v>
      </c>
      <c r="F27"/>
      <c r="G27"/>
      <c r="H27"/>
      <c r="I27"/>
      <c r="J27"/>
      <c r="K27"/>
    </row>
    <row r="28" spans="1:11" s="109" customFormat="1" ht="16">
      <c r="A28" s="29">
        <v>2.5</v>
      </c>
      <c r="B28" s="29">
        <v>2.9999989999999999</v>
      </c>
      <c r="C28" s="204" t="s">
        <v>462</v>
      </c>
      <c r="D28" s="361">
        <v>1.47E-2</v>
      </c>
      <c r="F28"/>
      <c r="G28"/>
      <c r="H28"/>
      <c r="I28"/>
      <c r="J28"/>
      <c r="K28"/>
    </row>
    <row r="29" spans="1:11" s="109" customFormat="1" ht="16">
      <c r="A29" s="29">
        <v>3</v>
      </c>
      <c r="B29" s="29">
        <v>4.2499989999999999</v>
      </c>
      <c r="C29" s="204" t="s">
        <v>463</v>
      </c>
      <c r="D29" s="361">
        <v>1.21E-2</v>
      </c>
      <c r="F29"/>
      <c r="G29"/>
      <c r="H29"/>
      <c r="I29"/>
      <c r="J29"/>
      <c r="K29"/>
    </row>
    <row r="30" spans="1:11" s="109" customFormat="1" ht="16">
      <c r="A30" s="29">
        <v>4.25</v>
      </c>
      <c r="B30" s="29">
        <v>5.4999989999999999</v>
      </c>
      <c r="C30" s="204" t="s">
        <v>464</v>
      </c>
      <c r="D30" s="361">
        <v>1.0699999999999999E-2</v>
      </c>
      <c r="F30"/>
      <c r="G30"/>
      <c r="H30"/>
      <c r="I30"/>
      <c r="J30"/>
      <c r="K30"/>
    </row>
    <row r="31" spans="1:11" s="109" customFormat="1" ht="16">
      <c r="A31" s="29">
        <v>5.5</v>
      </c>
      <c r="B31" s="29">
        <v>6.4999989999999999</v>
      </c>
      <c r="C31" s="204" t="s">
        <v>465</v>
      </c>
      <c r="D31" s="361">
        <v>9.1999999999999998E-3</v>
      </c>
      <c r="F31"/>
      <c r="G31"/>
      <c r="H31"/>
      <c r="I31"/>
      <c r="J31"/>
      <c r="K31"/>
    </row>
    <row r="32" spans="1:11" s="109" customFormat="1" ht="16">
      <c r="A32" s="29">
        <v>6.5</v>
      </c>
      <c r="B32" s="29">
        <v>8.4999990000000007</v>
      </c>
      <c r="C32" s="204" t="s">
        <v>466</v>
      </c>
      <c r="D32" s="361">
        <v>7.0000000000000001E-3</v>
      </c>
      <c r="F32"/>
      <c r="G32"/>
      <c r="H32"/>
      <c r="I32"/>
      <c r="J32"/>
      <c r="K32"/>
    </row>
    <row r="33" spans="1:11" s="109" customFormat="1" ht="16">
      <c r="A33" s="115">
        <v>8.5</v>
      </c>
      <c r="B33" s="29">
        <v>100000</v>
      </c>
      <c r="C33" s="204" t="s">
        <v>467</v>
      </c>
      <c r="D33" s="361">
        <v>5.8999999999999999E-3</v>
      </c>
      <c r="F33"/>
      <c r="G33"/>
      <c r="H33"/>
      <c r="I33"/>
      <c r="J33"/>
      <c r="K33"/>
    </row>
    <row r="34" spans="1:11" s="109" customFormat="1" ht="14">
      <c r="J34"/>
      <c r="K34"/>
    </row>
    <row r="35" spans="1:11" s="109" customFormat="1" ht="14">
      <c r="A35" s="16" t="s">
        <v>231</v>
      </c>
      <c r="J35"/>
      <c r="K35"/>
    </row>
    <row r="36" spans="1:11" s="109" customFormat="1" ht="14">
      <c r="A36" s="113" t="s">
        <v>225</v>
      </c>
      <c r="B36" s="116"/>
      <c r="C36" s="29"/>
      <c r="D36" s="29"/>
      <c r="J36"/>
      <c r="K36"/>
    </row>
    <row r="37" spans="1:11" s="109" customFormat="1" ht="14">
      <c r="A37" s="29" t="s">
        <v>230</v>
      </c>
      <c r="B37" s="29" t="s">
        <v>227</v>
      </c>
      <c r="C37" s="29" t="s">
        <v>228</v>
      </c>
      <c r="D37" s="29" t="s">
        <v>229</v>
      </c>
      <c r="J37"/>
      <c r="K37"/>
    </row>
    <row r="38" spans="1:11" s="109" customFormat="1" ht="16">
      <c r="A38" s="29">
        <v>-100000</v>
      </c>
      <c r="B38" s="29">
        <v>0.49999900000000003</v>
      </c>
      <c r="C38" s="204" t="s">
        <v>453</v>
      </c>
      <c r="D38" s="361">
        <v>0.2</v>
      </c>
      <c r="G38" s="29" t="s">
        <v>228</v>
      </c>
      <c r="H38" s="29" t="s">
        <v>229</v>
      </c>
      <c r="J38"/>
      <c r="K38"/>
    </row>
    <row r="39" spans="1:11" s="109" customFormat="1" ht="16">
      <c r="A39" s="29">
        <v>0.5</v>
      </c>
      <c r="B39" s="29">
        <v>0.79999900000000002</v>
      </c>
      <c r="C39" s="204" t="s">
        <v>454</v>
      </c>
      <c r="D39" s="361">
        <v>0.17</v>
      </c>
      <c r="G39" s="204" t="s">
        <v>465</v>
      </c>
      <c r="H39" s="361">
        <v>9.1999999999999998E-3</v>
      </c>
      <c r="J39"/>
      <c r="K39"/>
    </row>
    <row r="40" spans="1:11" s="109" customFormat="1" ht="16">
      <c r="A40" s="29">
        <v>0.8</v>
      </c>
      <c r="B40" s="29">
        <v>1.2499990000000001</v>
      </c>
      <c r="C40" s="204" t="s">
        <v>455</v>
      </c>
      <c r="D40" s="361">
        <v>0.1178</v>
      </c>
      <c r="G40" s="204" t="s">
        <v>464</v>
      </c>
      <c r="H40" s="361">
        <v>1.0699999999999999E-2</v>
      </c>
      <c r="J40"/>
      <c r="K40"/>
    </row>
    <row r="41" spans="1:11" s="109" customFormat="1" ht="16">
      <c r="A41" s="29">
        <v>1.25</v>
      </c>
      <c r="B41" s="29">
        <v>1.4999990000000001</v>
      </c>
      <c r="C41" s="204" t="s">
        <v>456</v>
      </c>
      <c r="D41" s="361">
        <v>8.5099999999999995E-2</v>
      </c>
      <c r="G41" s="204" t="s">
        <v>463</v>
      </c>
      <c r="H41" s="361">
        <v>1.21E-2</v>
      </c>
      <c r="J41"/>
      <c r="K41"/>
    </row>
    <row r="42" spans="1:11" s="109" customFormat="1" ht="16">
      <c r="A42" s="29">
        <v>1.5</v>
      </c>
      <c r="B42" s="29">
        <v>1.9999990000000001</v>
      </c>
      <c r="C42" s="204" t="s">
        <v>457</v>
      </c>
      <c r="D42" s="361">
        <v>5.2400000000000002E-2</v>
      </c>
      <c r="G42" s="204" t="s">
        <v>466</v>
      </c>
      <c r="H42" s="361">
        <v>7.0000000000000001E-3</v>
      </c>
      <c r="J42"/>
      <c r="K42"/>
    </row>
    <row r="43" spans="1:11" s="109" customFormat="1" ht="16">
      <c r="A43" s="29">
        <v>2</v>
      </c>
      <c r="B43" s="29">
        <v>2.4999989999999999</v>
      </c>
      <c r="C43" s="204" t="s">
        <v>458</v>
      </c>
      <c r="D43" s="361">
        <v>3.61E-2</v>
      </c>
      <c r="G43" s="204" t="s">
        <v>467</v>
      </c>
      <c r="H43" s="361">
        <v>5.8999999999999999E-3</v>
      </c>
      <c r="J43"/>
      <c r="K43"/>
    </row>
    <row r="44" spans="1:11" s="109" customFormat="1" ht="16">
      <c r="A44" s="29">
        <v>2.5</v>
      </c>
      <c r="B44" s="29">
        <v>2.9999989999999999</v>
      </c>
      <c r="C44" s="204" t="s">
        <v>459</v>
      </c>
      <c r="D44" s="361">
        <v>3.1399999999999997E-2</v>
      </c>
      <c r="G44" s="204" t="s">
        <v>459</v>
      </c>
      <c r="H44" s="361">
        <v>3.1399999999999997E-2</v>
      </c>
      <c r="J44"/>
      <c r="K44"/>
    </row>
    <row r="45" spans="1:11" s="109" customFormat="1" ht="16">
      <c r="A45" s="29">
        <v>3</v>
      </c>
      <c r="B45" s="29">
        <v>3.4999989999999999</v>
      </c>
      <c r="C45" s="204" t="s">
        <v>460</v>
      </c>
      <c r="D45" s="361">
        <v>2.2100000000000002E-2</v>
      </c>
      <c r="G45" s="204" t="s">
        <v>458</v>
      </c>
      <c r="H45" s="361">
        <v>3.61E-2</v>
      </c>
      <c r="J45"/>
      <c r="K45"/>
    </row>
    <row r="46" spans="1:11" s="109" customFormat="1" ht="16">
      <c r="A46" s="29">
        <v>3.5</v>
      </c>
      <c r="B46" s="29">
        <v>3.9999999000000002</v>
      </c>
      <c r="C46" s="204" t="s">
        <v>461</v>
      </c>
      <c r="D46" s="361">
        <v>1.7399999999999999E-2</v>
      </c>
      <c r="G46" s="204" t="s">
        <v>457</v>
      </c>
      <c r="H46" s="361">
        <v>5.2400000000000002E-2</v>
      </c>
      <c r="J46"/>
      <c r="K46"/>
    </row>
    <row r="47" spans="1:11" s="109" customFormat="1" ht="16">
      <c r="A47" s="29">
        <v>4</v>
      </c>
      <c r="B47" s="29">
        <v>4.4999989999999999</v>
      </c>
      <c r="C47" s="204" t="s">
        <v>462</v>
      </c>
      <c r="D47" s="361">
        <v>1.47E-2</v>
      </c>
      <c r="G47" s="204" t="s">
        <v>461</v>
      </c>
      <c r="H47" s="361">
        <v>1.7399999999999999E-2</v>
      </c>
      <c r="J47"/>
      <c r="K47"/>
    </row>
    <row r="48" spans="1:11" s="109" customFormat="1" ht="16">
      <c r="A48" s="29">
        <v>4.5</v>
      </c>
      <c r="B48" s="29">
        <v>5.9999989999999999</v>
      </c>
      <c r="C48" s="204" t="s">
        <v>463</v>
      </c>
      <c r="D48" s="361">
        <v>1.21E-2</v>
      </c>
      <c r="G48" s="204" t="s">
        <v>460</v>
      </c>
      <c r="H48" s="361">
        <v>2.2100000000000002E-2</v>
      </c>
      <c r="J48"/>
      <c r="K48"/>
    </row>
    <row r="49" spans="1:11" s="109" customFormat="1" ht="16">
      <c r="A49" s="29">
        <v>6</v>
      </c>
      <c r="B49" s="29">
        <v>7.4999989999999999</v>
      </c>
      <c r="C49" s="204" t="s">
        <v>464</v>
      </c>
      <c r="D49" s="361">
        <v>1.0699999999999999E-2</v>
      </c>
      <c r="G49" s="204" t="s">
        <v>462</v>
      </c>
      <c r="H49" s="361">
        <v>1.47E-2</v>
      </c>
      <c r="J49"/>
      <c r="K49"/>
    </row>
    <row r="50" spans="1:11" s="109" customFormat="1" ht="16">
      <c r="A50" s="29">
        <v>7.5</v>
      </c>
      <c r="B50" s="29">
        <v>9.4999990000000007</v>
      </c>
      <c r="C50" s="204" t="s">
        <v>465</v>
      </c>
      <c r="D50" s="361">
        <v>9.1999999999999998E-3</v>
      </c>
      <c r="G50" s="204" t="s">
        <v>456</v>
      </c>
      <c r="H50" s="361">
        <v>8.5099999999999995E-2</v>
      </c>
      <c r="J50"/>
      <c r="K50"/>
    </row>
    <row r="51" spans="1:11" ht="16">
      <c r="A51" s="29">
        <v>9.5</v>
      </c>
      <c r="B51" s="29">
        <v>12.499999000000001</v>
      </c>
      <c r="C51" s="204" t="s">
        <v>466</v>
      </c>
      <c r="D51" s="361">
        <v>7.0000000000000001E-3</v>
      </c>
      <c r="F51" s="109"/>
      <c r="G51" s="204" t="s">
        <v>455</v>
      </c>
      <c r="H51" s="361">
        <v>0.1178</v>
      </c>
      <c r="I51" s="109"/>
    </row>
    <row r="52" spans="1:11" ht="16">
      <c r="A52" s="29">
        <v>12.5</v>
      </c>
      <c r="B52" s="29">
        <v>100000</v>
      </c>
      <c r="C52" s="204" t="s">
        <v>467</v>
      </c>
      <c r="D52" s="361">
        <v>5.8999999999999999E-3</v>
      </c>
      <c r="G52" s="204" t="s">
        <v>454</v>
      </c>
      <c r="H52" s="361">
        <v>0.17</v>
      </c>
    </row>
    <row r="53" spans="1:11" ht="16">
      <c r="G53" s="204" t="s">
        <v>453</v>
      </c>
      <c r="H53" s="361">
        <v>0.2</v>
      </c>
    </row>
  </sheetData>
  <sortState xmlns:xlrd2="http://schemas.microsoft.com/office/spreadsheetml/2017/richdata2" ref="J39:K53">
    <sortCondition ref="J39:J53"/>
  </sortState>
  <pageMargins left="0.75" right="0.75" top="1" bottom="1" header="0.5" footer="0.5"/>
  <pageSetup orientation="portrait" horizontalDpi="4294967292" verticalDpi="4294967292"/>
  <headerFooter alignWithMargins="0"/>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B11" sqref="B11"/>
    </sheetView>
  </sheetViews>
  <sheetFormatPr baseColWidth="10" defaultRowHeight="13"/>
  <sheetData>
    <row r="1" spans="1:10" s="5" customFormat="1" ht="18">
      <c r="A1" s="28" t="s">
        <v>401</v>
      </c>
      <c r="B1" s="28"/>
      <c r="C1" s="28"/>
      <c r="D1" s="28"/>
      <c r="E1" s="28"/>
      <c r="F1" s="28"/>
      <c r="G1" s="28"/>
      <c r="H1" s="28"/>
      <c r="I1" s="28"/>
      <c r="J1" s="28"/>
    </row>
    <row r="2" spans="1:10" s="7" customFormat="1">
      <c r="A2" s="7" t="s">
        <v>402</v>
      </c>
    </row>
    <row r="3" spans="1:10" s="7" customFormat="1">
      <c r="A3" s="7" t="s">
        <v>403</v>
      </c>
    </row>
    <row r="4" spans="1:10" s="7" customFormat="1"/>
    <row r="5" spans="1:10" s="7" customFormat="1">
      <c r="A5" s="16" t="s">
        <v>6</v>
      </c>
    </row>
    <row r="6" spans="1:10" s="7" customFormat="1">
      <c r="A6" s="7" t="s">
        <v>404</v>
      </c>
      <c r="F6" s="110">
        <v>5</v>
      </c>
      <c r="G6" s="7" t="s">
        <v>405</v>
      </c>
    </row>
    <row r="7" spans="1:10" s="7" customFormat="1">
      <c r="A7" s="7" t="s">
        <v>406</v>
      </c>
      <c r="F7" s="32">
        <v>3969</v>
      </c>
      <c r="G7" s="7" t="s">
        <v>407</v>
      </c>
    </row>
    <row r="8" spans="1:10" s="7" customFormat="1">
      <c r="A8" s="7" t="s">
        <v>408</v>
      </c>
    </row>
    <row r="9" spans="1:10" s="7" customFormat="1">
      <c r="A9" s="7" t="s">
        <v>409</v>
      </c>
    </row>
    <row r="10" spans="1:10" s="159" customFormat="1">
      <c r="A10" s="157" t="s">
        <v>116</v>
      </c>
      <c r="B10" s="157" t="s">
        <v>410</v>
      </c>
      <c r="C10" s="158"/>
      <c r="D10" s="158"/>
      <c r="E10" s="158"/>
      <c r="F10" s="158"/>
      <c r="G10" s="158"/>
      <c r="H10" s="158"/>
      <c r="I10" s="158"/>
    </row>
    <row r="11" spans="1:10" s="159" customFormat="1">
      <c r="A11" s="160">
        <v>-1</v>
      </c>
      <c r="B11" s="161">
        <v>3075</v>
      </c>
      <c r="C11" s="158" t="s">
        <v>411</v>
      </c>
      <c r="D11" s="158"/>
      <c r="E11" s="158"/>
      <c r="F11" s="158"/>
      <c r="G11" s="158"/>
      <c r="H11" s="158"/>
      <c r="I11" s="158"/>
    </row>
    <row r="12" spans="1:10" s="159" customFormat="1">
      <c r="A12" s="160">
        <f>IF((0-A11)&lt;$F$6,IF(A11&gt;-1,,A11-1),)</f>
        <v>-2</v>
      </c>
      <c r="B12" s="161">
        <v>2593</v>
      </c>
      <c r="C12" s="158" t="s">
        <v>412</v>
      </c>
      <c r="D12" s="158"/>
      <c r="E12" s="158"/>
      <c r="F12" s="158"/>
      <c r="G12" s="158"/>
      <c r="H12" s="158"/>
      <c r="I12" s="158"/>
    </row>
    <row r="13" spans="1:10" s="159" customFormat="1">
      <c r="A13" s="160">
        <f t="shared" ref="A13:A20" si="0">IF((0-A12)&lt;$F$6,IF(A12&gt;-1,,A12-1),)</f>
        <v>-3</v>
      </c>
      <c r="B13" s="161">
        <v>1491</v>
      </c>
      <c r="C13" s="158"/>
      <c r="D13" s="158"/>
      <c r="E13" s="158"/>
      <c r="F13" s="158"/>
      <c r="G13" s="158"/>
      <c r="H13" s="158"/>
      <c r="I13" s="158"/>
    </row>
    <row r="14" spans="1:10" s="159" customFormat="1">
      <c r="A14" s="160">
        <f t="shared" si="0"/>
        <v>-4</v>
      </c>
      <c r="B14" s="161">
        <v>1390</v>
      </c>
      <c r="C14" s="158"/>
      <c r="D14" s="158"/>
      <c r="E14" s="158"/>
      <c r="F14" s="158"/>
      <c r="G14" s="158"/>
      <c r="H14" s="158"/>
      <c r="I14" s="158"/>
    </row>
    <row r="15" spans="1:10" s="159" customFormat="1">
      <c r="A15" s="160">
        <f t="shared" si="0"/>
        <v>-5</v>
      </c>
      <c r="B15" s="161">
        <v>1460</v>
      </c>
      <c r="C15" s="158"/>
      <c r="D15" s="158"/>
      <c r="E15" s="158"/>
      <c r="F15" s="158"/>
      <c r="G15" s="158"/>
      <c r="H15" s="158"/>
      <c r="I15" s="158"/>
    </row>
    <row r="16" spans="1:10" s="159" customFormat="1">
      <c r="A16" s="160">
        <f t="shared" si="0"/>
        <v>0</v>
      </c>
      <c r="B16" s="161"/>
      <c r="C16" s="158"/>
      <c r="D16" s="158"/>
      <c r="E16" s="158"/>
      <c r="F16" s="158"/>
      <c r="G16" s="158"/>
      <c r="H16" s="158"/>
      <c r="I16" s="158"/>
    </row>
    <row r="17" spans="1:9" s="159" customFormat="1">
      <c r="A17" s="160">
        <f t="shared" si="0"/>
        <v>0</v>
      </c>
      <c r="B17" s="161"/>
      <c r="C17" s="158"/>
      <c r="D17" s="158"/>
      <c r="E17" s="158"/>
      <c r="F17" s="158"/>
      <c r="G17" s="158"/>
      <c r="H17" s="158"/>
      <c r="I17" s="158"/>
    </row>
    <row r="18" spans="1:9" s="159" customFormat="1">
      <c r="A18" s="160">
        <f t="shared" si="0"/>
        <v>0</v>
      </c>
      <c r="B18" s="161"/>
      <c r="C18" s="158"/>
      <c r="D18" s="158"/>
      <c r="E18" s="158"/>
      <c r="F18" s="158"/>
      <c r="G18" s="158"/>
      <c r="H18" s="158"/>
      <c r="I18" s="158"/>
    </row>
    <row r="19" spans="1:9" s="159" customFormat="1">
      <c r="A19" s="160">
        <f t="shared" si="0"/>
        <v>0</v>
      </c>
      <c r="B19" s="161"/>
      <c r="C19" s="158"/>
      <c r="D19" s="158"/>
      <c r="E19" s="158"/>
      <c r="F19" s="158"/>
      <c r="G19" s="158"/>
      <c r="H19" s="158"/>
      <c r="I19" s="158"/>
    </row>
    <row r="20" spans="1:9" s="159" customFormat="1">
      <c r="A20" s="160">
        <f t="shared" si="0"/>
        <v>0</v>
      </c>
      <c r="B20" s="161"/>
      <c r="C20" s="158"/>
      <c r="D20" s="158"/>
      <c r="E20" s="158"/>
      <c r="F20" s="158"/>
      <c r="G20" s="158"/>
      <c r="H20" s="158"/>
      <c r="I20" s="158"/>
    </row>
    <row r="21" spans="1:9" s="159" customFormat="1">
      <c r="A21" s="158"/>
      <c r="B21" s="158"/>
      <c r="C21" s="158"/>
      <c r="D21" s="158"/>
      <c r="E21" s="158"/>
      <c r="F21" s="158"/>
      <c r="G21" s="158"/>
      <c r="H21" s="158"/>
      <c r="I21" s="158"/>
    </row>
    <row r="22" spans="1:9" s="159" customFormat="1">
      <c r="A22" s="162" t="s">
        <v>120</v>
      </c>
      <c r="B22" s="158"/>
      <c r="C22" s="158"/>
      <c r="D22" s="158"/>
      <c r="E22" s="158"/>
      <c r="F22" s="158"/>
      <c r="G22" s="158"/>
      <c r="H22" s="158"/>
      <c r="I22" s="158"/>
    </row>
    <row r="23" spans="1:9" s="159" customFormat="1">
      <c r="A23" s="157" t="s">
        <v>116</v>
      </c>
      <c r="B23" s="157" t="s">
        <v>413</v>
      </c>
      <c r="C23" s="163" t="s">
        <v>414</v>
      </c>
      <c r="D23" s="164"/>
      <c r="E23" s="158" t="s">
        <v>415</v>
      </c>
      <c r="F23" s="158"/>
      <c r="G23" s="158"/>
      <c r="H23" s="158"/>
      <c r="I23" s="158"/>
    </row>
    <row r="24" spans="1:9" s="159" customFormat="1">
      <c r="A24" s="157" t="s">
        <v>416</v>
      </c>
      <c r="B24" s="157">
        <f>F7</f>
        <v>3969</v>
      </c>
      <c r="C24" s="157">
        <f>1</f>
        <v>1</v>
      </c>
      <c r="D24" s="157">
        <f>B24*C24</f>
        <v>3969</v>
      </c>
      <c r="E24" s="158"/>
      <c r="F24" s="158"/>
      <c r="G24" s="158"/>
      <c r="H24" s="158"/>
      <c r="I24" s="158"/>
    </row>
    <row r="25" spans="1:9" s="159" customFormat="1">
      <c r="A25" s="160">
        <f>A11</f>
        <v>-1</v>
      </c>
      <c r="B25" s="157">
        <f>B11</f>
        <v>3075</v>
      </c>
      <c r="C25" s="157">
        <f>IF(A25&lt;0,($F$6+A25)/$F$6,0)</f>
        <v>0.8</v>
      </c>
      <c r="D25" s="157">
        <f>B25*C25</f>
        <v>2460</v>
      </c>
      <c r="E25" s="165">
        <f t="shared" ref="E25:E34" si="1">IF(A25&lt;0,B25/$F$6,0)</f>
        <v>615</v>
      </c>
      <c r="F25" s="158"/>
      <c r="G25" s="158"/>
      <c r="H25" s="158"/>
      <c r="I25" s="158"/>
    </row>
    <row r="26" spans="1:9" s="159" customFormat="1">
      <c r="A26" s="160">
        <f t="shared" ref="A26:B34" si="2">A12</f>
        <v>-2</v>
      </c>
      <c r="B26" s="157">
        <f t="shared" si="2"/>
        <v>2593</v>
      </c>
      <c r="C26" s="157">
        <f>IF(A26&lt;0,($F$6+A26)/$F$6,0)</f>
        <v>0.6</v>
      </c>
      <c r="D26" s="157">
        <f t="shared" ref="D26:D34" si="3">B26*C26</f>
        <v>1555.8</v>
      </c>
      <c r="E26" s="165">
        <f t="shared" si="1"/>
        <v>518.6</v>
      </c>
      <c r="F26" s="158"/>
      <c r="G26" s="158"/>
      <c r="H26" s="158"/>
      <c r="I26" s="158"/>
    </row>
    <row r="27" spans="1:9" s="159" customFormat="1">
      <c r="A27" s="160">
        <f t="shared" si="2"/>
        <v>-3</v>
      </c>
      <c r="B27" s="157">
        <f t="shared" si="2"/>
        <v>1491</v>
      </c>
      <c r="C27" s="157">
        <f>IF(A27&lt;0,($F$6+A27)/$F$6,0)</f>
        <v>0.4</v>
      </c>
      <c r="D27" s="157">
        <f t="shared" si="3"/>
        <v>596.4</v>
      </c>
      <c r="E27" s="165">
        <f t="shared" si="1"/>
        <v>298.2</v>
      </c>
      <c r="F27" s="158"/>
      <c r="G27" s="158"/>
      <c r="H27" s="158"/>
      <c r="I27" s="158"/>
    </row>
    <row r="28" spans="1:9" s="159" customFormat="1">
      <c r="A28" s="160">
        <f t="shared" si="2"/>
        <v>-4</v>
      </c>
      <c r="B28" s="157">
        <f t="shared" si="2"/>
        <v>1390</v>
      </c>
      <c r="C28" s="157">
        <f t="shared" ref="C28:C34" si="4">IF(A28&lt;0,($F$6+A28)/$F$6,0)</f>
        <v>0.2</v>
      </c>
      <c r="D28" s="157">
        <f t="shared" si="3"/>
        <v>278</v>
      </c>
      <c r="E28" s="165">
        <f t="shared" si="1"/>
        <v>278</v>
      </c>
      <c r="F28" s="158"/>
      <c r="G28" s="158"/>
      <c r="H28" s="158"/>
      <c r="I28" s="158"/>
    </row>
    <row r="29" spans="1:9" s="159" customFormat="1">
      <c r="A29" s="160">
        <f t="shared" si="2"/>
        <v>-5</v>
      </c>
      <c r="B29" s="157">
        <f t="shared" si="2"/>
        <v>1460</v>
      </c>
      <c r="C29" s="157">
        <f t="shared" si="4"/>
        <v>0</v>
      </c>
      <c r="D29" s="157">
        <f t="shared" si="3"/>
        <v>0</v>
      </c>
      <c r="E29" s="165">
        <f t="shared" si="1"/>
        <v>292</v>
      </c>
      <c r="F29" s="158"/>
      <c r="G29" s="158"/>
      <c r="H29" s="158"/>
      <c r="I29" s="158"/>
    </row>
    <row r="30" spans="1:9" s="159" customFormat="1">
      <c r="A30" s="160">
        <f t="shared" si="2"/>
        <v>0</v>
      </c>
      <c r="B30" s="157">
        <f t="shared" si="2"/>
        <v>0</v>
      </c>
      <c r="C30" s="157">
        <f t="shared" si="4"/>
        <v>0</v>
      </c>
      <c r="D30" s="157">
        <f t="shared" si="3"/>
        <v>0</v>
      </c>
      <c r="E30" s="165">
        <f t="shared" si="1"/>
        <v>0</v>
      </c>
      <c r="F30" s="158"/>
      <c r="G30" s="158"/>
      <c r="H30" s="158"/>
      <c r="I30" s="158"/>
    </row>
    <row r="31" spans="1:9" s="159" customFormat="1">
      <c r="A31" s="160">
        <f t="shared" si="2"/>
        <v>0</v>
      </c>
      <c r="B31" s="157">
        <f t="shared" si="2"/>
        <v>0</v>
      </c>
      <c r="C31" s="157">
        <f t="shared" si="4"/>
        <v>0</v>
      </c>
      <c r="D31" s="157">
        <f t="shared" si="3"/>
        <v>0</v>
      </c>
      <c r="E31" s="165">
        <f t="shared" si="1"/>
        <v>0</v>
      </c>
      <c r="F31" s="158"/>
      <c r="G31" s="158"/>
      <c r="H31" s="158"/>
      <c r="I31" s="158"/>
    </row>
    <row r="32" spans="1:9" s="159" customFormat="1">
      <c r="A32" s="160">
        <f t="shared" si="2"/>
        <v>0</v>
      </c>
      <c r="B32" s="157">
        <f t="shared" si="2"/>
        <v>0</v>
      </c>
      <c r="C32" s="157">
        <f t="shared" si="4"/>
        <v>0</v>
      </c>
      <c r="D32" s="157">
        <f t="shared" si="3"/>
        <v>0</v>
      </c>
      <c r="E32" s="165">
        <f t="shared" si="1"/>
        <v>0</v>
      </c>
      <c r="F32" s="158"/>
      <c r="G32" s="158"/>
      <c r="H32" s="158"/>
      <c r="I32" s="158"/>
    </row>
    <row r="33" spans="1:9" s="159" customFormat="1">
      <c r="A33" s="160">
        <f t="shared" si="2"/>
        <v>0</v>
      </c>
      <c r="B33" s="157">
        <f t="shared" si="2"/>
        <v>0</v>
      </c>
      <c r="C33" s="157">
        <f t="shared" si="4"/>
        <v>0</v>
      </c>
      <c r="D33" s="157">
        <f t="shared" si="3"/>
        <v>0</v>
      </c>
      <c r="E33" s="165">
        <f t="shared" si="1"/>
        <v>0</v>
      </c>
      <c r="F33" s="158"/>
      <c r="G33" s="158"/>
      <c r="H33" s="158"/>
      <c r="I33" s="158"/>
    </row>
    <row r="34" spans="1:9" s="159" customFormat="1" ht="16" customHeight="1" thickBot="1">
      <c r="A34" s="160">
        <f t="shared" si="2"/>
        <v>0</v>
      </c>
      <c r="B34" s="157">
        <f t="shared" si="2"/>
        <v>0</v>
      </c>
      <c r="C34" s="157">
        <f t="shared" si="4"/>
        <v>0</v>
      </c>
      <c r="D34" s="166">
        <f t="shared" si="3"/>
        <v>0</v>
      </c>
      <c r="E34" s="167">
        <f t="shared" si="1"/>
        <v>0</v>
      </c>
      <c r="F34" s="158"/>
      <c r="G34" s="158"/>
      <c r="H34" s="158"/>
      <c r="I34" s="158"/>
    </row>
    <row r="35" spans="1:9" s="7" customFormat="1" ht="14" thickBot="1">
      <c r="A35" s="7" t="s">
        <v>417</v>
      </c>
      <c r="D35" s="168">
        <f>SUM(D24:D34)</f>
        <v>8859.2000000000007</v>
      </c>
      <c r="E35" s="24">
        <f>SUM(E25:E34)</f>
        <v>2001.8</v>
      </c>
    </row>
    <row r="36" spans="1:9" ht="14" thickBot="1"/>
    <row r="37" spans="1:9" s="7" customFormat="1" ht="14" thickBot="1">
      <c r="A37" s="7" t="s">
        <v>418</v>
      </c>
      <c r="D37" s="168">
        <f>E35</f>
        <v>2001.8</v>
      </c>
    </row>
    <row r="38" spans="1:9" s="7" customFormat="1" ht="14" thickBot="1"/>
    <row r="39" spans="1:9" s="7" customFormat="1">
      <c r="A39" s="7" t="s">
        <v>419</v>
      </c>
      <c r="D39" s="169">
        <f>F7-D37</f>
        <v>1967.2</v>
      </c>
      <c r="E39" s="7" t="s">
        <v>420</v>
      </c>
    </row>
    <row r="40" spans="1:9" ht="14">
      <c r="A40" t="s">
        <v>421</v>
      </c>
      <c r="D40" s="170">
        <f>D39*'Input sheet'!B23</f>
        <v>491.8</v>
      </c>
      <c r="E40" s="7"/>
    </row>
  </sheetData>
  <conditionalFormatting sqref="B16:B20">
    <cfRule type="cellIs" dxfId="1" priority="2" stopIfTrue="1" operator="equal">
      <formula>0</formula>
    </cfRule>
  </conditionalFormatting>
  <conditionalFormatting sqref="B11:B15">
    <cfRule type="cellIs" dxfId="0" priority="1" stopIfTrue="1" operator="equal">
      <formula>0</formula>
    </cfRule>
  </conditionalFormatting>
  <pageMargins left="0.75" right="0.75" top="1" bottom="1" header="0.5" footer="0.5"/>
  <headerFooter alignWithMargins="0"/>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E5" sqref="E5"/>
    </sheetView>
  </sheetViews>
  <sheetFormatPr baseColWidth="10" defaultRowHeight="13"/>
  <sheetData>
    <row r="1" spans="1:11" s="5" customFormat="1" ht="18">
      <c r="A1" s="28" t="s">
        <v>113</v>
      </c>
      <c r="B1" s="28"/>
      <c r="C1" s="28"/>
      <c r="D1" s="28"/>
      <c r="E1" s="28"/>
      <c r="F1" s="28"/>
      <c r="G1" s="28"/>
      <c r="H1" s="28"/>
      <c r="I1" s="28"/>
      <c r="J1" s="28"/>
      <c r="K1" s="28"/>
    </row>
    <row r="2" spans="1:11" s="5" customFormat="1" ht="18">
      <c r="A2" s="28" t="s">
        <v>158</v>
      </c>
      <c r="B2" s="28"/>
      <c r="C2" s="28"/>
      <c r="D2" s="28"/>
      <c r="E2" s="28"/>
      <c r="F2" s="28"/>
      <c r="G2" s="28"/>
      <c r="H2" s="28"/>
      <c r="I2" s="28"/>
      <c r="J2" s="28"/>
      <c r="K2" s="28"/>
    </row>
    <row r="3" spans="1:11" s="16" customFormat="1">
      <c r="A3" s="16" t="s">
        <v>6</v>
      </c>
    </row>
    <row r="4" spans="1:11" s="7" customFormat="1">
      <c r="A4" s="7" t="s">
        <v>114</v>
      </c>
      <c r="E4" s="32">
        <v>1650</v>
      </c>
    </row>
    <row r="5" spans="1:11" s="14" customFormat="1">
      <c r="A5" s="14" t="s">
        <v>115</v>
      </c>
    </row>
    <row r="6" spans="1:11" s="7" customFormat="1">
      <c r="A6" s="29" t="s">
        <v>116</v>
      </c>
      <c r="B6" s="29" t="s">
        <v>117</v>
      </c>
      <c r="C6" s="7" t="s">
        <v>118</v>
      </c>
    </row>
    <row r="7" spans="1:11" s="7" customFormat="1">
      <c r="A7" s="29">
        <v>1</v>
      </c>
      <c r="B7" s="238">
        <f>1405+227</f>
        <v>1632</v>
      </c>
    </row>
    <row r="8" spans="1:11" s="7" customFormat="1">
      <c r="A8" s="29">
        <v>2</v>
      </c>
      <c r="B8" s="238">
        <f>960+214</f>
        <v>1174</v>
      </c>
    </row>
    <row r="9" spans="1:11" s="7" customFormat="1">
      <c r="A9" s="29">
        <v>3</v>
      </c>
      <c r="B9" s="238">
        <f>461+210</f>
        <v>671</v>
      </c>
    </row>
    <row r="10" spans="1:11" s="7" customFormat="1">
      <c r="A10" s="29">
        <v>4</v>
      </c>
      <c r="B10" s="238">
        <f>227+102</f>
        <v>329</v>
      </c>
    </row>
    <row r="11" spans="1:11" s="7" customFormat="1">
      <c r="A11" s="29">
        <v>5</v>
      </c>
      <c r="B11" s="238">
        <f>197+25</f>
        <v>222</v>
      </c>
    </row>
    <row r="12" spans="1:11" s="7" customFormat="1" ht="14">
      <c r="A12" s="29" t="s">
        <v>119</v>
      </c>
      <c r="B12" s="237">
        <v>1494</v>
      </c>
    </row>
    <row r="13" spans="1:11" s="7" customFormat="1"/>
    <row r="14" spans="1:11" s="30" customFormat="1" ht="17" thickBot="1">
      <c r="A14" s="30" t="s">
        <v>120</v>
      </c>
    </row>
    <row r="15" spans="1:11" s="7" customFormat="1" ht="14" thickBot="1">
      <c r="A15" s="7" t="s">
        <v>121</v>
      </c>
      <c r="C15" s="68">
        <f>'Cost of capital worksheet'!B25</f>
        <v>5.5500000000000001E-2</v>
      </c>
      <c r="D15" s="7" t="s">
        <v>233</v>
      </c>
    </row>
    <row r="16" spans="1:11" s="7" customFormat="1"/>
    <row r="17" spans="1:7" s="7" customFormat="1">
      <c r="D17" s="33"/>
    </row>
    <row r="18" spans="1:7" s="7" customFormat="1">
      <c r="A18" s="7" t="s">
        <v>122</v>
      </c>
      <c r="D18" s="34">
        <f>IF(B12&gt;0,ROUND(B12/AVERAGE(B7:B11),0),0)</f>
        <v>2</v>
      </c>
      <c r="E18" s="7" t="s">
        <v>123</v>
      </c>
    </row>
    <row r="19" spans="1:7" s="16" customFormat="1">
      <c r="E19" s="7" t="s">
        <v>124</v>
      </c>
    </row>
    <row r="20" spans="1:7" s="14" customFormat="1">
      <c r="A20" s="14" t="s">
        <v>125</v>
      </c>
    </row>
    <row r="21" spans="1:7" s="7" customFormat="1">
      <c r="A21" s="29" t="s">
        <v>116</v>
      </c>
      <c r="B21" s="29" t="s">
        <v>117</v>
      </c>
      <c r="C21" s="29" t="s">
        <v>126</v>
      </c>
    </row>
    <row r="22" spans="1:7" s="7" customFormat="1">
      <c r="A22" s="18">
        <f>A7</f>
        <v>1</v>
      </c>
      <c r="B22" s="27">
        <f>B7</f>
        <v>1632</v>
      </c>
      <c r="C22" s="8">
        <f>B22/(1+$C$15)^A22</f>
        <v>1546.186641402179</v>
      </c>
    </row>
    <row r="23" spans="1:7" s="7" customFormat="1">
      <c r="A23" s="18">
        <f t="shared" ref="A23:B26" si="0">A8</f>
        <v>2</v>
      </c>
      <c r="B23" s="27">
        <f t="shared" si="0"/>
        <v>1174</v>
      </c>
      <c r="C23" s="8">
        <f>B23/(1+$C$15)^A23</f>
        <v>1053.7840519118795</v>
      </c>
    </row>
    <row r="24" spans="1:7" s="7" customFormat="1">
      <c r="A24" s="18">
        <f t="shared" si="0"/>
        <v>3</v>
      </c>
      <c r="B24" s="27">
        <f t="shared" si="0"/>
        <v>671</v>
      </c>
      <c r="C24" s="8">
        <f>B24/(1+$C$15)^A24</f>
        <v>570.6210745150704</v>
      </c>
    </row>
    <row r="25" spans="1:7" s="7" customFormat="1">
      <c r="A25" s="18">
        <f t="shared" si="0"/>
        <v>4</v>
      </c>
      <c r="B25" s="27">
        <f t="shared" si="0"/>
        <v>329</v>
      </c>
      <c r="C25" s="8">
        <f>B25/(1+$C$15)^A25</f>
        <v>265.07144609134633</v>
      </c>
    </row>
    <row r="26" spans="1:7" s="7" customFormat="1">
      <c r="A26" s="18">
        <f t="shared" si="0"/>
        <v>5</v>
      </c>
      <c r="B26" s="27">
        <f t="shared" si="0"/>
        <v>222</v>
      </c>
      <c r="C26" s="8">
        <f>B26/(1+$C$15)^A26</f>
        <v>169.45788677423909</v>
      </c>
    </row>
    <row r="27" spans="1:7" s="7" customFormat="1" ht="14" thickBot="1">
      <c r="A27" s="35" t="str">
        <f>A12</f>
        <v>6 and beyond</v>
      </c>
      <c r="B27" s="36">
        <f>IF(B12&gt;0,IF(D18&gt;0,B12/D18,B12),0)</f>
        <v>747</v>
      </c>
      <c r="C27" s="37">
        <f>IF(D18&gt;0,(B27*(1-(1+C15)^(-D18))/C15)/(1+$C$15)^5,B27/(1+C15)^6)</f>
        <v>1052.0355593027177</v>
      </c>
      <c r="D27" s="7" t="s">
        <v>127</v>
      </c>
    </row>
    <row r="28" spans="1:7" s="7" customFormat="1" ht="14" thickBot="1">
      <c r="A28" s="31" t="s">
        <v>128</v>
      </c>
      <c r="B28" s="38"/>
      <c r="C28" s="39">
        <f>SUM(C22:C27)</f>
        <v>4657.1566599974321</v>
      </c>
    </row>
    <row r="29" spans="1:7" s="7" customFormat="1"/>
    <row r="30" spans="1:7" s="7" customFormat="1">
      <c r="A30" s="14" t="s">
        <v>129</v>
      </c>
    </row>
    <row r="31" spans="1:7" s="7" customFormat="1" ht="14" thickBot="1">
      <c r="A31" s="7" t="s">
        <v>130</v>
      </c>
      <c r="F31" s="37">
        <f>C28/(5+D18)</f>
        <v>665.30809428534747</v>
      </c>
      <c r="G31" s="7" t="s">
        <v>131</v>
      </c>
    </row>
    <row r="32" spans="1:7" s="7" customFormat="1" ht="14" thickBot="1">
      <c r="A32" s="7" t="s">
        <v>132</v>
      </c>
      <c r="F32" s="69">
        <f>E4-F31</f>
        <v>984.69190571465253</v>
      </c>
      <c r="G32" s="7" t="s">
        <v>134</v>
      </c>
    </row>
    <row r="33" spans="1:7" s="7" customFormat="1" ht="14" thickBot="1">
      <c r="A33" s="7" t="s">
        <v>133</v>
      </c>
      <c r="F33" s="40">
        <f>C28</f>
        <v>4657.1566599974321</v>
      </c>
      <c r="G33" s="7" t="s">
        <v>135</v>
      </c>
    </row>
    <row r="34" spans="1:7" ht="14">
      <c r="A34" s="7" t="s">
        <v>492</v>
      </c>
      <c r="F34" s="210">
        <f>C28/(5+D18)</f>
        <v>665.30809428534747</v>
      </c>
    </row>
  </sheetData>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983250"/>
  <sheetViews>
    <sheetView workbookViewId="0">
      <selection activeCell="B2" sqref="B2"/>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9.6640625" customWidth="1"/>
  </cols>
  <sheetData>
    <row r="1" spans="1:6">
      <c r="A1" t="s">
        <v>613</v>
      </c>
      <c r="B1" s="242">
        <v>4.4999999999999998E-2</v>
      </c>
      <c r="C1" t="s">
        <v>873</v>
      </c>
    </row>
    <row r="2" spans="1:6" ht="14">
      <c r="A2" s="275" t="s">
        <v>686</v>
      </c>
      <c r="B2" s="275"/>
      <c r="C2" s="275"/>
      <c r="D2" s="275"/>
      <c r="E2" s="275"/>
      <c r="F2" s="275"/>
    </row>
    <row r="4" spans="1:6" ht="16">
      <c r="A4" s="344" t="s">
        <v>349</v>
      </c>
      <c r="B4" s="345" t="s">
        <v>566</v>
      </c>
      <c r="C4" s="346" t="s">
        <v>350</v>
      </c>
      <c r="D4" s="346" t="s">
        <v>567</v>
      </c>
      <c r="E4" s="346" t="s">
        <v>351</v>
      </c>
      <c r="F4" s="346" t="s">
        <v>519</v>
      </c>
    </row>
    <row r="5" spans="1:6" ht="16">
      <c r="A5" s="347" t="s">
        <v>481</v>
      </c>
      <c r="B5" s="348" t="s">
        <v>568</v>
      </c>
      <c r="C5" s="349">
        <v>5.3778762707661788E-3</v>
      </c>
      <c r="D5" s="349">
        <f>$B$1+E5</f>
        <v>5.2219473999336782E-2</v>
      </c>
      <c r="E5" s="349">
        <v>7.219473999336784E-3</v>
      </c>
      <c r="F5" s="349">
        <v>0.15</v>
      </c>
    </row>
    <row r="6" spans="1:6" ht="16">
      <c r="A6" s="347" t="s">
        <v>245</v>
      </c>
      <c r="B6" s="348" t="s">
        <v>569</v>
      </c>
      <c r="C6" s="349">
        <v>4.9041109802463012E-2</v>
      </c>
      <c r="D6" s="349">
        <f t="shared" ref="D6:D69" si="0">$B$1+E6</f>
        <v>0.11083472718442829</v>
      </c>
      <c r="E6" s="349">
        <v>6.5834727184428288E-2</v>
      </c>
      <c r="F6" s="349">
        <v>0.15</v>
      </c>
    </row>
    <row r="7" spans="1:6" ht="16">
      <c r="A7" s="350" t="s">
        <v>570</v>
      </c>
      <c r="B7" s="348" t="s">
        <v>687</v>
      </c>
      <c r="C7" s="349">
        <v>4.9041109802463012E-2</v>
      </c>
      <c r="D7" s="349">
        <f t="shared" si="0"/>
        <v>0.11083472718442829</v>
      </c>
      <c r="E7" s="349">
        <v>6.5834727184428288E-2</v>
      </c>
      <c r="F7" s="349">
        <v>0.26</v>
      </c>
    </row>
    <row r="8" spans="1:6" ht="16">
      <c r="A8" s="347" t="s">
        <v>499</v>
      </c>
      <c r="B8" s="348" t="s">
        <v>571</v>
      </c>
      <c r="C8" s="349">
        <v>2.0743237044383835E-2</v>
      </c>
      <c r="D8" s="349">
        <f t="shared" si="0"/>
        <v>7.2846542568870451E-2</v>
      </c>
      <c r="E8" s="349">
        <v>2.7846542568870453E-2</v>
      </c>
      <c r="F8" s="349">
        <v>0.1898</v>
      </c>
    </row>
    <row r="9" spans="1:6" ht="16">
      <c r="A9" s="347" t="s">
        <v>246</v>
      </c>
      <c r="B9" s="348" t="s">
        <v>581</v>
      </c>
      <c r="C9" s="349">
        <v>7.0808704231754685E-2</v>
      </c>
      <c r="D9" s="349">
        <f t="shared" si="0"/>
        <v>0.14005640765793431</v>
      </c>
      <c r="E9" s="349">
        <v>9.5056407657934314E-2</v>
      </c>
      <c r="F9" s="349">
        <v>0.25</v>
      </c>
    </row>
    <row r="10" spans="1:6" ht="16">
      <c r="A10" s="347" t="s">
        <v>848</v>
      </c>
      <c r="B10" s="154" t="s">
        <v>687</v>
      </c>
      <c r="C10" s="277">
        <v>0.1054310997313879</v>
      </c>
      <c r="D10" s="349">
        <f t="shared" si="0"/>
        <v>0.23253488197001548</v>
      </c>
      <c r="E10" s="277">
        <v>0.1875348819700155</v>
      </c>
      <c r="F10" s="277">
        <v>0.2724561140242252</v>
      </c>
    </row>
    <row r="11" spans="1:6" ht="16">
      <c r="A11" s="347" t="s">
        <v>849</v>
      </c>
      <c r="B11" s="154" t="s">
        <v>687</v>
      </c>
      <c r="C11" s="277">
        <v>0.1054310997313879</v>
      </c>
      <c r="D11" s="349">
        <f t="shared" si="0"/>
        <v>0.23253488197001548</v>
      </c>
      <c r="E11" s="277">
        <v>0.1875348819700155</v>
      </c>
      <c r="F11" s="277">
        <v>0.2724561140242252</v>
      </c>
    </row>
    <row r="12" spans="1:6" ht="16">
      <c r="A12" s="347" t="s">
        <v>247</v>
      </c>
      <c r="B12" s="348" t="s">
        <v>688</v>
      </c>
      <c r="C12" s="349">
        <v>0.13073361124886354</v>
      </c>
      <c r="D12" s="349">
        <f t="shared" si="0"/>
        <v>0.22050197507911562</v>
      </c>
      <c r="E12" s="349">
        <v>0.17550197507911564</v>
      </c>
      <c r="F12" s="349">
        <v>0.35</v>
      </c>
    </row>
    <row r="13" spans="1:6" ht="16">
      <c r="A13" s="347" t="s">
        <v>248</v>
      </c>
      <c r="B13" s="348" t="s">
        <v>578</v>
      </c>
      <c r="C13" s="349">
        <v>3.9181669972725021E-2</v>
      </c>
      <c r="D13" s="349">
        <f t="shared" si="0"/>
        <v>9.7599024852310853E-2</v>
      </c>
      <c r="E13" s="349">
        <v>5.2599024852310855E-2</v>
      </c>
      <c r="F13" s="349">
        <v>0.18</v>
      </c>
    </row>
    <row r="14" spans="1:6" ht="16">
      <c r="A14" s="347" t="s">
        <v>249</v>
      </c>
      <c r="B14" s="348" t="s">
        <v>571</v>
      </c>
      <c r="C14" s="349">
        <v>2.0743237044383835E-2</v>
      </c>
      <c r="D14" s="349">
        <f t="shared" si="0"/>
        <v>7.2846542568870451E-2</v>
      </c>
      <c r="E14" s="349">
        <v>2.7846542568870453E-2</v>
      </c>
      <c r="F14" s="349">
        <v>0.25</v>
      </c>
    </row>
    <row r="15" spans="1:6" ht="16">
      <c r="A15" s="347" t="s">
        <v>250</v>
      </c>
      <c r="B15" s="348" t="s">
        <v>574</v>
      </c>
      <c r="C15" s="349">
        <v>0</v>
      </c>
      <c r="D15" s="349">
        <f t="shared" si="0"/>
        <v>4.4999999999999998E-2</v>
      </c>
      <c r="E15" s="349">
        <v>0</v>
      </c>
      <c r="F15" s="349">
        <v>0.3</v>
      </c>
    </row>
    <row r="16" spans="1:6" ht="16">
      <c r="A16" s="347" t="s">
        <v>251</v>
      </c>
      <c r="B16" s="348" t="s">
        <v>575</v>
      </c>
      <c r="C16" s="349">
        <v>4.3535188858583353E-3</v>
      </c>
      <c r="D16" s="349">
        <f t="shared" si="0"/>
        <v>5.0844336094701202E-2</v>
      </c>
      <c r="E16" s="349">
        <v>5.8443360947012038E-3</v>
      </c>
      <c r="F16" s="349">
        <v>0.24</v>
      </c>
    </row>
    <row r="17" spans="1:6" ht="16">
      <c r="A17" s="347" t="s">
        <v>358</v>
      </c>
      <c r="B17" s="348" t="s">
        <v>589</v>
      </c>
      <c r="C17" s="349">
        <v>2.7273515373171343E-2</v>
      </c>
      <c r="D17" s="349">
        <f t="shared" si="0"/>
        <v>8.161304671092226E-2</v>
      </c>
      <c r="E17" s="349">
        <v>3.6613046710922262E-2</v>
      </c>
      <c r="F17" s="349">
        <v>0.2</v>
      </c>
    </row>
    <row r="18" spans="1:6" ht="16">
      <c r="A18" s="347" t="s">
        <v>252</v>
      </c>
      <c r="B18" s="348" t="s">
        <v>569</v>
      </c>
      <c r="C18" s="349">
        <v>4.9041109802463012E-2</v>
      </c>
      <c r="D18" s="349">
        <f t="shared" si="0"/>
        <v>0.11083472718442829</v>
      </c>
      <c r="E18" s="349">
        <v>6.5834727184428288E-2</v>
      </c>
      <c r="F18" s="349">
        <v>0</v>
      </c>
    </row>
    <row r="19" spans="1:6" ht="16">
      <c r="A19" s="347" t="s">
        <v>253</v>
      </c>
      <c r="B19" s="348" t="s">
        <v>572</v>
      </c>
      <c r="C19" s="349">
        <v>5.9924907017108855E-2</v>
      </c>
      <c r="D19" s="349">
        <f t="shared" si="0"/>
        <v>0.12544556742118129</v>
      </c>
      <c r="E19" s="349">
        <v>8.0445567421181294E-2</v>
      </c>
      <c r="F19" s="349">
        <v>0</v>
      </c>
    </row>
    <row r="20" spans="1:6" ht="16">
      <c r="A20" s="347" t="s">
        <v>254</v>
      </c>
      <c r="B20" s="348" t="s">
        <v>569</v>
      </c>
      <c r="C20" s="349">
        <v>4.9041109802463012E-2</v>
      </c>
      <c r="D20" s="349">
        <f t="shared" si="0"/>
        <v>0.11083472718442829</v>
      </c>
      <c r="E20" s="349">
        <v>6.5834727184428288E-2</v>
      </c>
      <c r="F20" s="349">
        <v>0.3</v>
      </c>
    </row>
    <row r="21" spans="1:6" ht="16">
      <c r="A21" s="347" t="s">
        <v>255</v>
      </c>
      <c r="B21" s="348" t="s">
        <v>581</v>
      </c>
      <c r="C21" s="349">
        <v>7.0808704231754685E-2</v>
      </c>
      <c r="D21" s="349">
        <f t="shared" si="0"/>
        <v>0.14005640765793431</v>
      </c>
      <c r="E21" s="349">
        <v>9.5056407657934314E-2</v>
      </c>
      <c r="F21" s="349">
        <v>5.5E-2</v>
      </c>
    </row>
    <row r="22" spans="1:6" ht="16">
      <c r="A22" s="347" t="s">
        <v>256</v>
      </c>
      <c r="B22" s="348" t="s">
        <v>615</v>
      </c>
      <c r="C22" s="349">
        <v>0.17499999999999999</v>
      </c>
      <c r="D22" s="349">
        <f t="shared" si="0"/>
        <v>0.27992692770782934</v>
      </c>
      <c r="E22" s="349">
        <v>0.23492692770782936</v>
      </c>
      <c r="F22" s="349">
        <v>0.18</v>
      </c>
    </row>
    <row r="23" spans="1:6" ht="16">
      <c r="A23" s="347" t="s">
        <v>257</v>
      </c>
      <c r="B23" s="348" t="s">
        <v>580</v>
      </c>
      <c r="C23" s="349">
        <v>6.5302783287875029E-3</v>
      </c>
      <c r="D23" s="349">
        <f t="shared" si="0"/>
        <v>5.3766504142051808E-2</v>
      </c>
      <c r="E23" s="349">
        <v>8.7665041420518092E-3</v>
      </c>
      <c r="F23" s="349">
        <v>0.25</v>
      </c>
    </row>
    <row r="24" spans="1:6" ht="16">
      <c r="A24" s="347" t="s">
        <v>361</v>
      </c>
      <c r="B24" s="348" t="s">
        <v>586</v>
      </c>
      <c r="C24" s="349">
        <v>9.8082219604926024E-2</v>
      </c>
      <c r="D24" s="349">
        <f t="shared" si="0"/>
        <v>0.17666945436885656</v>
      </c>
      <c r="E24" s="349">
        <v>0.13166945436885658</v>
      </c>
      <c r="F24" s="349">
        <v>0.2853</v>
      </c>
    </row>
    <row r="25" spans="1:6" ht="16">
      <c r="A25" s="347" t="s">
        <v>582</v>
      </c>
      <c r="B25" s="348" t="s">
        <v>569</v>
      </c>
      <c r="C25" s="349">
        <v>4.9041109802463012E-2</v>
      </c>
      <c r="D25" s="349">
        <f t="shared" si="0"/>
        <v>0.11083472718442829</v>
      </c>
      <c r="E25" s="349">
        <v>6.5834727184428288E-2</v>
      </c>
      <c r="F25" s="349">
        <v>0.3</v>
      </c>
    </row>
    <row r="26" spans="1:6" ht="16">
      <c r="A26" s="347" t="s">
        <v>258</v>
      </c>
      <c r="B26" s="348" t="s">
        <v>583</v>
      </c>
      <c r="C26" s="349">
        <v>9.2192164641705932E-3</v>
      </c>
      <c r="D26" s="349">
        <f t="shared" si="0"/>
        <v>5.73762411417202E-2</v>
      </c>
      <c r="E26" s="349">
        <v>1.2376241141720201E-2</v>
      </c>
      <c r="F26" s="349">
        <v>0</v>
      </c>
    </row>
    <row r="27" spans="1:6" ht="16">
      <c r="A27" s="347" t="s">
        <v>259</v>
      </c>
      <c r="B27" s="348" t="s">
        <v>579</v>
      </c>
      <c r="C27" s="349">
        <v>8.1692501446400528E-2</v>
      </c>
      <c r="D27" s="349">
        <f t="shared" si="0"/>
        <v>0.15466724789468733</v>
      </c>
      <c r="E27" s="349">
        <v>0.10966724789468733</v>
      </c>
      <c r="F27" s="349">
        <v>0.25</v>
      </c>
    </row>
    <row r="28" spans="1:6" ht="16">
      <c r="A28" s="347" t="s">
        <v>260</v>
      </c>
      <c r="B28" s="348" t="s">
        <v>581</v>
      </c>
      <c r="C28" s="349">
        <v>7.0808704231754685E-2</v>
      </c>
      <c r="D28" s="349">
        <f t="shared" si="0"/>
        <v>0.14005640765793431</v>
      </c>
      <c r="E28" s="349">
        <v>9.5056407657934314E-2</v>
      </c>
      <c r="F28" s="349">
        <v>0.1</v>
      </c>
    </row>
    <row r="29" spans="1:6" ht="16">
      <c r="A29" s="347" t="s">
        <v>261</v>
      </c>
      <c r="B29" s="348" t="s">
        <v>587</v>
      </c>
      <c r="C29" s="349">
        <v>1.3060556657575006E-2</v>
      </c>
      <c r="D29" s="349">
        <f t="shared" si="0"/>
        <v>6.2533008284103617E-2</v>
      </c>
      <c r="E29" s="349">
        <v>1.7533008284103618E-2</v>
      </c>
      <c r="F29" s="349">
        <v>0.22</v>
      </c>
    </row>
    <row r="30" spans="1:6" ht="16">
      <c r="A30" s="347" t="s">
        <v>262</v>
      </c>
      <c r="B30" s="348" t="s">
        <v>576</v>
      </c>
      <c r="C30" s="349">
        <v>3.2779436317050999E-2</v>
      </c>
      <c r="D30" s="349">
        <f t="shared" si="0"/>
        <v>8.9004412948338496E-2</v>
      </c>
      <c r="E30" s="349">
        <v>4.4004412948338498E-2</v>
      </c>
      <c r="F30" s="349">
        <v>0.34</v>
      </c>
    </row>
    <row r="31" spans="1:6" ht="16">
      <c r="A31" s="347" t="s">
        <v>850</v>
      </c>
      <c r="B31" s="348" t="s">
        <v>576</v>
      </c>
      <c r="C31" s="349">
        <v>3.2779436317050999E-2</v>
      </c>
      <c r="D31" s="349">
        <f t="shared" si="0"/>
        <v>8.9004412948338496E-2</v>
      </c>
      <c r="E31" s="349">
        <v>4.4004412948338498E-2</v>
      </c>
      <c r="F31" s="349">
        <v>0.34</v>
      </c>
    </row>
    <row r="32" spans="1:6" ht="16">
      <c r="A32" s="351" t="s">
        <v>584</v>
      </c>
      <c r="B32" s="348" t="s">
        <v>687</v>
      </c>
      <c r="C32" s="349">
        <v>6.5302783287875029E-3</v>
      </c>
      <c r="D32" s="349">
        <f t="shared" si="0"/>
        <v>5.3766504142051808E-2</v>
      </c>
      <c r="E32" s="349">
        <v>8.7665041420518092E-3</v>
      </c>
      <c r="F32" s="349">
        <v>0.185</v>
      </c>
    </row>
    <row r="33" spans="1:6" ht="16">
      <c r="A33" s="347" t="s">
        <v>263</v>
      </c>
      <c r="B33" s="348" t="s">
        <v>573</v>
      </c>
      <c r="C33" s="349">
        <v>1.7414075543433341E-2</v>
      </c>
      <c r="D33" s="349">
        <f t="shared" si="0"/>
        <v>6.8377344378804827E-2</v>
      </c>
      <c r="E33" s="349">
        <v>2.3377344378804829E-2</v>
      </c>
      <c r="F33" s="349">
        <v>0.1</v>
      </c>
    </row>
    <row r="34" spans="1:6" ht="16">
      <c r="A34" s="347" t="s">
        <v>482</v>
      </c>
      <c r="B34" s="348" t="s">
        <v>579</v>
      </c>
      <c r="C34" s="349">
        <v>8.1692501446400528E-2</v>
      </c>
      <c r="D34" s="349">
        <f t="shared" si="0"/>
        <v>0.15466724789468733</v>
      </c>
      <c r="E34" s="349">
        <v>0.10966724789468733</v>
      </c>
      <c r="F34" s="349">
        <v>0.28000000000000003</v>
      </c>
    </row>
    <row r="35" spans="1:6" ht="16">
      <c r="A35" s="347" t="s">
        <v>264</v>
      </c>
      <c r="B35" s="348" t="s">
        <v>572</v>
      </c>
      <c r="C35" s="349">
        <v>5.9924907017108855E-2</v>
      </c>
      <c r="D35" s="349">
        <f t="shared" si="0"/>
        <v>0.12544556742118129</v>
      </c>
      <c r="E35" s="349">
        <v>8.0445567421181294E-2</v>
      </c>
      <c r="F35" s="349">
        <v>0.2</v>
      </c>
    </row>
    <row r="36" spans="1:6" ht="16">
      <c r="A36" s="347" t="s">
        <v>483</v>
      </c>
      <c r="B36" s="348" t="s">
        <v>579</v>
      </c>
      <c r="C36" s="349">
        <v>8.1692501446400528E-2</v>
      </c>
      <c r="D36" s="349">
        <f t="shared" si="0"/>
        <v>0.15466724789468733</v>
      </c>
      <c r="E36" s="349">
        <v>0.10966724789468733</v>
      </c>
      <c r="F36" s="349">
        <v>0.33</v>
      </c>
    </row>
    <row r="37" spans="1:6" ht="16">
      <c r="A37" s="347" t="s">
        <v>265</v>
      </c>
      <c r="B37" s="348" t="s">
        <v>574</v>
      </c>
      <c r="C37" s="349">
        <v>0</v>
      </c>
      <c r="D37" s="349">
        <f t="shared" si="0"/>
        <v>4.4999999999999998E-2</v>
      </c>
      <c r="E37" s="349">
        <v>0</v>
      </c>
      <c r="F37" s="349">
        <v>0.26500000000000001</v>
      </c>
    </row>
    <row r="38" spans="1:6" ht="16">
      <c r="A38" s="347" t="s">
        <v>484</v>
      </c>
      <c r="B38" s="348" t="s">
        <v>581</v>
      </c>
      <c r="C38" s="349">
        <v>7.0808704231754685E-2</v>
      </c>
      <c r="D38" s="349">
        <f t="shared" si="0"/>
        <v>0.14005640765793431</v>
      </c>
      <c r="E38" s="349">
        <v>9.5056407657934314E-2</v>
      </c>
      <c r="F38" s="349">
        <v>0</v>
      </c>
    </row>
    <row r="39" spans="1:6" ht="16">
      <c r="A39" s="347" t="s">
        <v>266</v>
      </c>
      <c r="B39" s="348" t="s">
        <v>580</v>
      </c>
      <c r="C39" s="349">
        <v>6.5302783287875029E-3</v>
      </c>
      <c r="D39" s="349">
        <f t="shared" si="0"/>
        <v>5.3766504142051808E-2</v>
      </c>
      <c r="E39" s="349">
        <v>8.7665041420518092E-3</v>
      </c>
      <c r="F39" s="349">
        <v>0</v>
      </c>
    </row>
    <row r="40" spans="1:6" ht="16">
      <c r="A40" s="347" t="s">
        <v>851</v>
      </c>
      <c r="B40" s="154" t="s">
        <v>687</v>
      </c>
      <c r="C40" s="277">
        <v>9.5882201472833571E-3</v>
      </c>
      <c r="D40" s="349">
        <f t="shared" si="0"/>
        <v>0.10387160629364336</v>
      </c>
      <c r="E40" s="277">
        <v>5.8871606293643367E-2</v>
      </c>
      <c r="F40" s="277">
        <v>0.24707349543413576</v>
      </c>
    </row>
    <row r="41" spans="1:6" ht="16">
      <c r="A41" s="347" t="s">
        <v>267</v>
      </c>
      <c r="B41" s="348" t="s">
        <v>583</v>
      </c>
      <c r="C41" s="349">
        <v>9.2192164641705932E-3</v>
      </c>
      <c r="D41" s="349">
        <f t="shared" si="0"/>
        <v>5.73762411417202E-2</v>
      </c>
      <c r="E41" s="349">
        <v>1.2376241141720201E-2</v>
      </c>
      <c r="F41" s="349">
        <v>0.27</v>
      </c>
    </row>
    <row r="42" spans="1:6" ht="16">
      <c r="A42" s="347" t="s">
        <v>268</v>
      </c>
      <c r="B42" s="348" t="s">
        <v>585</v>
      </c>
      <c r="C42" s="349">
        <v>7.6826803868088279E-3</v>
      </c>
      <c r="D42" s="349">
        <f t="shared" si="0"/>
        <v>5.5313534284766833E-2</v>
      </c>
      <c r="E42" s="349">
        <v>1.0313534284766834E-2</v>
      </c>
      <c r="F42" s="349">
        <v>0.25</v>
      </c>
    </row>
    <row r="43" spans="1:6" ht="16">
      <c r="A43" s="347" t="s">
        <v>269</v>
      </c>
      <c r="B43" s="348" t="s">
        <v>571</v>
      </c>
      <c r="C43" s="349">
        <v>2.0743237044383835E-2</v>
      </c>
      <c r="D43" s="349">
        <f t="shared" si="0"/>
        <v>7.2846542568870451E-2</v>
      </c>
      <c r="E43" s="349">
        <v>2.7846542568870453E-2</v>
      </c>
      <c r="F43" s="349">
        <v>0.35</v>
      </c>
    </row>
    <row r="44" spans="1:6" ht="16">
      <c r="A44" s="347" t="s">
        <v>500</v>
      </c>
      <c r="B44" s="348" t="s">
        <v>581</v>
      </c>
      <c r="C44" s="349">
        <v>7.0808704231754685E-2</v>
      </c>
      <c r="D44" s="349">
        <f t="shared" si="0"/>
        <v>0.14005640765793431</v>
      </c>
      <c r="E44" s="349">
        <v>9.5056407657934314E-2</v>
      </c>
      <c r="F44" s="349">
        <v>0.3</v>
      </c>
    </row>
    <row r="45" spans="1:6" ht="16">
      <c r="A45" s="347" t="s">
        <v>501</v>
      </c>
      <c r="B45" s="348" t="s">
        <v>586</v>
      </c>
      <c r="C45" s="349">
        <v>9.8082219604926024E-2</v>
      </c>
      <c r="D45" s="349">
        <f t="shared" si="0"/>
        <v>0.17666945436885656</v>
      </c>
      <c r="E45" s="349">
        <v>0.13166945436885658</v>
      </c>
      <c r="F45" s="349">
        <v>0.28000000000000003</v>
      </c>
    </row>
    <row r="46" spans="1:6" ht="16">
      <c r="A46" s="347" t="s">
        <v>485</v>
      </c>
      <c r="B46" s="348" t="s">
        <v>569</v>
      </c>
      <c r="C46" s="349">
        <v>4.9041109802463012E-2</v>
      </c>
      <c r="D46" s="349">
        <f t="shared" si="0"/>
        <v>0.11083472718442829</v>
      </c>
      <c r="E46" s="349">
        <v>6.5834727184428288E-2</v>
      </c>
      <c r="F46" s="349">
        <v>0.2974</v>
      </c>
    </row>
    <row r="47" spans="1:6" ht="16">
      <c r="A47" s="347" t="s">
        <v>270</v>
      </c>
      <c r="B47" s="348" t="s">
        <v>569</v>
      </c>
      <c r="C47" s="349">
        <v>4.9041109802463012E-2</v>
      </c>
      <c r="D47" s="349">
        <f t="shared" si="0"/>
        <v>0.11083472718442829</v>
      </c>
      <c r="E47" s="349">
        <v>6.5834727184428288E-2</v>
      </c>
      <c r="F47" s="349">
        <v>0.3</v>
      </c>
    </row>
    <row r="48" spans="1:6" ht="16">
      <c r="A48" s="347" t="s">
        <v>271</v>
      </c>
      <c r="B48" s="348" t="s">
        <v>571</v>
      </c>
      <c r="C48" s="349">
        <v>2.0743237044383835E-2</v>
      </c>
      <c r="D48" s="349">
        <f t="shared" si="0"/>
        <v>7.2846542568870451E-2</v>
      </c>
      <c r="E48" s="349">
        <v>2.7846542568870453E-2</v>
      </c>
      <c r="F48" s="349">
        <v>0.18</v>
      </c>
    </row>
    <row r="49" spans="1:6" ht="16">
      <c r="A49" s="347" t="s">
        <v>363</v>
      </c>
      <c r="B49" s="348" t="s">
        <v>688</v>
      </c>
      <c r="C49" s="349">
        <v>0.13073361124886354</v>
      </c>
      <c r="D49" s="349">
        <f t="shared" si="0"/>
        <v>0.22050197507911562</v>
      </c>
      <c r="E49" s="349">
        <v>0.17550197507911564</v>
      </c>
      <c r="F49" s="349">
        <v>0.2853</v>
      </c>
    </row>
    <row r="50" spans="1:6" ht="16">
      <c r="A50" s="352" t="s">
        <v>852</v>
      </c>
      <c r="B50" s="348" t="s">
        <v>571</v>
      </c>
      <c r="C50" s="349">
        <v>2.0743237044383835E-2</v>
      </c>
      <c r="D50" s="349">
        <f t="shared" si="0"/>
        <v>7.2846542568870451E-2</v>
      </c>
      <c r="E50" s="349">
        <v>2.7846542568870453E-2</v>
      </c>
      <c r="F50" s="349">
        <v>0.22</v>
      </c>
    </row>
    <row r="51" spans="1:6" ht="16">
      <c r="A51" s="347" t="s">
        <v>272</v>
      </c>
      <c r="B51" s="348" t="s">
        <v>571</v>
      </c>
      <c r="C51" s="349">
        <v>2.0743237044383835E-2</v>
      </c>
      <c r="D51" s="349">
        <f t="shared" si="0"/>
        <v>7.2846542568870451E-2</v>
      </c>
      <c r="E51" s="349">
        <v>2.7846542568870453E-2</v>
      </c>
      <c r="F51" s="349">
        <v>0.125</v>
      </c>
    </row>
    <row r="52" spans="1:6" ht="16">
      <c r="A52" s="347" t="s">
        <v>273</v>
      </c>
      <c r="B52" s="348" t="s">
        <v>580</v>
      </c>
      <c r="C52" s="349">
        <v>6.5302783287875029E-3</v>
      </c>
      <c r="D52" s="349">
        <f t="shared" si="0"/>
        <v>5.3766504142051808E-2</v>
      </c>
      <c r="E52" s="349">
        <v>8.7665041420518092E-3</v>
      </c>
      <c r="F52" s="349">
        <v>0.19</v>
      </c>
    </row>
    <row r="53" spans="1:6" ht="16">
      <c r="A53" s="347" t="s">
        <v>274</v>
      </c>
      <c r="B53" s="348" t="s">
        <v>574</v>
      </c>
      <c r="C53" s="349">
        <v>0</v>
      </c>
      <c r="D53" s="349">
        <f t="shared" si="0"/>
        <v>4.4999999999999998E-2</v>
      </c>
      <c r="E53" s="349">
        <v>0</v>
      </c>
      <c r="F53" s="349">
        <v>0.22</v>
      </c>
    </row>
    <row r="54" spans="1:6" ht="16">
      <c r="A54" s="347" t="s">
        <v>275</v>
      </c>
      <c r="B54" s="348" t="s">
        <v>578</v>
      </c>
      <c r="C54" s="349">
        <v>3.9181669972725021E-2</v>
      </c>
      <c r="D54" s="349">
        <f t="shared" si="0"/>
        <v>9.7599024852310853E-2</v>
      </c>
      <c r="E54" s="349">
        <v>5.2599024852310855E-2</v>
      </c>
      <c r="F54" s="349">
        <v>0.27</v>
      </c>
    </row>
    <row r="55" spans="1:6" ht="16">
      <c r="A55" s="347" t="s">
        <v>276</v>
      </c>
      <c r="B55" s="348" t="s">
        <v>689</v>
      </c>
      <c r="C55" s="349">
        <v>0.10896601681957188</v>
      </c>
      <c r="D55" s="349">
        <f t="shared" si="0"/>
        <v>0.19128029460560964</v>
      </c>
      <c r="E55" s="349">
        <v>0.14628029460560965</v>
      </c>
      <c r="F55" s="349">
        <v>0.25</v>
      </c>
    </row>
    <row r="56" spans="1:6" ht="16">
      <c r="A56" s="347" t="s">
        <v>277</v>
      </c>
      <c r="B56" s="348" t="s">
        <v>579</v>
      </c>
      <c r="C56" s="349">
        <v>8.1692501446400528E-2</v>
      </c>
      <c r="D56" s="349">
        <f t="shared" si="0"/>
        <v>0.15466724789468733</v>
      </c>
      <c r="E56" s="349">
        <v>0.10966724789468733</v>
      </c>
      <c r="F56" s="349">
        <v>0.22500000000000001</v>
      </c>
    </row>
    <row r="57" spans="1:6" ht="16">
      <c r="A57" s="347" t="s">
        <v>364</v>
      </c>
      <c r="B57" s="348" t="s">
        <v>689</v>
      </c>
      <c r="C57" s="349">
        <v>0.10896601681957188</v>
      </c>
      <c r="D57" s="349">
        <f t="shared" si="0"/>
        <v>0.19128029460560964</v>
      </c>
      <c r="E57" s="349">
        <v>0.14628029460560965</v>
      </c>
      <c r="F57" s="349">
        <v>0.3</v>
      </c>
    </row>
    <row r="58" spans="1:6" ht="16">
      <c r="A58" s="347" t="s">
        <v>278</v>
      </c>
      <c r="B58" s="348" t="s">
        <v>585</v>
      </c>
      <c r="C58" s="349">
        <v>7.6826803868088279E-3</v>
      </c>
      <c r="D58" s="349">
        <f t="shared" si="0"/>
        <v>5.5313534284766833E-2</v>
      </c>
      <c r="E58" s="349">
        <v>1.0313534284766834E-2</v>
      </c>
      <c r="F58" s="349">
        <v>0.2</v>
      </c>
    </row>
    <row r="59" spans="1:6" ht="16">
      <c r="A59" s="347" t="s">
        <v>502</v>
      </c>
      <c r="B59" s="348" t="s">
        <v>586</v>
      </c>
      <c r="C59" s="349">
        <v>9.8082219604926024E-2</v>
      </c>
      <c r="D59" s="349">
        <f t="shared" si="0"/>
        <v>0.17666945436885656</v>
      </c>
      <c r="E59" s="349">
        <v>0.13166945436885658</v>
      </c>
      <c r="F59" s="349">
        <v>0.3</v>
      </c>
    </row>
    <row r="60" spans="1:6" ht="16">
      <c r="A60" s="347" t="s">
        <v>853</v>
      </c>
      <c r="B60" s="154" t="s">
        <v>687</v>
      </c>
      <c r="C60" s="277">
        <v>4.2915086193622262E-2</v>
      </c>
      <c r="D60" s="349">
        <f t="shared" si="0"/>
        <v>0.14861091058162493</v>
      </c>
      <c r="E60" s="277">
        <v>0.10361091058162493</v>
      </c>
      <c r="F60" s="277">
        <v>0.31595749426030023</v>
      </c>
    </row>
    <row r="61" spans="1:6" ht="16">
      <c r="A61" s="347" t="s">
        <v>279</v>
      </c>
      <c r="B61" s="348" t="s">
        <v>569</v>
      </c>
      <c r="C61" s="349">
        <v>4.9041109802463012E-2</v>
      </c>
      <c r="D61" s="349">
        <f t="shared" si="0"/>
        <v>0.11083472718442829</v>
      </c>
      <c r="E61" s="349">
        <v>6.5834727184428288E-2</v>
      </c>
      <c r="F61" s="349">
        <v>0.2</v>
      </c>
    </row>
    <row r="62" spans="1:6" ht="16">
      <c r="A62" s="347" t="s">
        <v>280</v>
      </c>
      <c r="B62" s="348" t="s">
        <v>575</v>
      </c>
      <c r="C62" s="349">
        <v>4.3535188858583353E-3</v>
      </c>
      <c r="D62" s="349">
        <f t="shared" si="0"/>
        <v>5.0844336094701202E-2</v>
      </c>
      <c r="E62" s="349">
        <v>5.8443360947012038E-3</v>
      </c>
      <c r="F62" s="349">
        <v>0.2</v>
      </c>
    </row>
    <row r="63" spans="1:6" ht="16">
      <c r="A63" s="347" t="s">
        <v>281</v>
      </c>
      <c r="B63" s="348" t="s">
        <v>568</v>
      </c>
      <c r="C63" s="349">
        <v>5.3778762707661788E-3</v>
      </c>
      <c r="D63" s="349">
        <f t="shared" si="0"/>
        <v>5.2219473999336782E-2</v>
      </c>
      <c r="E63" s="349">
        <v>7.219473999336784E-3</v>
      </c>
      <c r="F63" s="349">
        <v>0.25</v>
      </c>
    </row>
    <row r="64" spans="1:6" ht="16">
      <c r="A64" s="347" t="s">
        <v>854</v>
      </c>
      <c r="B64" s="154" t="s">
        <v>687</v>
      </c>
      <c r="C64" s="277">
        <v>4.2915086193622262E-2</v>
      </c>
      <c r="D64" s="349">
        <f t="shared" si="0"/>
        <v>0.14861091058162493</v>
      </c>
      <c r="E64" s="277">
        <v>0.10361091058162493</v>
      </c>
      <c r="F64" s="277">
        <v>0.31595749426030023</v>
      </c>
    </row>
    <row r="65" spans="1:6" ht="16">
      <c r="A65" s="347" t="s">
        <v>486</v>
      </c>
      <c r="B65" s="348" t="s">
        <v>579</v>
      </c>
      <c r="C65" s="349">
        <v>8.1692501446400528E-2</v>
      </c>
      <c r="D65" s="349">
        <f t="shared" si="0"/>
        <v>0.15466724789468733</v>
      </c>
      <c r="E65" s="349">
        <v>0.10966724789468733</v>
      </c>
      <c r="F65" s="349">
        <v>0.3</v>
      </c>
    </row>
    <row r="66" spans="1:6" ht="16">
      <c r="A66" s="350" t="s">
        <v>588</v>
      </c>
      <c r="B66" s="348" t="s">
        <v>687</v>
      </c>
      <c r="C66" s="349">
        <v>4.9041109802463012E-2</v>
      </c>
      <c r="D66" s="349">
        <f t="shared" si="0"/>
        <v>0.11083472718442829</v>
      </c>
      <c r="E66" s="349">
        <v>6.5834727184428288E-2</v>
      </c>
      <c r="F66" s="349">
        <v>0.31</v>
      </c>
    </row>
    <row r="67" spans="1:6" ht="16">
      <c r="A67" s="347" t="s">
        <v>365</v>
      </c>
      <c r="B67" s="348" t="s">
        <v>576</v>
      </c>
      <c r="C67" s="349">
        <v>3.2779436317050999E-2</v>
      </c>
      <c r="D67" s="349">
        <f t="shared" si="0"/>
        <v>8.9004412948338496E-2</v>
      </c>
      <c r="E67" s="349">
        <v>4.4004412948338498E-2</v>
      </c>
      <c r="F67" s="349">
        <v>0.15</v>
      </c>
    </row>
    <row r="68" spans="1:6" ht="16">
      <c r="A68" s="347" t="s">
        <v>282</v>
      </c>
      <c r="B68" s="348" t="s">
        <v>574</v>
      </c>
      <c r="C68" s="349">
        <v>0</v>
      </c>
      <c r="D68" s="349">
        <f t="shared" si="0"/>
        <v>4.4999999999999998E-2</v>
      </c>
      <c r="E68" s="349">
        <v>0</v>
      </c>
      <c r="F68" s="349">
        <v>0.3</v>
      </c>
    </row>
    <row r="69" spans="1:6" ht="16">
      <c r="A69" s="347" t="s">
        <v>487</v>
      </c>
      <c r="B69" s="348" t="s">
        <v>689</v>
      </c>
      <c r="C69" s="349">
        <v>0.10896601681957188</v>
      </c>
      <c r="D69" s="349">
        <f t="shared" si="0"/>
        <v>0.19128029460560964</v>
      </c>
      <c r="E69" s="349">
        <v>0.14628029460560965</v>
      </c>
      <c r="F69" s="349">
        <v>0.25</v>
      </c>
    </row>
    <row r="70" spans="1:6" ht="16">
      <c r="A70" s="347" t="s">
        <v>855</v>
      </c>
      <c r="B70" s="154" t="s">
        <v>687</v>
      </c>
      <c r="C70" s="277">
        <v>9.5882201472833571E-3</v>
      </c>
      <c r="D70" s="349">
        <f t="shared" ref="D70:D133" si="1">$B$1+E70</f>
        <v>0.10387160629364336</v>
      </c>
      <c r="E70" s="277">
        <v>5.8871606293643367E-2</v>
      </c>
      <c r="F70" s="277">
        <v>0.24707349543413576</v>
      </c>
    </row>
    <row r="71" spans="1:6" ht="16">
      <c r="A71" s="347" t="s">
        <v>283</v>
      </c>
      <c r="B71" s="348" t="s">
        <v>589</v>
      </c>
      <c r="C71" s="349">
        <v>2.7273515373171343E-2</v>
      </c>
      <c r="D71" s="349">
        <f t="shared" si="1"/>
        <v>8.161304671092226E-2</v>
      </c>
      <c r="E71" s="349">
        <v>3.6613046710922262E-2</v>
      </c>
      <c r="F71" s="349">
        <v>0.22</v>
      </c>
    </row>
    <row r="72" spans="1:6" ht="16">
      <c r="A72" s="347" t="s">
        <v>856</v>
      </c>
      <c r="B72" s="154" t="s">
        <v>687</v>
      </c>
      <c r="C72" s="277">
        <f>J72</f>
        <v>0</v>
      </c>
      <c r="D72" s="349">
        <f t="shared" si="1"/>
        <v>4.4999999999999998E-2</v>
      </c>
      <c r="E72" s="277">
        <f>H72</f>
        <v>0</v>
      </c>
      <c r="F72" s="277">
        <f>K72</f>
        <v>0</v>
      </c>
    </row>
    <row r="73" spans="1:6" ht="16">
      <c r="A73" s="347" t="s">
        <v>284</v>
      </c>
      <c r="B73" s="348" t="s">
        <v>589</v>
      </c>
      <c r="C73" s="349">
        <v>2.7273515373171343E-2</v>
      </c>
      <c r="D73" s="349">
        <f t="shared" si="1"/>
        <v>8.161304671092226E-2</v>
      </c>
      <c r="E73" s="349">
        <v>3.6613046710922262E-2</v>
      </c>
      <c r="F73" s="349">
        <v>0.25</v>
      </c>
    </row>
    <row r="74" spans="1:6" ht="16">
      <c r="A74" s="347" t="s">
        <v>690</v>
      </c>
      <c r="B74" s="348" t="s">
        <v>585</v>
      </c>
      <c r="C74" s="349">
        <v>7.6826803868088279E-3</v>
      </c>
      <c r="D74" s="349">
        <f t="shared" si="1"/>
        <v>5.5313534284766833E-2</v>
      </c>
      <c r="E74" s="349">
        <v>1.0313534284766834E-2</v>
      </c>
      <c r="F74" s="349">
        <v>0</v>
      </c>
    </row>
    <row r="75" spans="1:6" ht="16">
      <c r="A75" s="351" t="s">
        <v>590</v>
      </c>
      <c r="B75" s="348" t="s">
        <v>687</v>
      </c>
      <c r="C75" s="349">
        <v>9.8082219604926024E-2</v>
      </c>
      <c r="D75" s="349">
        <f t="shared" si="1"/>
        <v>0.17666945436885656</v>
      </c>
      <c r="E75" s="349">
        <v>0.13166945436885658</v>
      </c>
      <c r="F75" s="349">
        <v>0.29149999999999998</v>
      </c>
    </row>
    <row r="76" spans="1:6" ht="16">
      <c r="A76" s="350" t="s">
        <v>591</v>
      </c>
      <c r="B76" s="348" t="s">
        <v>687</v>
      </c>
      <c r="C76" s="349">
        <v>5.9924907017108842E-2</v>
      </c>
      <c r="D76" s="349">
        <f t="shared" si="1"/>
        <v>0.12544556742118129</v>
      </c>
      <c r="E76" s="349">
        <v>8.0445567421181294E-2</v>
      </c>
      <c r="F76" s="349">
        <v>0.29149999999999998</v>
      </c>
    </row>
    <row r="77" spans="1:6" ht="16">
      <c r="A77" s="351" t="s">
        <v>592</v>
      </c>
      <c r="B77" s="348" t="s">
        <v>687</v>
      </c>
      <c r="C77" s="349">
        <v>1.7414075543433345E-2</v>
      </c>
      <c r="D77" s="349">
        <f t="shared" si="1"/>
        <v>6.8377344378804827E-2</v>
      </c>
      <c r="E77" s="349">
        <v>2.3377344378804829E-2</v>
      </c>
      <c r="F77" s="349">
        <v>0.18640000000000001</v>
      </c>
    </row>
    <row r="78" spans="1:6" ht="16">
      <c r="A78" s="350" t="s">
        <v>593</v>
      </c>
      <c r="B78" s="348" t="s">
        <v>687</v>
      </c>
      <c r="C78" s="349">
        <v>0.10896601681957191</v>
      </c>
      <c r="D78" s="349">
        <f t="shared" si="1"/>
        <v>0.19128029460560964</v>
      </c>
      <c r="E78" s="349">
        <v>0.14628029460560965</v>
      </c>
      <c r="F78" s="349">
        <v>0.18640000000000001</v>
      </c>
    </row>
    <row r="79" spans="1:6" ht="16">
      <c r="A79" s="347" t="s">
        <v>285</v>
      </c>
      <c r="B79" s="348" t="s">
        <v>569</v>
      </c>
      <c r="C79" s="349">
        <v>4.9041109802463012E-2</v>
      </c>
      <c r="D79" s="349">
        <f t="shared" si="1"/>
        <v>0.11083472718442829</v>
      </c>
      <c r="E79" s="349">
        <v>6.5834727184428288E-2</v>
      </c>
      <c r="F79" s="349">
        <v>0.25</v>
      </c>
    </row>
    <row r="80" spans="1:6" ht="16">
      <c r="A80" s="347" t="s">
        <v>286</v>
      </c>
      <c r="B80" s="348" t="s">
        <v>580</v>
      </c>
      <c r="C80" s="349">
        <v>6.5302783287875029E-3</v>
      </c>
      <c r="D80" s="349">
        <f t="shared" si="1"/>
        <v>5.3766504142051808E-2</v>
      </c>
      <c r="E80" s="349">
        <v>8.7665041420518092E-3</v>
      </c>
      <c r="F80" s="349">
        <v>0.16500000000000001</v>
      </c>
    </row>
    <row r="81" spans="1:6" ht="16">
      <c r="A81" s="347" t="s">
        <v>287</v>
      </c>
      <c r="B81" s="348" t="s">
        <v>571</v>
      </c>
      <c r="C81" s="349">
        <v>2.0743237044383835E-2</v>
      </c>
      <c r="D81" s="349">
        <f t="shared" si="1"/>
        <v>7.2846542568870451E-2</v>
      </c>
      <c r="E81" s="349">
        <v>2.7846542568870453E-2</v>
      </c>
      <c r="F81" s="349">
        <v>0.09</v>
      </c>
    </row>
    <row r="82" spans="1:6" ht="16">
      <c r="A82" s="347" t="s">
        <v>288</v>
      </c>
      <c r="B82" s="348" t="s">
        <v>583</v>
      </c>
      <c r="C82" s="349">
        <v>9.2192164641705932E-3</v>
      </c>
      <c r="D82" s="349">
        <f t="shared" si="1"/>
        <v>5.73762411417202E-2</v>
      </c>
      <c r="E82" s="349">
        <v>1.2376241141720201E-2</v>
      </c>
      <c r="F82" s="349">
        <v>0.2</v>
      </c>
    </row>
    <row r="83" spans="1:6" ht="16">
      <c r="A83" s="347" t="s">
        <v>289</v>
      </c>
      <c r="B83" s="348" t="s">
        <v>577</v>
      </c>
      <c r="C83" s="349">
        <v>2.3944353872220846E-2</v>
      </c>
      <c r="D83" s="349">
        <f t="shared" si="1"/>
        <v>7.7143848520856623E-2</v>
      </c>
      <c r="E83" s="349">
        <v>3.2143848520856624E-2</v>
      </c>
      <c r="F83" s="349">
        <v>0.3</v>
      </c>
    </row>
    <row r="84" spans="1:6" ht="16">
      <c r="A84" s="347" t="s">
        <v>290</v>
      </c>
      <c r="B84" s="348" t="s">
        <v>571</v>
      </c>
      <c r="C84" s="349">
        <v>2.0743237044383835E-2</v>
      </c>
      <c r="D84" s="349">
        <f t="shared" si="1"/>
        <v>7.2846542568870451E-2</v>
      </c>
      <c r="E84" s="349">
        <v>2.7846542568870453E-2</v>
      </c>
      <c r="F84" s="349">
        <v>0.22</v>
      </c>
    </row>
    <row r="85" spans="1:6" ht="16">
      <c r="A85" s="351" t="s">
        <v>594</v>
      </c>
      <c r="B85" s="348" t="s">
        <v>687</v>
      </c>
      <c r="C85" s="349">
        <v>7.0808704231754685E-2</v>
      </c>
      <c r="D85" s="349">
        <f t="shared" si="1"/>
        <v>0.14005640765793431</v>
      </c>
      <c r="E85" s="349">
        <v>9.5056407657934314E-2</v>
      </c>
      <c r="F85" s="349">
        <v>0.20230000000000001</v>
      </c>
    </row>
    <row r="86" spans="1:6" ht="16">
      <c r="A86" s="347" t="s">
        <v>559</v>
      </c>
      <c r="B86" s="348" t="s">
        <v>579</v>
      </c>
      <c r="C86" s="349">
        <v>8.1692501446400528E-2</v>
      </c>
      <c r="D86" s="349">
        <f t="shared" si="1"/>
        <v>0.15466724789468733</v>
      </c>
      <c r="E86" s="349">
        <v>0.10966724789468733</v>
      </c>
      <c r="F86" s="349">
        <v>0.15</v>
      </c>
    </row>
    <row r="87" spans="1:6" ht="16">
      <c r="A87" s="347" t="s">
        <v>291</v>
      </c>
      <c r="B87" s="348" t="s">
        <v>580</v>
      </c>
      <c r="C87" s="349">
        <v>6.5302783287875029E-3</v>
      </c>
      <c r="D87" s="349">
        <f t="shared" si="1"/>
        <v>5.3766504142051808E-2</v>
      </c>
      <c r="E87" s="349">
        <v>8.7665041420518092E-3</v>
      </c>
      <c r="F87" s="349">
        <v>0.125</v>
      </c>
    </row>
    <row r="88" spans="1:6" ht="16">
      <c r="A88" s="347" t="s">
        <v>292</v>
      </c>
      <c r="B88" s="348" t="s">
        <v>580</v>
      </c>
      <c r="C88" s="349">
        <v>6.5302783287875029E-3</v>
      </c>
      <c r="D88" s="349">
        <f t="shared" si="1"/>
        <v>5.3766504142051808E-2</v>
      </c>
      <c r="E88" s="349">
        <v>8.7665041420518092E-3</v>
      </c>
      <c r="F88" s="349">
        <v>0</v>
      </c>
    </row>
    <row r="89" spans="1:6" ht="16">
      <c r="A89" s="347" t="s">
        <v>293</v>
      </c>
      <c r="B89" s="348" t="s">
        <v>585</v>
      </c>
      <c r="C89" s="349">
        <v>7.6826803868088279E-3</v>
      </c>
      <c r="D89" s="349">
        <f t="shared" si="1"/>
        <v>5.5313534284766833E-2</v>
      </c>
      <c r="E89" s="349">
        <v>1.0313534284766834E-2</v>
      </c>
      <c r="F89" s="349">
        <v>0.23</v>
      </c>
    </row>
    <row r="90" spans="1:6" ht="16">
      <c r="A90" s="347" t="s">
        <v>294</v>
      </c>
      <c r="B90" s="348" t="s">
        <v>577</v>
      </c>
      <c r="C90" s="349">
        <v>2.3944353872220846E-2</v>
      </c>
      <c r="D90" s="349">
        <f t="shared" si="1"/>
        <v>7.7143848520856623E-2</v>
      </c>
      <c r="E90" s="349">
        <v>3.2143848520856624E-2</v>
      </c>
      <c r="F90" s="349">
        <v>0.24</v>
      </c>
    </row>
    <row r="91" spans="1:6" ht="16">
      <c r="A91" s="347" t="s">
        <v>857</v>
      </c>
      <c r="B91" s="348" t="s">
        <v>578</v>
      </c>
      <c r="C91" s="349">
        <v>3.9181669972725021E-2</v>
      </c>
      <c r="D91" s="349">
        <f t="shared" si="1"/>
        <v>9.7599024852310853E-2</v>
      </c>
      <c r="E91" s="349">
        <v>5.2599024852310855E-2</v>
      </c>
      <c r="F91" s="349">
        <v>0.25</v>
      </c>
    </row>
    <row r="92" spans="1:6" ht="16">
      <c r="A92" s="347" t="s">
        <v>295</v>
      </c>
      <c r="B92" s="348" t="s">
        <v>569</v>
      </c>
      <c r="C92" s="349">
        <v>4.9041109802463012E-2</v>
      </c>
      <c r="D92" s="349">
        <f t="shared" si="1"/>
        <v>0.11083472718442829</v>
      </c>
      <c r="E92" s="349">
        <v>6.5834727184428288E-2</v>
      </c>
      <c r="F92" s="349">
        <v>0.25</v>
      </c>
    </row>
    <row r="93" spans="1:6" ht="16">
      <c r="A93" s="347" t="s">
        <v>296</v>
      </c>
      <c r="B93" s="348" t="s">
        <v>585</v>
      </c>
      <c r="C93" s="349">
        <v>7.6826803868088279E-3</v>
      </c>
      <c r="D93" s="349">
        <f t="shared" si="1"/>
        <v>5.5313534284766833E-2</v>
      </c>
      <c r="E93" s="349">
        <v>1.0313534284766834E-2</v>
      </c>
      <c r="F93" s="349">
        <v>0.30620000000000003</v>
      </c>
    </row>
    <row r="94" spans="1:6" ht="16">
      <c r="A94" s="347" t="s">
        <v>691</v>
      </c>
      <c r="B94" s="348" t="s">
        <v>580</v>
      </c>
      <c r="C94" s="349">
        <v>6.5302783287875029E-3</v>
      </c>
      <c r="D94" s="349">
        <f t="shared" si="1"/>
        <v>5.3766504142051808E-2</v>
      </c>
      <c r="E94" s="349">
        <v>8.7665041420518092E-3</v>
      </c>
      <c r="F94" s="349">
        <v>0</v>
      </c>
    </row>
    <row r="95" spans="1:6" ht="16">
      <c r="A95" s="347" t="s">
        <v>297</v>
      </c>
      <c r="B95" s="348" t="s">
        <v>569</v>
      </c>
      <c r="C95" s="349">
        <v>4.9041109802463012E-2</v>
      </c>
      <c r="D95" s="349">
        <f t="shared" si="1"/>
        <v>0.11083472718442829</v>
      </c>
      <c r="E95" s="349">
        <v>6.5834727184428288E-2</v>
      </c>
      <c r="F95" s="349">
        <v>0.2</v>
      </c>
    </row>
    <row r="96" spans="1:6" ht="16">
      <c r="A96" s="347" t="s">
        <v>298</v>
      </c>
      <c r="B96" s="348" t="s">
        <v>571</v>
      </c>
      <c r="C96" s="349">
        <v>2.0743237044383835E-2</v>
      </c>
      <c r="D96" s="349">
        <f t="shared" si="1"/>
        <v>7.2846542568870451E-2</v>
      </c>
      <c r="E96" s="349">
        <v>2.7846542568870453E-2</v>
      </c>
      <c r="F96" s="349">
        <v>0.2</v>
      </c>
    </row>
    <row r="97" spans="1:6" ht="16">
      <c r="A97" s="347" t="s">
        <v>429</v>
      </c>
      <c r="B97" s="348" t="s">
        <v>581</v>
      </c>
      <c r="C97" s="349">
        <v>7.0808704231754685E-2</v>
      </c>
      <c r="D97" s="349">
        <f t="shared" si="1"/>
        <v>0.14005640765793431</v>
      </c>
      <c r="E97" s="349">
        <v>9.5056407657934314E-2</v>
      </c>
      <c r="F97" s="349">
        <v>0.3</v>
      </c>
    </row>
    <row r="98" spans="1:6" ht="16">
      <c r="A98" s="350" t="s">
        <v>595</v>
      </c>
      <c r="B98" s="348" t="s">
        <v>687</v>
      </c>
      <c r="C98" s="349">
        <v>0.17499999999999999</v>
      </c>
      <c r="D98" s="349">
        <f t="shared" si="1"/>
        <v>0.27992692770782934</v>
      </c>
      <c r="E98" s="349">
        <v>0.23492692770782936</v>
      </c>
      <c r="F98" s="349">
        <v>0.23100000000000001</v>
      </c>
    </row>
    <row r="99" spans="1:6" ht="16">
      <c r="A99" s="347" t="s">
        <v>299</v>
      </c>
      <c r="B99" s="348" t="s">
        <v>585</v>
      </c>
      <c r="C99" s="349">
        <v>7.6826803868088279E-3</v>
      </c>
      <c r="D99" s="349">
        <f t="shared" si="1"/>
        <v>5.5313534284766833E-2</v>
      </c>
      <c r="E99" s="349">
        <v>1.0313534284766834E-2</v>
      </c>
      <c r="F99" s="349">
        <v>0.15</v>
      </c>
    </row>
    <row r="100" spans="1:6" ht="16">
      <c r="A100" s="347" t="s">
        <v>488</v>
      </c>
      <c r="B100" s="348" t="s">
        <v>581</v>
      </c>
      <c r="C100" s="349">
        <v>7.0808704231754685E-2</v>
      </c>
      <c r="D100" s="349">
        <f t="shared" si="1"/>
        <v>0.14005640765793431</v>
      </c>
      <c r="E100" s="349">
        <v>9.5056407657934314E-2</v>
      </c>
      <c r="F100" s="349">
        <v>0.1</v>
      </c>
    </row>
    <row r="101" spans="1:6" ht="16">
      <c r="A101" s="347" t="s">
        <v>622</v>
      </c>
      <c r="B101" s="348" t="s">
        <v>689</v>
      </c>
      <c r="C101" s="349">
        <v>0.10896601681957188</v>
      </c>
      <c r="D101" s="349">
        <f t="shared" si="1"/>
        <v>0.19128029460560964</v>
      </c>
      <c r="E101" s="349">
        <v>0.14628029460560965</v>
      </c>
      <c r="F101" s="349">
        <v>0.26860000000000001</v>
      </c>
    </row>
    <row r="102" spans="1:6" ht="16">
      <c r="A102" s="347" t="s">
        <v>300</v>
      </c>
      <c r="B102" s="348" t="s">
        <v>587</v>
      </c>
      <c r="C102" s="349">
        <v>1.3060556657575006E-2</v>
      </c>
      <c r="D102" s="349">
        <f t="shared" si="1"/>
        <v>6.2533008284103617E-2</v>
      </c>
      <c r="E102" s="349">
        <v>1.7533008284103618E-2</v>
      </c>
      <c r="F102" s="349">
        <v>0.2</v>
      </c>
    </row>
    <row r="103" spans="1:6" ht="16">
      <c r="A103" s="347" t="s">
        <v>366</v>
      </c>
      <c r="B103" s="348" t="s">
        <v>615</v>
      </c>
      <c r="C103" s="349">
        <v>0.17499999999999999</v>
      </c>
      <c r="D103" s="349">
        <f t="shared" si="1"/>
        <v>0.27992692770782934</v>
      </c>
      <c r="E103" s="349">
        <v>0.23492692770782936</v>
      </c>
      <c r="F103" s="349">
        <v>0.17</v>
      </c>
    </row>
    <row r="104" spans="1:6" ht="16">
      <c r="A104" s="351" t="s">
        <v>596</v>
      </c>
      <c r="B104" s="348" t="s">
        <v>687</v>
      </c>
      <c r="C104" s="349">
        <v>0.13073361124886354</v>
      </c>
      <c r="D104" s="349">
        <f t="shared" si="1"/>
        <v>0.22050197507911562</v>
      </c>
      <c r="E104" s="349">
        <v>0.17550197507911564</v>
      </c>
      <c r="F104" s="349">
        <v>0.29149999999999998</v>
      </c>
    </row>
    <row r="105" spans="1:6" ht="16">
      <c r="A105" s="350" t="s">
        <v>597</v>
      </c>
      <c r="B105" s="348" t="s">
        <v>687</v>
      </c>
      <c r="C105" s="349">
        <v>2.0743237044383835E-2</v>
      </c>
      <c r="D105" s="349">
        <f t="shared" si="1"/>
        <v>7.2846542568870451E-2</v>
      </c>
      <c r="E105" s="349">
        <v>2.7846542568870453E-2</v>
      </c>
      <c r="F105" s="349">
        <v>0.2</v>
      </c>
    </row>
    <row r="106" spans="1:6" ht="16">
      <c r="A106" s="347" t="s">
        <v>301</v>
      </c>
      <c r="B106" s="348" t="s">
        <v>574</v>
      </c>
      <c r="C106" s="349">
        <v>0</v>
      </c>
      <c r="D106" s="349">
        <f t="shared" si="1"/>
        <v>4.4999999999999998E-2</v>
      </c>
      <c r="E106" s="349">
        <v>0</v>
      </c>
      <c r="F106" s="349">
        <v>0.125</v>
      </c>
    </row>
    <row r="107" spans="1:6" ht="16">
      <c r="A107" s="347" t="s">
        <v>302</v>
      </c>
      <c r="B107" s="348" t="s">
        <v>583</v>
      </c>
      <c r="C107" s="349">
        <v>9.2192164641705932E-3</v>
      </c>
      <c r="D107" s="349">
        <f t="shared" si="1"/>
        <v>5.73762411417202E-2</v>
      </c>
      <c r="E107" s="349">
        <v>1.2376241141720201E-2</v>
      </c>
      <c r="F107" s="349">
        <v>0.15</v>
      </c>
    </row>
    <row r="108" spans="1:6" ht="16">
      <c r="A108" s="347" t="s">
        <v>303</v>
      </c>
      <c r="B108" s="348" t="s">
        <v>574</v>
      </c>
      <c r="C108" s="349">
        <v>0</v>
      </c>
      <c r="D108" s="349">
        <f t="shared" si="1"/>
        <v>4.4999999999999998E-2</v>
      </c>
      <c r="E108" s="349">
        <v>0</v>
      </c>
      <c r="F108" s="349">
        <v>0.24940000000000001</v>
      </c>
    </row>
    <row r="109" spans="1:6" ht="16">
      <c r="A109" s="347" t="s">
        <v>858</v>
      </c>
      <c r="B109" s="348" t="s">
        <v>580</v>
      </c>
      <c r="C109" s="349">
        <v>6.5302783287875029E-3</v>
      </c>
      <c r="D109" s="349">
        <f t="shared" si="1"/>
        <v>5.3766504142051808E-2</v>
      </c>
      <c r="E109" s="349">
        <v>8.7665041420518092E-3</v>
      </c>
      <c r="F109" s="349">
        <v>0.26860000000000001</v>
      </c>
    </row>
    <row r="110" spans="1:6" ht="16">
      <c r="A110" s="347" t="s">
        <v>304</v>
      </c>
      <c r="B110" s="348" t="s">
        <v>578</v>
      </c>
      <c r="C110" s="349">
        <v>3.9181669972725021E-2</v>
      </c>
      <c r="D110" s="349">
        <f t="shared" si="1"/>
        <v>9.7599024852310853E-2</v>
      </c>
      <c r="E110" s="349">
        <v>5.2599024852310855E-2</v>
      </c>
      <c r="F110" s="349">
        <v>0.1</v>
      </c>
    </row>
    <row r="111" spans="1:6" ht="16">
      <c r="A111" s="351" t="s">
        <v>598</v>
      </c>
      <c r="B111" s="348" t="s">
        <v>687</v>
      </c>
      <c r="C111" s="349">
        <v>7.0808704231754685E-2</v>
      </c>
      <c r="D111" s="349">
        <f t="shared" si="1"/>
        <v>0.14005640765793431</v>
      </c>
      <c r="E111" s="349">
        <v>9.5056407657934314E-2</v>
      </c>
      <c r="F111" s="349">
        <v>0.2</v>
      </c>
    </row>
    <row r="112" spans="1:6" ht="16">
      <c r="A112" s="350" t="s">
        <v>599</v>
      </c>
      <c r="B112" s="348" t="s">
        <v>687</v>
      </c>
      <c r="C112" s="349">
        <v>0.13073361124886354</v>
      </c>
      <c r="D112" s="349">
        <f t="shared" si="1"/>
        <v>0.22050197507911562</v>
      </c>
      <c r="E112" s="349">
        <v>0.17550197507911564</v>
      </c>
      <c r="F112" s="349">
        <v>0.3</v>
      </c>
    </row>
    <row r="113" spans="1:6" ht="16">
      <c r="A113" s="347" t="s">
        <v>305</v>
      </c>
      <c r="B113" s="348" t="s">
        <v>587</v>
      </c>
      <c r="C113" s="349">
        <v>1.3060556657575006E-2</v>
      </c>
      <c r="D113" s="349">
        <f t="shared" si="1"/>
        <v>6.2533008284103617E-2</v>
      </c>
      <c r="E113" s="349">
        <v>1.7533008284103618E-2</v>
      </c>
      <c r="F113" s="349">
        <v>0.24</v>
      </c>
    </row>
    <row r="114" spans="1:6" ht="16">
      <c r="A114" s="347" t="s">
        <v>692</v>
      </c>
      <c r="B114" s="348" t="s">
        <v>579</v>
      </c>
      <c r="C114" s="349">
        <v>8.1692501446400528E-2</v>
      </c>
      <c r="D114" s="349">
        <f t="shared" si="1"/>
        <v>0.15466724789468733</v>
      </c>
      <c r="E114" s="349">
        <v>0.10966724789468733</v>
      </c>
      <c r="F114" s="349">
        <v>0.26860000000000001</v>
      </c>
    </row>
    <row r="115" spans="1:6" ht="16">
      <c r="A115" s="347" t="s">
        <v>600</v>
      </c>
      <c r="B115" s="348" t="s">
        <v>586</v>
      </c>
      <c r="C115" s="349">
        <v>9.8082219604926024E-2</v>
      </c>
      <c r="D115" s="349">
        <f t="shared" si="1"/>
        <v>0.17666945436885656</v>
      </c>
      <c r="E115" s="349">
        <v>0.13166945436885658</v>
      </c>
      <c r="F115" s="349">
        <v>0.26860000000000001</v>
      </c>
    </row>
    <row r="116" spans="1:6" ht="16">
      <c r="A116" s="347" t="s">
        <v>306</v>
      </c>
      <c r="B116" s="348" t="s">
        <v>583</v>
      </c>
      <c r="C116" s="349">
        <v>9.2192164641705932E-3</v>
      </c>
      <c r="D116" s="349">
        <f t="shared" si="1"/>
        <v>5.73762411417202E-2</v>
      </c>
      <c r="E116" s="349">
        <v>1.2376241141720201E-2</v>
      </c>
      <c r="F116" s="349">
        <v>0.35</v>
      </c>
    </row>
    <row r="117" spans="1:6" ht="16">
      <c r="A117" s="347" t="s">
        <v>859</v>
      </c>
      <c r="B117" s="154" t="s">
        <v>687</v>
      </c>
      <c r="C117" s="277">
        <f>J117</f>
        <v>0</v>
      </c>
      <c r="D117" s="349">
        <f t="shared" si="1"/>
        <v>4.4999999999999998E-2</v>
      </c>
      <c r="E117" s="277">
        <f>H117</f>
        <v>0</v>
      </c>
      <c r="F117" s="277">
        <f>K117</f>
        <v>0</v>
      </c>
    </row>
    <row r="118" spans="1:6" ht="16">
      <c r="A118" s="347" t="s">
        <v>307</v>
      </c>
      <c r="B118" s="348" t="s">
        <v>577</v>
      </c>
      <c r="C118" s="349">
        <v>2.3944353872220846E-2</v>
      </c>
      <c r="D118" s="349">
        <f t="shared" si="1"/>
        <v>7.7143848520856623E-2</v>
      </c>
      <c r="E118" s="349">
        <v>3.2143848520856624E-2</v>
      </c>
      <c r="F118" s="349">
        <v>0.15</v>
      </c>
    </row>
    <row r="119" spans="1:6" ht="16">
      <c r="A119" s="347" t="s">
        <v>308</v>
      </c>
      <c r="B119" s="348" t="s">
        <v>571</v>
      </c>
      <c r="C119" s="349">
        <v>2.0743237044383835E-2</v>
      </c>
      <c r="D119" s="349">
        <f t="shared" si="1"/>
        <v>7.2846542568870451E-2</v>
      </c>
      <c r="E119" s="349">
        <v>2.7846542568870453E-2</v>
      </c>
      <c r="F119" s="349">
        <v>0.3</v>
      </c>
    </row>
    <row r="120" spans="1:6" ht="16">
      <c r="A120" s="347" t="s">
        <v>860</v>
      </c>
      <c r="B120" s="154" t="s">
        <v>687</v>
      </c>
      <c r="C120" s="277">
        <v>9.5882201472833571E-3</v>
      </c>
      <c r="D120" s="349">
        <f t="shared" si="1"/>
        <v>0.10387160629364336</v>
      </c>
      <c r="E120" s="277">
        <v>5.8871606293643367E-2</v>
      </c>
      <c r="F120" s="277">
        <v>0.24707349543413576</v>
      </c>
    </row>
    <row r="121" spans="1:6" ht="16">
      <c r="A121" s="347" t="s">
        <v>367</v>
      </c>
      <c r="B121" s="348" t="s">
        <v>581</v>
      </c>
      <c r="C121" s="349">
        <v>7.0808704231754685E-2</v>
      </c>
      <c r="D121" s="349">
        <f t="shared" si="1"/>
        <v>0.14005640765793431</v>
      </c>
      <c r="E121" s="349">
        <v>9.5056407657934314E-2</v>
      </c>
      <c r="F121" s="349">
        <v>0.12</v>
      </c>
    </row>
    <row r="122" spans="1:6" ht="16">
      <c r="A122" s="347" t="s">
        <v>368</v>
      </c>
      <c r="B122" s="348" t="s">
        <v>581</v>
      </c>
      <c r="C122" s="349">
        <v>7.0808704231754685E-2</v>
      </c>
      <c r="D122" s="349">
        <f t="shared" si="1"/>
        <v>0.14005640765793431</v>
      </c>
      <c r="E122" s="349">
        <v>9.5056407657934314E-2</v>
      </c>
      <c r="F122" s="349">
        <v>0.25</v>
      </c>
    </row>
    <row r="123" spans="1:6" ht="16">
      <c r="A123" s="347" t="s">
        <v>309</v>
      </c>
      <c r="B123" s="348" t="s">
        <v>569</v>
      </c>
      <c r="C123" s="349">
        <v>4.9041109802463012E-2</v>
      </c>
      <c r="D123" s="349">
        <f t="shared" si="1"/>
        <v>0.11083472718442829</v>
      </c>
      <c r="E123" s="349">
        <v>6.5834727184428288E-2</v>
      </c>
      <c r="F123" s="349">
        <v>0.15</v>
      </c>
    </row>
    <row r="124" spans="1:6" ht="16">
      <c r="A124" s="347" t="s">
        <v>489</v>
      </c>
      <c r="B124" s="348" t="s">
        <v>577</v>
      </c>
      <c r="C124" s="349">
        <v>2.3944353872220846E-2</v>
      </c>
      <c r="D124" s="349">
        <f t="shared" si="1"/>
        <v>7.7143848520856623E-2</v>
      </c>
      <c r="E124" s="349">
        <v>3.2143848520856624E-2</v>
      </c>
      <c r="F124" s="349">
        <v>0.2853</v>
      </c>
    </row>
    <row r="125" spans="1:6" ht="16">
      <c r="A125" s="347" t="s">
        <v>369</v>
      </c>
      <c r="B125" s="348" t="s">
        <v>589</v>
      </c>
      <c r="C125" s="349">
        <v>2.7273515373171343E-2</v>
      </c>
      <c r="D125" s="349">
        <f t="shared" si="1"/>
        <v>8.161304671092226E-2</v>
      </c>
      <c r="E125" s="349">
        <v>3.6613046710922262E-2</v>
      </c>
      <c r="F125" s="349">
        <v>0.32</v>
      </c>
    </row>
    <row r="126" spans="1:6" ht="16">
      <c r="A126" s="347" t="s">
        <v>310</v>
      </c>
      <c r="B126" s="348" t="s">
        <v>586</v>
      </c>
      <c r="C126" s="349">
        <v>9.8082219604926024E-2</v>
      </c>
      <c r="D126" s="349">
        <f t="shared" si="1"/>
        <v>0.17666945436885656</v>
      </c>
      <c r="E126" s="349">
        <v>0.13166945436885658</v>
      </c>
      <c r="F126" s="349">
        <v>0.32</v>
      </c>
    </row>
    <row r="127" spans="1:6" ht="16">
      <c r="A127" s="351" t="s">
        <v>601</v>
      </c>
      <c r="B127" s="348" t="s">
        <v>687</v>
      </c>
      <c r="C127" s="349">
        <v>0.10896601681957191</v>
      </c>
      <c r="D127" s="349">
        <f t="shared" si="1"/>
        <v>0.19128029460560964</v>
      </c>
      <c r="E127" s="349">
        <v>0.14628029460560965</v>
      </c>
      <c r="F127" s="349">
        <v>0.25</v>
      </c>
    </row>
    <row r="128" spans="1:6" ht="16">
      <c r="A128" s="347" t="s">
        <v>311</v>
      </c>
      <c r="B128" s="348" t="s">
        <v>569</v>
      </c>
      <c r="C128" s="349">
        <v>4.9041109802463012E-2</v>
      </c>
      <c r="D128" s="349">
        <f t="shared" si="1"/>
        <v>0.11083472718442829</v>
      </c>
      <c r="E128" s="349">
        <v>6.5834727184428288E-2</v>
      </c>
      <c r="F128" s="349">
        <v>0.32</v>
      </c>
    </row>
    <row r="129" spans="1:6" ht="16">
      <c r="A129" s="347" t="s">
        <v>312</v>
      </c>
      <c r="B129" s="348" t="s">
        <v>574</v>
      </c>
      <c r="C129" s="349">
        <v>0</v>
      </c>
      <c r="D129" s="349">
        <f t="shared" si="1"/>
        <v>4.4999999999999998E-2</v>
      </c>
      <c r="E129" s="349">
        <v>0</v>
      </c>
      <c r="F129" s="349">
        <v>0.25800000000000001</v>
      </c>
    </row>
    <row r="130" spans="1:6" ht="16">
      <c r="A130" s="347" t="s">
        <v>861</v>
      </c>
      <c r="B130" s="154" t="s">
        <v>687</v>
      </c>
      <c r="C130" s="277">
        <v>0.1054310997313879</v>
      </c>
      <c r="D130" s="349">
        <f t="shared" si="1"/>
        <v>0.23253488197001548</v>
      </c>
      <c r="E130" s="277">
        <v>0.1875348819700155</v>
      </c>
      <c r="F130" s="277">
        <v>0.2724561140242252</v>
      </c>
    </row>
    <row r="131" spans="1:6" ht="16">
      <c r="A131" s="347" t="s">
        <v>313</v>
      </c>
      <c r="B131" s="348" t="s">
        <v>574</v>
      </c>
      <c r="C131" s="349">
        <v>0</v>
      </c>
      <c r="D131" s="349">
        <f t="shared" si="1"/>
        <v>4.4999999999999998E-2</v>
      </c>
      <c r="E131" s="349">
        <v>0</v>
      </c>
      <c r="F131" s="349">
        <v>0.28000000000000003</v>
      </c>
    </row>
    <row r="132" spans="1:6" ht="16">
      <c r="A132" s="347" t="s">
        <v>370</v>
      </c>
      <c r="B132" s="348" t="s">
        <v>581</v>
      </c>
      <c r="C132" s="349">
        <v>7.0808704231754685E-2</v>
      </c>
      <c r="D132" s="349">
        <f t="shared" si="1"/>
        <v>0.14005640765793431</v>
      </c>
      <c r="E132" s="349">
        <v>9.5056407657934314E-2</v>
      </c>
      <c r="F132" s="349">
        <v>0.3</v>
      </c>
    </row>
    <row r="133" spans="1:6" ht="16">
      <c r="A133" s="347" t="s">
        <v>602</v>
      </c>
      <c r="B133" s="348" t="s">
        <v>586</v>
      </c>
      <c r="C133" s="349">
        <v>9.8082219604926024E-2</v>
      </c>
      <c r="D133" s="349">
        <f t="shared" si="1"/>
        <v>0.17666945436885656</v>
      </c>
      <c r="E133" s="349">
        <v>0.13166945436885658</v>
      </c>
      <c r="F133" s="349">
        <v>0.26860000000000001</v>
      </c>
    </row>
    <row r="134" spans="1:6" ht="16">
      <c r="A134" s="347" t="s">
        <v>314</v>
      </c>
      <c r="B134" s="348" t="s">
        <v>579</v>
      </c>
      <c r="C134" s="349">
        <v>8.1692501446400528E-2</v>
      </c>
      <c r="D134" s="349">
        <f t="shared" ref="D134:D195" si="2">$B$1+E134</f>
        <v>0.15466724789468733</v>
      </c>
      <c r="E134" s="349">
        <v>0.10966724789468733</v>
      </c>
      <c r="F134" s="349">
        <v>0.3</v>
      </c>
    </row>
    <row r="135" spans="1:6" ht="16">
      <c r="A135" s="347" t="s">
        <v>315</v>
      </c>
      <c r="B135" s="348" t="s">
        <v>574</v>
      </c>
      <c r="C135" s="349">
        <v>0</v>
      </c>
      <c r="D135" s="349">
        <f t="shared" si="2"/>
        <v>4.4999999999999998E-2</v>
      </c>
      <c r="E135" s="349">
        <v>0</v>
      </c>
      <c r="F135" s="349">
        <v>0.22</v>
      </c>
    </row>
    <row r="136" spans="1:6" ht="16">
      <c r="A136" s="347" t="s">
        <v>316</v>
      </c>
      <c r="B136" s="348" t="s">
        <v>589</v>
      </c>
      <c r="C136" s="349">
        <v>2.7273515373171343E-2</v>
      </c>
      <c r="D136" s="349">
        <f t="shared" si="2"/>
        <v>8.161304671092226E-2</v>
      </c>
      <c r="E136" s="349">
        <v>3.6613046710922262E-2</v>
      </c>
      <c r="F136" s="349">
        <v>0.15</v>
      </c>
    </row>
    <row r="137" spans="1:6" ht="16">
      <c r="A137" s="347" t="s">
        <v>317</v>
      </c>
      <c r="B137" s="348" t="s">
        <v>689</v>
      </c>
      <c r="C137" s="349">
        <v>0.10896601681957188</v>
      </c>
      <c r="D137" s="349">
        <f t="shared" si="2"/>
        <v>0.19128029460560964</v>
      </c>
      <c r="E137" s="349">
        <v>0.14628029460560965</v>
      </c>
      <c r="F137" s="349">
        <v>0.28999999999999998</v>
      </c>
    </row>
    <row r="138" spans="1:6" ht="16">
      <c r="A138" s="347" t="s">
        <v>862</v>
      </c>
      <c r="B138" s="154" t="s">
        <v>687</v>
      </c>
      <c r="C138" s="277">
        <v>1.6082653627874467E-2</v>
      </c>
      <c r="D138" s="349">
        <f t="shared" si="2"/>
        <v>0.11258999089248985</v>
      </c>
      <c r="E138" s="277">
        <v>6.7589990892489848E-2</v>
      </c>
      <c r="F138" s="277">
        <v>0.18760152153615242</v>
      </c>
    </row>
    <row r="139" spans="1:6" ht="16">
      <c r="A139" s="347" t="s">
        <v>318</v>
      </c>
      <c r="B139" s="348" t="s">
        <v>571</v>
      </c>
      <c r="C139" s="349">
        <v>2.0743237044383835E-2</v>
      </c>
      <c r="D139" s="349">
        <f t="shared" si="2"/>
        <v>7.2846542568870451E-2</v>
      </c>
      <c r="E139" s="349">
        <v>2.7846542568870453E-2</v>
      </c>
      <c r="F139" s="349">
        <v>0.25</v>
      </c>
    </row>
    <row r="140" spans="1:6" ht="16">
      <c r="A140" s="347" t="s">
        <v>319</v>
      </c>
      <c r="B140" s="348" t="s">
        <v>572</v>
      </c>
      <c r="C140" s="349">
        <v>5.9924907017108855E-2</v>
      </c>
      <c r="D140" s="349">
        <f t="shared" si="2"/>
        <v>0.12544556742118129</v>
      </c>
      <c r="E140" s="349">
        <v>8.0445567421181294E-2</v>
      </c>
      <c r="F140" s="349">
        <v>0.3</v>
      </c>
    </row>
    <row r="141" spans="1:6" ht="16">
      <c r="A141" s="347" t="s">
        <v>320</v>
      </c>
      <c r="B141" s="348" t="s">
        <v>589</v>
      </c>
      <c r="C141" s="349">
        <v>2.7273515373171343E-2</v>
      </c>
      <c r="D141" s="349">
        <f t="shared" si="2"/>
        <v>8.161304671092226E-2</v>
      </c>
      <c r="E141" s="349">
        <v>3.6613046710922262E-2</v>
      </c>
      <c r="F141" s="349">
        <v>0.1</v>
      </c>
    </row>
    <row r="142" spans="1:6" ht="16">
      <c r="A142" s="347" t="s">
        <v>321</v>
      </c>
      <c r="B142" s="348" t="s">
        <v>573</v>
      </c>
      <c r="C142" s="349">
        <v>1.7414075543433341E-2</v>
      </c>
      <c r="D142" s="349">
        <f t="shared" si="2"/>
        <v>6.8377344378804827E-2</v>
      </c>
      <c r="E142" s="349">
        <v>2.3377344378804829E-2</v>
      </c>
      <c r="F142" s="349">
        <v>0.29499999999999998</v>
      </c>
    </row>
    <row r="143" spans="1:6" ht="16">
      <c r="A143" s="347" t="s">
        <v>322</v>
      </c>
      <c r="B143" s="348" t="s">
        <v>571</v>
      </c>
      <c r="C143" s="349">
        <v>2.0743237044383835E-2</v>
      </c>
      <c r="D143" s="349">
        <f t="shared" si="2"/>
        <v>7.2846542568870451E-2</v>
      </c>
      <c r="E143" s="349">
        <v>2.7846542568870453E-2</v>
      </c>
      <c r="F143" s="349">
        <v>0.25</v>
      </c>
    </row>
    <row r="144" spans="1:6" ht="16">
      <c r="A144" s="347" t="s">
        <v>323</v>
      </c>
      <c r="B144" s="348" t="s">
        <v>583</v>
      </c>
      <c r="C144" s="349">
        <v>9.2192164641705932E-3</v>
      </c>
      <c r="D144" s="349">
        <f t="shared" si="2"/>
        <v>5.73762411417202E-2</v>
      </c>
      <c r="E144" s="349">
        <v>1.2376241141720201E-2</v>
      </c>
      <c r="F144" s="349">
        <v>0.19</v>
      </c>
    </row>
    <row r="145" spans="1:6" ht="16">
      <c r="A145" s="347" t="s">
        <v>324</v>
      </c>
      <c r="B145" s="348" t="s">
        <v>587</v>
      </c>
      <c r="C145" s="349">
        <v>1.3060556657575006E-2</v>
      </c>
      <c r="D145" s="349">
        <f t="shared" si="2"/>
        <v>6.2533008284103617E-2</v>
      </c>
      <c r="E145" s="349">
        <v>1.7533008284103618E-2</v>
      </c>
      <c r="F145" s="349">
        <v>0.21</v>
      </c>
    </row>
    <row r="146" spans="1:6" ht="16">
      <c r="A146" s="347" t="s">
        <v>325</v>
      </c>
      <c r="B146" s="348" t="s">
        <v>580</v>
      </c>
      <c r="C146" s="349">
        <v>6.5302783287875029E-3</v>
      </c>
      <c r="D146" s="349">
        <f t="shared" si="2"/>
        <v>5.3766504142051808E-2</v>
      </c>
      <c r="E146" s="349">
        <v>8.7665041420518092E-3</v>
      </c>
      <c r="F146" s="349">
        <v>0.1</v>
      </c>
    </row>
    <row r="147" spans="1:6" ht="16">
      <c r="A147" s="347" t="s">
        <v>503</v>
      </c>
      <c r="B147" s="348" t="s">
        <v>587</v>
      </c>
      <c r="C147" s="349">
        <v>1.3060556657575006E-2</v>
      </c>
      <c r="D147" s="349">
        <f t="shared" si="2"/>
        <v>6.2533008284103617E-2</v>
      </c>
      <c r="E147" s="349">
        <v>1.7533008284103618E-2</v>
      </c>
      <c r="F147" s="349">
        <v>0</v>
      </c>
    </row>
    <row r="148" spans="1:6" ht="16">
      <c r="A148" s="347" t="s">
        <v>863</v>
      </c>
      <c r="B148" s="154" t="s">
        <v>687</v>
      </c>
      <c r="C148" s="277">
        <v>1.2518555898193178E-2</v>
      </c>
      <c r="D148" s="349">
        <f t="shared" si="2"/>
        <v>0.10780540500857855</v>
      </c>
      <c r="E148" s="277">
        <v>6.2805405008578549E-2</v>
      </c>
      <c r="F148" s="277">
        <v>0.2576437502455447</v>
      </c>
    </row>
    <row r="149" spans="1:6" ht="16">
      <c r="A149" s="347" t="s">
        <v>326</v>
      </c>
      <c r="B149" s="348" t="s">
        <v>577</v>
      </c>
      <c r="C149" s="349">
        <v>2.3944353872220846E-2</v>
      </c>
      <c r="D149" s="349">
        <f t="shared" si="2"/>
        <v>7.7143848520856623E-2</v>
      </c>
      <c r="E149" s="349">
        <v>3.2143848520856624E-2</v>
      </c>
      <c r="F149" s="349">
        <v>0.16</v>
      </c>
    </row>
    <row r="150" spans="1:6" ht="16">
      <c r="A150" s="347" t="s">
        <v>327</v>
      </c>
      <c r="B150" s="348" t="s">
        <v>687</v>
      </c>
      <c r="C150" s="349">
        <v>4.9041109802463012E-2</v>
      </c>
      <c r="D150" s="349">
        <f t="shared" si="2"/>
        <v>0.11083472718442829</v>
      </c>
      <c r="E150" s="349">
        <v>6.5834727184428288E-2</v>
      </c>
      <c r="F150" s="349">
        <v>0.25</v>
      </c>
    </row>
    <row r="151" spans="1:6" ht="16">
      <c r="A151" s="347" t="s">
        <v>490</v>
      </c>
      <c r="B151" s="348" t="s">
        <v>572</v>
      </c>
      <c r="C151" s="349">
        <v>5.9924907017108855E-2</v>
      </c>
      <c r="D151" s="349">
        <f t="shared" si="2"/>
        <v>0.12544556742118129</v>
      </c>
      <c r="E151" s="349">
        <v>8.0445567421181294E-2</v>
      </c>
      <c r="F151" s="349">
        <v>0.3</v>
      </c>
    </row>
    <row r="152" spans="1:6" ht="16">
      <c r="A152" s="347" t="s">
        <v>864</v>
      </c>
      <c r="B152" s="154" t="s">
        <v>687</v>
      </c>
      <c r="C152" s="277">
        <v>0.1054310997313879</v>
      </c>
      <c r="D152" s="349">
        <f t="shared" si="2"/>
        <v>0.23253488197001548</v>
      </c>
      <c r="E152" s="277">
        <v>0.1875348819700155</v>
      </c>
      <c r="F152" s="277">
        <v>0.2724561140242252</v>
      </c>
    </row>
    <row r="153" spans="1:6" ht="16">
      <c r="A153" s="347" t="s">
        <v>328</v>
      </c>
      <c r="B153" s="348" t="s">
        <v>585</v>
      </c>
      <c r="C153" s="349">
        <v>7.6826803868088279E-3</v>
      </c>
      <c r="D153" s="349">
        <f t="shared" si="2"/>
        <v>5.5313534284766833E-2</v>
      </c>
      <c r="E153" s="349">
        <v>1.0313534284766834E-2</v>
      </c>
      <c r="F153" s="349">
        <v>0.2</v>
      </c>
    </row>
    <row r="154" spans="1:6" ht="16">
      <c r="A154" s="347" t="s">
        <v>371</v>
      </c>
      <c r="B154" s="348" t="s">
        <v>578</v>
      </c>
      <c r="C154" s="349">
        <v>3.9181669972725021E-2</v>
      </c>
      <c r="D154" s="349">
        <f t="shared" si="2"/>
        <v>9.7599024852310853E-2</v>
      </c>
      <c r="E154" s="349">
        <v>5.2599024852310855E-2</v>
      </c>
      <c r="F154" s="349">
        <v>0.3</v>
      </c>
    </row>
    <row r="155" spans="1:6" ht="16">
      <c r="A155" s="347" t="s">
        <v>329</v>
      </c>
      <c r="B155" s="348" t="s">
        <v>576</v>
      </c>
      <c r="C155" s="349">
        <v>3.2779436317050999E-2</v>
      </c>
      <c r="D155" s="349">
        <f t="shared" si="2"/>
        <v>8.9004412948338496E-2</v>
      </c>
      <c r="E155" s="349">
        <v>4.4004412948338498E-2</v>
      </c>
      <c r="F155" s="349">
        <v>0.15</v>
      </c>
    </row>
    <row r="156" spans="1:6" ht="16">
      <c r="A156" s="347" t="s">
        <v>504</v>
      </c>
      <c r="B156" s="348" t="s">
        <v>589</v>
      </c>
      <c r="C156" s="349">
        <v>2.7273515373171343E-2</v>
      </c>
      <c r="D156" s="349">
        <f t="shared" si="2"/>
        <v>8.161304671092226E-2</v>
      </c>
      <c r="E156" s="349">
        <v>3.6613046710922262E-2</v>
      </c>
      <c r="F156" s="349">
        <v>0</v>
      </c>
    </row>
    <row r="157" spans="1:6" ht="16">
      <c r="A157" s="350" t="s">
        <v>603</v>
      </c>
      <c r="B157" s="348" t="s">
        <v>687</v>
      </c>
      <c r="C157" s="349">
        <v>0.10896601681957191</v>
      </c>
      <c r="D157" s="349">
        <f t="shared" si="2"/>
        <v>0.19128029460560964</v>
      </c>
      <c r="E157" s="349">
        <v>0.14628029460560965</v>
      </c>
      <c r="F157" s="349">
        <v>0.3</v>
      </c>
    </row>
    <row r="158" spans="1:6" ht="16">
      <c r="A158" s="347" t="s">
        <v>330</v>
      </c>
      <c r="B158" s="348" t="s">
        <v>574</v>
      </c>
      <c r="C158" s="349">
        <v>0</v>
      </c>
      <c r="D158" s="349">
        <f t="shared" si="2"/>
        <v>4.4999999999999998E-2</v>
      </c>
      <c r="E158" s="349">
        <v>0</v>
      </c>
      <c r="F158" s="349">
        <v>0.17</v>
      </c>
    </row>
    <row r="159" spans="1:6" ht="16">
      <c r="A159" s="347" t="s">
        <v>372</v>
      </c>
      <c r="B159" s="348" t="s">
        <v>583</v>
      </c>
      <c r="C159" s="349">
        <v>9.2192164641705932E-3</v>
      </c>
      <c r="D159" s="349">
        <f t="shared" si="2"/>
        <v>5.73762411417202E-2</v>
      </c>
      <c r="E159" s="349">
        <v>1.2376241141720201E-2</v>
      </c>
      <c r="F159" s="349">
        <v>0.21</v>
      </c>
    </row>
    <row r="160" spans="1:6" ht="16">
      <c r="A160" s="347" t="s">
        <v>331</v>
      </c>
      <c r="B160" s="348" t="s">
        <v>587</v>
      </c>
      <c r="C160" s="349">
        <v>1.3060556657575006E-2</v>
      </c>
      <c r="D160" s="349">
        <f t="shared" si="2"/>
        <v>6.2533008284103617E-2</v>
      </c>
      <c r="E160" s="349">
        <v>1.7533008284103618E-2</v>
      </c>
      <c r="F160" s="349">
        <v>0.19</v>
      </c>
    </row>
    <row r="161" spans="1:6" ht="16">
      <c r="A161" s="347" t="s">
        <v>604</v>
      </c>
      <c r="B161" s="348" t="s">
        <v>579</v>
      </c>
      <c r="C161" s="349">
        <v>8.1692501446400528E-2</v>
      </c>
      <c r="D161" s="349">
        <f t="shared" si="2"/>
        <v>0.15466724789468733</v>
      </c>
      <c r="E161" s="349">
        <v>0.10966724789468733</v>
      </c>
      <c r="F161" s="349">
        <v>0.3</v>
      </c>
    </row>
    <row r="162" spans="1:6" ht="16">
      <c r="A162" s="351" t="s">
        <v>605</v>
      </c>
      <c r="B162" s="348" t="s">
        <v>687</v>
      </c>
      <c r="C162" s="349">
        <v>0.13073361124886354</v>
      </c>
      <c r="D162" s="349">
        <f t="shared" si="2"/>
        <v>0.22050197507911562</v>
      </c>
      <c r="E162" s="349">
        <v>0.17550197507911564</v>
      </c>
      <c r="F162" s="349">
        <v>0.29149999999999998</v>
      </c>
    </row>
    <row r="163" spans="1:6" ht="16">
      <c r="A163" s="347" t="s">
        <v>332</v>
      </c>
      <c r="B163" s="348" t="s">
        <v>576</v>
      </c>
      <c r="C163" s="349">
        <v>3.2779436317050999E-2</v>
      </c>
      <c r="D163" s="349">
        <f t="shared" si="2"/>
        <v>8.9004412948338496E-2</v>
      </c>
      <c r="E163" s="349">
        <v>4.4004412948338498E-2</v>
      </c>
      <c r="F163" s="349">
        <v>0.27</v>
      </c>
    </row>
    <row r="164" spans="1:6" ht="16">
      <c r="A164" s="347" t="s">
        <v>865</v>
      </c>
      <c r="B164" s="348" t="s">
        <v>568</v>
      </c>
      <c r="C164" s="349">
        <v>5.3778762707661788E-3</v>
      </c>
      <c r="D164" s="349">
        <f t="shared" si="2"/>
        <v>5.2219473999336782E-2</v>
      </c>
      <c r="E164" s="349">
        <v>7.219473999336784E-3</v>
      </c>
      <c r="F164" s="349">
        <v>0.25</v>
      </c>
    </row>
    <row r="165" spans="1:6" ht="16">
      <c r="A165" s="347" t="s">
        <v>333</v>
      </c>
      <c r="B165" s="348" t="s">
        <v>573</v>
      </c>
      <c r="C165" s="349">
        <v>1.7414075543433341E-2</v>
      </c>
      <c r="D165" s="349">
        <f t="shared" si="2"/>
        <v>6.8377344378804827E-2</v>
      </c>
      <c r="E165" s="349">
        <v>2.3377344378804829E-2</v>
      </c>
      <c r="F165" s="349">
        <v>0.25</v>
      </c>
    </row>
    <row r="166" spans="1:6" ht="16">
      <c r="A166" s="347" t="s">
        <v>334</v>
      </c>
      <c r="B166" s="348" t="s">
        <v>688</v>
      </c>
      <c r="C166" s="349">
        <v>0.13073361124886354</v>
      </c>
      <c r="D166" s="349">
        <f t="shared" si="2"/>
        <v>0.22050197507911562</v>
      </c>
      <c r="E166" s="349">
        <v>0.17550197507911564</v>
      </c>
      <c r="F166" s="349">
        <v>0.24</v>
      </c>
    </row>
    <row r="167" spans="1:6" ht="16">
      <c r="A167" s="347" t="s">
        <v>430</v>
      </c>
      <c r="B167" s="348" t="s">
        <v>576</v>
      </c>
      <c r="C167" s="349">
        <v>3.2779436317050999E-2</v>
      </c>
      <c r="D167" s="349">
        <f t="shared" si="2"/>
        <v>8.9004412948338496E-2</v>
      </c>
      <c r="E167" s="349">
        <v>4.4004412948338498E-2</v>
      </c>
      <c r="F167" s="349">
        <v>0.2853</v>
      </c>
    </row>
    <row r="168" spans="1:6" ht="16">
      <c r="A168" s="347" t="s">
        <v>373</v>
      </c>
      <c r="B168" s="348" t="s">
        <v>581</v>
      </c>
      <c r="C168" s="349">
        <v>7.0808704231754685E-2</v>
      </c>
      <c r="D168" s="349">
        <f t="shared" si="2"/>
        <v>0.14005640765793431</v>
      </c>
      <c r="E168" s="349">
        <v>9.5056407657934314E-2</v>
      </c>
      <c r="F168" s="349">
        <v>0.2853</v>
      </c>
    </row>
    <row r="169" spans="1:6" ht="16">
      <c r="A169" s="350" t="s">
        <v>606</v>
      </c>
      <c r="B169" s="348" t="s">
        <v>687</v>
      </c>
      <c r="C169" s="349">
        <v>0.17499999999999999</v>
      </c>
      <c r="D169" s="349">
        <f t="shared" si="2"/>
        <v>0.27992692770782934</v>
      </c>
      <c r="E169" s="349">
        <v>0.23492692770782936</v>
      </c>
      <c r="F169" s="349">
        <v>0.35</v>
      </c>
    </row>
    <row r="170" spans="1:6" ht="16">
      <c r="A170" s="347" t="s">
        <v>374</v>
      </c>
      <c r="B170" s="348" t="s">
        <v>689</v>
      </c>
      <c r="C170" s="349">
        <v>0.10896601681957188</v>
      </c>
      <c r="D170" s="349">
        <f t="shared" si="2"/>
        <v>0.19128029460560964</v>
      </c>
      <c r="E170" s="349">
        <v>0.14628029460560965</v>
      </c>
      <c r="F170" s="349">
        <v>0.36</v>
      </c>
    </row>
    <row r="171" spans="1:6" ht="16">
      <c r="A171" s="347" t="s">
        <v>607</v>
      </c>
      <c r="B171" s="348" t="s">
        <v>581</v>
      </c>
      <c r="C171" s="349">
        <v>7.0808704231754685E-2</v>
      </c>
      <c r="D171" s="349">
        <f t="shared" si="2"/>
        <v>0.14005640765793431</v>
      </c>
      <c r="E171" s="349">
        <v>9.5056407657934314E-2</v>
      </c>
      <c r="F171" s="349">
        <v>0.27500000000000002</v>
      </c>
    </row>
    <row r="172" spans="1:6" ht="16">
      <c r="A172" s="347" t="s">
        <v>335</v>
      </c>
      <c r="B172" s="348" t="s">
        <v>574</v>
      </c>
      <c r="C172" s="349">
        <v>0</v>
      </c>
      <c r="D172" s="349">
        <f t="shared" si="2"/>
        <v>4.4999999999999998E-2</v>
      </c>
      <c r="E172" s="349">
        <v>0</v>
      </c>
      <c r="F172" s="349">
        <v>0.20600000000000002</v>
      </c>
    </row>
    <row r="173" spans="1:6" ht="16">
      <c r="A173" s="347" t="s">
        <v>336</v>
      </c>
      <c r="B173" s="348" t="s">
        <v>574</v>
      </c>
      <c r="C173" s="349">
        <v>0</v>
      </c>
      <c r="D173" s="349">
        <f t="shared" si="2"/>
        <v>4.4999999999999998E-2</v>
      </c>
      <c r="E173" s="349">
        <v>0</v>
      </c>
      <c r="F173" s="349">
        <v>0.14599999999999999</v>
      </c>
    </row>
    <row r="174" spans="1:6" ht="16">
      <c r="A174" s="351" t="s">
        <v>608</v>
      </c>
      <c r="B174" s="348" t="s">
        <v>687</v>
      </c>
      <c r="C174" s="349">
        <v>0.17499999999999999</v>
      </c>
      <c r="D174" s="349">
        <f t="shared" si="2"/>
        <v>0.27992692770782934</v>
      </c>
      <c r="E174" s="349">
        <v>0.23492692770782936</v>
      </c>
      <c r="F174" s="349">
        <v>0.28000000000000003</v>
      </c>
    </row>
    <row r="175" spans="1:6" ht="16">
      <c r="A175" s="347" t="s">
        <v>337</v>
      </c>
      <c r="B175" s="348" t="s">
        <v>580</v>
      </c>
      <c r="C175" s="349">
        <v>6.5302783287875029E-3</v>
      </c>
      <c r="D175" s="349">
        <f t="shared" si="2"/>
        <v>5.3766504142051808E-2</v>
      </c>
      <c r="E175" s="349">
        <v>8.7665041420518092E-3</v>
      </c>
      <c r="F175" s="349">
        <v>0.2</v>
      </c>
    </row>
    <row r="176" spans="1:6" ht="16">
      <c r="A176" s="347" t="s">
        <v>609</v>
      </c>
      <c r="B176" s="348" t="s">
        <v>581</v>
      </c>
      <c r="C176" s="349">
        <v>7.0808704231754685E-2</v>
      </c>
      <c r="D176" s="349">
        <f t="shared" si="2"/>
        <v>0.14005640765793431</v>
      </c>
      <c r="E176" s="349">
        <v>9.5056407657934314E-2</v>
      </c>
      <c r="F176" s="349">
        <v>0.18</v>
      </c>
    </row>
    <row r="177" spans="1:6" ht="16">
      <c r="A177" s="347" t="s">
        <v>610</v>
      </c>
      <c r="B177" s="348" t="s">
        <v>572</v>
      </c>
      <c r="C177" s="349">
        <v>5.9924907017108855E-2</v>
      </c>
      <c r="D177" s="349">
        <f t="shared" si="2"/>
        <v>0.12544556742118129</v>
      </c>
      <c r="E177" s="349">
        <v>8.0445567421181294E-2</v>
      </c>
      <c r="F177" s="349">
        <v>0.3</v>
      </c>
    </row>
    <row r="178" spans="1:6" ht="16">
      <c r="A178" s="347" t="s">
        <v>338</v>
      </c>
      <c r="B178" s="348" t="s">
        <v>573</v>
      </c>
      <c r="C178" s="349">
        <v>1.7414075543433341E-2</v>
      </c>
      <c r="D178" s="349">
        <f t="shared" si="2"/>
        <v>6.8377344378804827E-2</v>
      </c>
      <c r="E178" s="349">
        <v>2.3377344378804829E-2</v>
      </c>
      <c r="F178" s="349">
        <v>0.2</v>
      </c>
    </row>
    <row r="179" spans="1:6" ht="16">
      <c r="A179" s="347" t="s">
        <v>611</v>
      </c>
      <c r="B179" s="348" t="s">
        <v>581</v>
      </c>
      <c r="C179" s="349">
        <v>7.0808704231754685E-2</v>
      </c>
      <c r="D179" s="349">
        <f t="shared" si="2"/>
        <v>0.14005640765793431</v>
      </c>
      <c r="E179" s="349">
        <v>9.5056407657934314E-2</v>
      </c>
      <c r="F179" s="349">
        <v>0.26860000000000001</v>
      </c>
    </row>
    <row r="180" spans="1:6" ht="16">
      <c r="A180" s="347" t="s">
        <v>866</v>
      </c>
      <c r="B180" s="348" t="s">
        <v>576</v>
      </c>
      <c r="C180" s="349">
        <v>3.2779436317050999E-2</v>
      </c>
      <c r="D180" s="349">
        <f t="shared" si="2"/>
        <v>8.9004412948338496E-2</v>
      </c>
      <c r="E180" s="349">
        <v>4.4004412948338498E-2</v>
      </c>
      <c r="F180" s="349">
        <v>0.3</v>
      </c>
    </row>
    <row r="181" spans="1:6" ht="16">
      <c r="A181" s="347" t="s">
        <v>339</v>
      </c>
      <c r="B181" s="348" t="s">
        <v>586</v>
      </c>
      <c r="C181" s="349">
        <v>9.8082219604926024E-2</v>
      </c>
      <c r="D181" s="349">
        <f t="shared" si="2"/>
        <v>0.17666945436885656</v>
      </c>
      <c r="E181" s="349">
        <v>0.13166945436885658</v>
      </c>
      <c r="F181" s="349">
        <v>0.15</v>
      </c>
    </row>
    <row r="182" spans="1:6" ht="16">
      <c r="A182" s="347" t="s">
        <v>340</v>
      </c>
      <c r="B182" s="348" t="s">
        <v>581</v>
      </c>
      <c r="C182" s="349">
        <v>7.0808704231754685E-2</v>
      </c>
      <c r="D182" s="349">
        <f t="shared" si="2"/>
        <v>0.14005640765793431</v>
      </c>
      <c r="E182" s="349">
        <v>9.5056407657934314E-2</v>
      </c>
      <c r="F182" s="349">
        <v>0.25</v>
      </c>
    </row>
    <row r="183" spans="1:6" ht="16">
      <c r="A183" s="353" t="s">
        <v>867</v>
      </c>
      <c r="B183" s="348" t="s">
        <v>573</v>
      </c>
      <c r="C183" s="349">
        <v>1.7414075543433341E-2</v>
      </c>
      <c r="D183" s="349">
        <f t="shared" si="2"/>
        <v>6.8377344378804827E-2</v>
      </c>
      <c r="E183" s="349">
        <v>2.3377344378804829E-2</v>
      </c>
      <c r="F183" s="349">
        <v>0</v>
      </c>
    </row>
    <row r="184" spans="1:6" ht="16">
      <c r="A184" s="347" t="s">
        <v>431</v>
      </c>
      <c r="B184" s="348" t="s">
        <v>572</v>
      </c>
      <c r="C184" s="349">
        <v>5.9924907017108855E-2</v>
      </c>
      <c r="D184" s="349">
        <f t="shared" si="2"/>
        <v>0.12544556742118129</v>
      </c>
      <c r="E184" s="349">
        <v>8.0445567421181294E-2</v>
      </c>
      <c r="F184" s="349">
        <v>0.3</v>
      </c>
    </row>
    <row r="185" spans="1:6" ht="16">
      <c r="A185" s="347" t="s">
        <v>341</v>
      </c>
      <c r="B185" s="348" t="s">
        <v>688</v>
      </c>
      <c r="C185" s="349">
        <v>0.13073361124886354</v>
      </c>
      <c r="D185" s="349">
        <f t="shared" si="2"/>
        <v>0.22050197507911562</v>
      </c>
      <c r="E185" s="349">
        <v>0.17550197507911564</v>
      </c>
      <c r="F185" s="349">
        <v>0.18</v>
      </c>
    </row>
    <row r="186" spans="1:6" ht="16">
      <c r="A186" s="347" t="s">
        <v>342</v>
      </c>
      <c r="B186" s="348" t="s">
        <v>568</v>
      </c>
      <c r="C186" s="349">
        <v>5.3778762707661788E-3</v>
      </c>
      <c r="D186" s="349">
        <f t="shared" si="2"/>
        <v>5.2219473999336782E-2</v>
      </c>
      <c r="E186" s="349">
        <v>7.219473999336784E-3</v>
      </c>
      <c r="F186" s="349">
        <v>0.25</v>
      </c>
    </row>
    <row r="187" spans="1:6" ht="16">
      <c r="A187" s="347" t="s">
        <v>343</v>
      </c>
      <c r="B187" s="348" t="s">
        <v>580</v>
      </c>
      <c r="C187" s="349">
        <v>6.5302783287875029E-3</v>
      </c>
      <c r="D187" s="349">
        <f t="shared" si="2"/>
        <v>5.3766504142051808E-2</v>
      </c>
      <c r="E187" s="349">
        <v>8.7665041420518092E-3</v>
      </c>
      <c r="F187" s="349">
        <v>0.25</v>
      </c>
    </row>
    <row r="188" spans="1:6" ht="16">
      <c r="A188" s="347" t="s">
        <v>344</v>
      </c>
      <c r="B188" s="348" t="s">
        <v>574</v>
      </c>
      <c r="C188" s="349">
        <v>0</v>
      </c>
      <c r="D188" s="349">
        <f t="shared" si="2"/>
        <v>4.4999999999999998E-2</v>
      </c>
      <c r="E188" s="349">
        <v>0</v>
      </c>
      <c r="F188" s="349">
        <v>0.25</v>
      </c>
    </row>
    <row r="189" spans="1:6" ht="16">
      <c r="A189" s="347" t="s">
        <v>345</v>
      </c>
      <c r="B189" s="348" t="s">
        <v>571</v>
      </c>
      <c r="C189" s="349">
        <v>2.0743237044383835E-2</v>
      </c>
      <c r="D189" s="349">
        <f t="shared" si="2"/>
        <v>7.2846542568870451E-2</v>
      </c>
      <c r="E189" s="349">
        <v>2.7846542568870453E-2</v>
      </c>
      <c r="F189" s="349">
        <v>0.25</v>
      </c>
    </row>
    <row r="190" spans="1:6" ht="16">
      <c r="A190" s="347" t="s">
        <v>693</v>
      </c>
      <c r="B190" s="348" t="s">
        <v>578</v>
      </c>
      <c r="C190" s="349">
        <v>3.9181669972725021E-2</v>
      </c>
      <c r="D190" s="349">
        <f t="shared" si="2"/>
        <v>9.7599024852310853E-2</v>
      </c>
      <c r="E190" s="349">
        <v>5.2599024852310855E-2</v>
      </c>
      <c r="F190" s="349">
        <v>0.15</v>
      </c>
    </row>
    <row r="191" spans="1:6" ht="16">
      <c r="A191" s="347" t="s">
        <v>346</v>
      </c>
      <c r="B191" s="348" t="s">
        <v>615</v>
      </c>
      <c r="C191" s="349">
        <v>0.17499999999999999</v>
      </c>
      <c r="D191" s="349">
        <f t="shared" si="2"/>
        <v>0.27992692770782934</v>
      </c>
      <c r="E191" s="349">
        <v>0.23492692770782936</v>
      </c>
      <c r="F191" s="349">
        <v>0.34</v>
      </c>
    </row>
    <row r="192" spans="1:6" ht="16">
      <c r="A192" s="347" t="s">
        <v>347</v>
      </c>
      <c r="B192" s="348" t="s">
        <v>576</v>
      </c>
      <c r="C192" s="349">
        <v>3.2779436317050999E-2</v>
      </c>
      <c r="D192" s="349">
        <f t="shared" si="2"/>
        <v>8.9004412948338496E-2</v>
      </c>
      <c r="E192" s="349">
        <v>4.4004412948338498E-2</v>
      </c>
      <c r="F192" s="349">
        <v>0.2</v>
      </c>
    </row>
    <row r="193" spans="1:6" ht="16">
      <c r="A193" s="350" t="s">
        <v>868</v>
      </c>
      <c r="B193" s="348" t="s">
        <v>687</v>
      </c>
      <c r="C193" s="349">
        <v>0.10896601681957191</v>
      </c>
      <c r="D193" s="349">
        <f t="shared" si="2"/>
        <v>0.19128029460560964</v>
      </c>
      <c r="E193" s="349">
        <v>0.14628029460560965</v>
      </c>
      <c r="F193" s="349">
        <v>0.2</v>
      </c>
    </row>
    <row r="194" spans="1:6" ht="16">
      <c r="A194" s="347" t="s">
        <v>348</v>
      </c>
      <c r="B194" s="348" t="s">
        <v>689</v>
      </c>
      <c r="C194" s="349">
        <v>0.10896601681957188</v>
      </c>
      <c r="D194" s="349">
        <f t="shared" si="2"/>
        <v>0.19128029460560964</v>
      </c>
      <c r="E194" s="349">
        <v>0.14628029460560965</v>
      </c>
      <c r="F194" s="349">
        <v>0.35</v>
      </c>
    </row>
    <row r="195" spans="1:6" ht="16">
      <c r="A195" s="351" t="s">
        <v>612</v>
      </c>
      <c r="B195" s="348" t="s">
        <v>687</v>
      </c>
      <c r="C195" s="349">
        <v>9.8082219604926024E-2</v>
      </c>
      <c r="D195" s="349">
        <f t="shared" si="2"/>
        <v>0.17666945436885656</v>
      </c>
      <c r="E195" s="349">
        <v>0.13166945436885658</v>
      </c>
      <c r="F195" s="349">
        <v>0.25</v>
      </c>
    </row>
    <row r="200" spans="1:6">
      <c r="A200" s="354" t="s">
        <v>352</v>
      </c>
      <c r="B200" s="355" t="s">
        <v>376</v>
      </c>
      <c r="C200" s="355" t="s">
        <v>869</v>
      </c>
      <c r="D200" s="355" t="s">
        <v>694</v>
      </c>
      <c r="E200" s="355" t="s">
        <v>870</v>
      </c>
    </row>
    <row r="201" spans="1:6">
      <c r="A201" s="356" t="s">
        <v>355</v>
      </c>
      <c r="B201" s="357">
        <f>$B$1+E201</f>
        <v>0.13663852306889546</v>
      </c>
      <c r="C201" s="357">
        <v>6.8262679351091926E-2</v>
      </c>
      <c r="D201" s="357">
        <v>0.27302836489005694</v>
      </c>
      <c r="E201" s="357">
        <v>9.1638523068895444E-2</v>
      </c>
    </row>
    <row r="202" spans="1:6">
      <c r="A202" s="356" t="s">
        <v>428</v>
      </c>
      <c r="B202" s="357">
        <f t="shared" ref="B202:B210" si="3">$B$1+E202</f>
        <v>6.1805405008578562E-2</v>
      </c>
      <c r="C202" s="357">
        <v>1.2518555898193178E-2</v>
      </c>
      <c r="D202" s="357">
        <v>0.2576437502455447</v>
      </c>
      <c r="E202" s="357">
        <v>1.6805405008578567E-2</v>
      </c>
    </row>
    <row r="203" spans="1:6">
      <c r="A203" s="356" t="s">
        <v>357</v>
      </c>
      <c r="B203" s="357">
        <f t="shared" si="3"/>
        <v>4.5047923618641933E-2</v>
      </c>
      <c r="C203" s="357">
        <v>3.5698901544265913E-5</v>
      </c>
      <c r="D203" s="357">
        <v>0.29744361328762281</v>
      </c>
      <c r="E203" s="357">
        <v>4.7923618641935289E-5</v>
      </c>
    </row>
    <row r="204" spans="1:6">
      <c r="A204" s="356" t="s">
        <v>359</v>
      </c>
      <c r="B204" s="357">
        <f t="shared" si="3"/>
        <v>0.1865348819700155</v>
      </c>
      <c r="C204" s="357">
        <v>0.1054310997313879</v>
      </c>
      <c r="D204" s="357">
        <v>0.2724561140242252</v>
      </c>
      <c r="E204" s="357">
        <v>0.14153488197001549</v>
      </c>
    </row>
    <row r="205" spans="1:6">
      <c r="A205" s="356" t="s">
        <v>356</v>
      </c>
      <c r="B205" s="357">
        <f t="shared" si="3"/>
        <v>0.10261091058162494</v>
      </c>
      <c r="C205" s="357">
        <v>4.2915086193622262E-2</v>
      </c>
      <c r="D205" s="357">
        <v>0.31595749426030023</v>
      </c>
      <c r="E205" s="357">
        <v>5.7610910581624951E-2</v>
      </c>
    </row>
    <row r="206" spans="1:6">
      <c r="A206" s="356" t="s">
        <v>354</v>
      </c>
      <c r="B206" s="357">
        <f t="shared" si="3"/>
        <v>9.5579383477192262E-2</v>
      </c>
      <c r="C206" s="357">
        <v>3.7670398345457844E-2</v>
      </c>
      <c r="D206" s="357">
        <v>0.18485819102180306</v>
      </c>
      <c r="E206" s="357">
        <v>5.0579383477192263E-2</v>
      </c>
    </row>
    <row r="207" spans="1:6">
      <c r="A207" s="356" t="s">
        <v>360</v>
      </c>
      <c r="B207" s="357">
        <f t="shared" si="3"/>
        <v>6.6589990892489848E-2</v>
      </c>
      <c r="C207" s="357">
        <v>1.6082653627874467E-2</v>
      </c>
      <c r="D207" s="357">
        <v>0.18760152153615242</v>
      </c>
      <c r="E207" s="357">
        <v>2.1589990892489853E-2</v>
      </c>
    </row>
    <row r="208" spans="1:6">
      <c r="A208" s="356" t="s">
        <v>362</v>
      </c>
      <c r="B208" s="357">
        <f t="shared" si="3"/>
        <v>4.4999999999999998E-2</v>
      </c>
      <c r="C208" s="357">
        <v>0</v>
      </c>
      <c r="D208" s="357">
        <v>0.25116286561170831</v>
      </c>
      <c r="E208" s="357">
        <v>0</v>
      </c>
    </row>
    <row r="209" spans="1:5">
      <c r="A209" s="356" t="s">
        <v>353</v>
      </c>
      <c r="B209" s="357">
        <f t="shared" si="3"/>
        <v>5.7871606293643366E-2</v>
      </c>
      <c r="C209" s="357">
        <v>9.5882201472833571E-3</v>
      </c>
      <c r="D209" s="357">
        <v>0.24707349543413576</v>
      </c>
      <c r="E209" s="357">
        <v>1.2871606293643371E-2</v>
      </c>
    </row>
    <row r="210" spans="1:5">
      <c r="A210" s="356" t="s">
        <v>491</v>
      </c>
      <c r="B210" s="357">
        <f t="shared" si="3"/>
        <v>6.3100000000000003E-2</v>
      </c>
      <c r="C210" s="357">
        <v>1.35E-2</v>
      </c>
      <c r="D210" s="357">
        <v>0.25225942509764748</v>
      </c>
      <c r="E210" s="357">
        <v>1.8100000000000002E-2</v>
      </c>
    </row>
    <row r="65537" spans="1:6">
      <c r="A65537" t="s">
        <v>613</v>
      </c>
      <c r="B65537" s="242">
        <v>4.5999999999999999E-2</v>
      </c>
      <c r="C65537" t="s">
        <v>847</v>
      </c>
    </row>
    <row r="65538" spans="1:6" ht="14">
      <c r="A65538" s="275" t="s">
        <v>686</v>
      </c>
      <c r="B65538" s="275"/>
      <c r="C65538" s="275"/>
      <c r="D65538" s="275"/>
      <c r="E65538" s="275"/>
      <c r="F65538" s="275"/>
    </row>
    <row r="65540" spans="1:6" ht="16">
      <c r="A65540" s="344" t="s">
        <v>349</v>
      </c>
      <c r="B65540" s="345" t="s">
        <v>566</v>
      </c>
      <c r="C65540" s="346" t="s">
        <v>350</v>
      </c>
      <c r="D65540" s="346" t="s">
        <v>567</v>
      </c>
      <c r="E65540" s="346" t="s">
        <v>351</v>
      </c>
      <c r="F65540" s="346" t="s">
        <v>519</v>
      </c>
    </row>
    <row r="65541" spans="1:6" ht="16">
      <c r="A65541" s="347" t="s">
        <v>481</v>
      </c>
      <c r="B65541" s="348" t="s">
        <v>568</v>
      </c>
      <c r="C65541" s="349">
        <v>5.3778762707661788E-3</v>
      </c>
      <c r="D65541" s="349">
        <f>$B$1+E65541</f>
        <v>5.2219473999336782E-2</v>
      </c>
      <c r="E65541" s="349">
        <v>7.219473999336784E-3</v>
      </c>
      <c r="F65541" s="349">
        <v>0.15</v>
      </c>
    </row>
    <row r="65542" spans="1:6" ht="16">
      <c r="A65542" s="347" t="s">
        <v>245</v>
      </c>
      <c r="B65542" s="348" t="s">
        <v>569</v>
      </c>
      <c r="C65542" s="349">
        <v>4.9041109802463012E-2</v>
      </c>
      <c r="D65542" s="349">
        <f t="shared" ref="D65542:D65605" si="4">$B$1+E65542</f>
        <v>0.11083472718442829</v>
      </c>
      <c r="E65542" s="349">
        <v>6.5834727184428288E-2</v>
      </c>
      <c r="F65542" s="349">
        <v>0.15</v>
      </c>
    </row>
    <row r="65543" spans="1:6" ht="16">
      <c r="A65543" s="350" t="s">
        <v>570</v>
      </c>
      <c r="B65543" s="348" t="s">
        <v>687</v>
      </c>
      <c r="C65543" s="349">
        <v>4.9041109802463012E-2</v>
      </c>
      <c r="D65543" s="349">
        <f t="shared" si="4"/>
        <v>0.11083472718442829</v>
      </c>
      <c r="E65543" s="349">
        <v>6.5834727184428288E-2</v>
      </c>
      <c r="F65543" s="349">
        <v>0.26</v>
      </c>
    </row>
    <row r="65544" spans="1:6" ht="16">
      <c r="A65544" s="347" t="s">
        <v>499</v>
      </c>
      <c r="B65544" s="348" t="s">
        <v>571</v>
      </c>
      <c r="C65544" s="349">
        <v>2.0743237044383835E-2</v>
      </c>
      <c r="D65544" s="349">
        <f t="shared" si="4"/>
        <v>7.2846542568870451E-2</v>
      </c>
      <c r="E65544" s="349">
        <v>2.7846542568870453E-2</v>
      </c>
      <c r="F65544" s="349">
        <v>0.1898</v>
      </c>
    </row>
    <row r="65545" spans="1:6" ht="16">
      <c r="A65545" s="347" t="s">
        <v>246</v>
      </c>
      <c r="B65545" s="348" t="s">
        <v>581</v>
      </c>
      <c r="C65545" s="349">
        <v>7.0808704231754685E-2</v>
      </c>
      <c r="D65545" s="349">
        <f t="shared" si="4"/>
        <v>0.14005640765793431</v>
      </c>
      <c r="E65545" s="349">
        <v>9.5056407657934314E-2</v>
      </c>
      <c r="F65545" s="349">
        <v>0.25</v>
      </c>
    </row>
    <row r="65546" spans="1:6" ht="16">
      <c r="A65546" s="347" t="s">
        <v>848</v>
      </c>
      <c r="B65546" s="154" t="s">
        <v>687</v>
      </c>
      <c r="C65546" s="277">
        <v>0.1054310997313879</v>
      </c>
      <c r="D65546" s="349">
        <f t="shared" si="4"/>
        <v>0.23253488197001548</v>
      </c>
      <c r="E65546" s="277">
        <v>0.1875348819700155</v>
      </c>
      <c r="F65546" s="277">
        <v>0.2724561140242252</v>
      </c>
    </row>
    <row r="65547" spans="1:6" ht="16">
      <c r="A65547" s="347" t="s">
        <v>849</v>
      </c>
      <c r="B65547" s="154" t="s">
        <v>687</v>
      </c>
      <c r="C65547" s="277">
        <v>0.1054310997313879</v>
      </c>
      <c r="D65547" s="349">
        <f t="shared" si="4"/>
        <v>0.23253488197001548</v>
      </c>
      <c r="E65547" s="277">
        <v>0.1875348819700155</v>
      </c>
      <c r="F65547" s="277">
        <v>0.2724561140242252</v>
      </c>
    </row>
    <row r="65548" spans="1:6" ht="16">
      <c r="A65548" s="347" t="s">
        <v>247</v>
      </c>
      <c r="B65548" s="348" t="s">
        <v>688</v>
      </c>
      <c r="C65548" s="349">
        <v>0.13073361124886354</v>
      </c>
      <c r="D65548" s="349">
        <f t="shared" si="4"/>
        <v>0.22050197507911562</v>
      </c>
      <c r="E65548" s="349">
        <v>0.17550197507911564</v>
      </c>
      <c r="F65548" s="349">
        <v>0.35</v>
      </c>
    </row>
    <row r="65549" spans="1:6" ht="16">
      <c r="A65549" s="347" t="s">
        <v>248</v>
      </c>
      <c r="B65549" s="348" t="s">
        <v>578</v>
      </c>
      <c r="C65549" s="349">
        <v>3.9181669972725021E-2</v>
      </c>
      <c r="D65549" s="349">
        <f t="shared" si="4"/>
        <v>9.7599024852310853E-2</v>
      </c>
      <c r="E65549" s="349">
        <v>5.2599024852310855E-2</v>
      </c>
      <c r="F65549" s="349">
        <v>0.18</v>
      </c>
    </row>
    <row r="65550" spans="1:6" ht="16">
      <c r="A65550" s="347" t="s">
        <v>249</v>
      </c>
      <c r="B65550" s="348" t="s">
        <v>571</v>
      </c>
      <c r="C65550" s="349">
        <v>2.0743237044383835E-2</v>
      </c>
      <c r="D65550" s="349">
        <f t="shared" si="4"/>
        <v>7.2846542568870451E-2</v>
      </c>
      <c r="E65550" s="349">
        <v>2.7846542568870453E-2</v>
      </c>
      <c r="F65550" s="349">
        <v>0.25</v>
      </c>
    </row>
    <row r="65551" spans="1:6" ht="16">
      <c r="A65551" s="347" t="s">
        <v>250</v>
      </c>
      <c r="B65551" s="348" t="s">
        <v>574</v>
      </c>
      <c r="C65551" s="349">
        <v>0</v>
      </c>
      <c r="D65551" s="349">
        <f t="shared" si="4"/>
        <v>4.4999999999999998E-2</v>
      </c>
      <c r="E65551" s="349">
        <v>0</v>
      </c>
      <c r="F65551" s="349">
        <v>0.3</v>
      </c>
    </row>
    <row r="65552" spans="1:6" ht="16">
      <c r="A65552" s="347" t="s">
        <v>251</v>
      </c>
      <c r="B65552" s="348" t="s">
        <v>575</v>
      </c>
      <c r="C65552" s="349">
        <v>4.3535188858583353E-3</v>
      </c>
      <c r="D65552" s="349">
        <f t="shared" si="4"/>
        <v>5.0844336094701202E-2</v>
      </c>
      <c r="E65552" s="349">
        <v>5.8443360947012038E-3</v>
      </c>
      <c r="F65552" s="349">
        <v>0.24</v>
      </c>
    </row>
    <row r="65553" spans="1:6" ht="16">
      <c r="A65553" s="347" t="s">
        <v>358</v>
      </c>
      <c r="B65553" s="348" t="s">
        <v>589</v>
      </c>
      <c r="C65553" s="349">
        <v>2.7273515373171343E-2</v>
      </c>
      <c r="D65553" s="349">
        <f t="shared" si="4"/>
        <v>8.161304671092226E-2</v>
      </c>
      <c r="E65553" s="349">
        <v>3.6613046710922262E-2</v>
      </c>
      <c r="F65553" s="349">
        <v>0.2</v>
      </c>
    </row>
    <row r="65554" spans="1:6" ht="16">
      <c r="A65554" s="347" t="s">
        <v>252</v>
      </c>
      <c r="B65554" s="348" t="s">
        <v>569</v>
      </c>
      <c r="C65554" s="349">
        <v>4.9041109802463012E-2</v>
      </c>
      <c r="D65554" s="349">
        <f t="shared" si="4"/>
        <v>0.11083472718442829</v>
      </c>
      <c r="E65554" s="349">
        <v>6.5834727184428288E-2</v>
      </c>
      <c r="F65554" s="349">
        <v>0</v>
      </c>
    </row>
    <row r="65555" spans="1:6" ht="16">
      <c r="A65555" s="347" t="s">
        <v>253</v>
      </c>
      <c r="B65555" s="348" t="s">
        <v>572</v>
      </c>
      <c r="C65555" s="349">
        <v>5.9924907017108855E-2</v>
      </c>
      <c r="D65555" s="349">
        <f t="shared" si="4"/>
        <v>0.12544556742118129</v>
      </c>
      <c r="E65555" s="349">
        <v>8.0445567421181294E-2</v>
      </c>
      <c r="F65555" s="349">
        <v>0</v>
      </c>
    </row>
    <row r="65556" spans="1:6" ht="16">
      <c r="A65556" s="347" t="s">
        <v>254</v>
      </c>
      <c r="B65556" s="348" t="s">
        <v>569</v>
      </c>
      <c r="C65556" s="349">
        <v>4.9041109802463012E-2</v>
      </c>
      <c r="D65556" s="349">
        <f t="shared" si="4"/>
        <v>0.11083472718442829</v>
      </c>
      <c r="E65556" s="349">
        <v>6.5834727184428288E-2</v>
      </c>
      <c r="F65556" s="349">
        <v>0.3</v>
      </c>
    </row>
    <row r="65557" spans="1:6" ht="16">
      <c r="A65557" s="347" t="s">
        <v>255</v>
      </c>
      <c r="B65557" s="348" t="s">
        <v>581</v>
      </c>
      <c r="C65557" s="349">
        <v>7.0808704231754685E-2</v>
      </c>
      <c r="D65557" s="349">
        <f t="shared" si="4"/>
        <v>0.14005640765793431</v>
      </c>
      <c r="E65557" s="349">
        <v>9.5056407657934314E-2</v>
      </c>
      <c r="F65557" s="349">
        <v>5.5E-2</v>
      </c>
    </row>
    <row r="65558" spans="1:6" ht="16">
      <c r="A65558" s="347" t="s">
        <v>256</v>
      </c>
      <c r="B65558" s="348" t="s">
        <v>615</v>
      </c>
      <c r="C65558" s="349">
        <v>0.17499999999999999</v>
      </c>
      <c r="D65558" s="349">
        <f t="shared" si="4"/>
        <v>0.27992692770782934</v>
      </c>
      <c r="E65558" s="349">
        <v>0.23492692770782936</v>
      </c>
      <c r="F65558" s="349">
        <v>0.18</v>
      </c>
    </row>
    <row r="65559" spans="1:6" ht="16">
      <c r="A65559" s="347" t="s">
        <v>257</v>
      </c>
      <c r="B65559" s="348" t="s">
        <v>580</v>
      </c>
      <c r="C65559" s="349">
        <v>6.5302783287875029E-3</v>
      </c>
      <c r="D65559" s="349">
        <f t="shared" si="4"/>
        <v>5.3766504142051808E-2</v>
      </c>
      <c r="E65559" s="349">
        <v>8.7665041420518092E-3</v>
      </c>
      <c r="F65559" s="349">
        <v>0.25</v>
      </c>
    </row>
    <row r="65560" spans="1:6" ht="16">
      <c r="A65560" s="347" t="s">
        <v>361</v>
      </c>
      <c r="B65560" s="348" t="s">
        <v>586</v>
      </c>
      <c r="C65560" s="349">
        <v>9.8082219604926024E-2</v>
      </c>
      <c r="D65560" s="349">
        <f t="shared" si="4"/>
        <v>0.17666945436885656</v>
      </c>
      <c r="E65560" s="349">
        <v>0.13166945436885658</v>
      </c>
      <c r="F65560" s="349">
        <v>0.2853</v>
      </c>
    </row>
    <row r="65561" spans="1:6" ht="16">
      <c r="A65561" s="347" t="s">
        <v>582</v>
      </c>
      <c r="B65561" s="348" t="s">
        <v>569</v>
      </c>
      <c r="C65561" s="349">
        <v>4.9041109802463012E-2</v>
      </c>
      <c r="D65561" s="349">
        <f t="shared" si="4"/>
        <v>0.11083472718442829</v>
      </c>
      <c r="E65561" s="349">
        <v>6.5834727184428288E-2</v>
      </c>
      <c r="F65561" s="349">
        <v>0.3</v>
      </c>
    </row>
    <row r="65562" spans="1:6" ht="16">
      <c r="A65562" s="347" t="s">
        <v>258</v>
      </c>
      <c r="B65562" s="348" t="s">
        <v>583</v>
      </c>
      <c r="C65562" s="349">
        <v>9.2192164641705932E-3</v>
      </c>
      <c r="D65562" s="349">
        <f t="shared" si="4"/>
        <v>5.73762411417202E-2</v>
      </c>
      <c r="E65562" s="349">
        <v>1.2376241141720201E-2</v>
      </c>
      <c r="F65562" s="349">
        <v>0</v>
      </c>
    </row>
    <row r="65563" spans="1:6" ht="16">
      <c r="A65563" s="347" t="s">
        <v>259</v>
      </c>
      <c r="B65563" s="348" t="s">
        <v>579</v>
      </c>
      <c r="C65563" s="349">
        <v>8.1692501446400528E-2</v>
      </c>
      <c r="D65563" s="349">
        <f t="shared" si="4"/>
        <v>0.15466724789468733</v>
      </c>
      <c r="E65563" s="349">
        <v>0.10966724789468733</v>
      </c>
      <c r="F65563" s="349">
        <v>0.25</v>
      </c>
    </row>
    <row r="65564" spans="1:6" ht="16">
      <c r="A65564" s="347" t="s">
        <v>260</v>
      </c>
      <c r="B65564" s="348" t="s">
        <v>581</v>
      </c>
      <c r="C65564" s="349">
        <v>7.0808704231754685E-2</v>
      </c>
      <c r="D65564" s="349">
        <f t="shared" si="4"/>
        <v>0.14005640765793431</v>
      </c>
      <c r="E65564" s="349">
        <v>9.5056407657934314E-2</v>
      </c>
      <c r="F65564" s="349">
        <v>0.1</v>
      </c>
    </row>
    <row r="65565" spans="1:6" ht="16">
      <c r="A65565" s="347" t="s">
        <v>261</v>
      </c>
      <c r="B65565" s="348" t="s">
        <v>587</v>
      </c>
      <c r="C65565" s="349">
        <v>1.3060556657575006E-2</v>
      </c>
      <c r="D65565" s="349">
        <f t="shared" si="4"/>
        <v>6.2533008284103617E-2</v>
      </c>
      <c r="E65565" s="349">
        <v>1.7533008284103618E-2</v>
      </c>
      <c r="F65565" s="349">
        <v>0.22</v>
      </c>
    </row>
    <row r="65566" spans="1:6" ht="16">
      <c r="A65566" s="347" t="s">
        <v>262</v>
      </c>
      <c r="B65566" s="348" t="s">
        <v>576</v>
      </c>
      <c r="C65566" s="349">
        <v>3.2779436317050999E-2</v>
      </c>
      <c r="D65566" s="349">
        <f t="shared" si="4"/>
        <v>8.9004412948338496E-2</v>
      </c>
      <c r="E65566" s="349">
        <v>4.4004412948338498E-2</v>
      </c>
      <c r="F65566" s="349">
        <v>0.34</v>
      </c>
    </row>
    <row r="65567" spans="1:6" ht="16">
      <c r="A65567" s="347" t="s">
        <v>850</v>
      </c>
      <c r="B65567" s="348" t="s">
        <v>576</v>
      </c>
      <c r="C65567" s="349">
        <v>3.2779436317050999E-2</v>
      </c>
      <c r="D65567" s="349">
        <f t="shared" si="4"/>
        <v>8.9004412948338496E-2</v>
      </c>
      <c r="E65567" s="349">
        <v>4.4004412948338498E-2</v>
      </c>
      <c r="F65567" s="349">
        <v>0.34</v>
      </c>
    </row>
    <row r="65568" spans="1:6" ht="16">
      <c r="A65568" s="351" t="s">
        <v>584</v>
      </c>
      <c r="B65568" s="348" t="s">
        <v>687</v>
      </c>
      <c r="C65568" s="349">
        <v>6.5302783287875029E-3</v>
      </c>
      <c r="D65568" s="349">
        <f t="shared" si="4"/>
        <v>5.3766504142051808E-2</v>
      </c>
      <c r="E65568" s="349">
        <v>8.7665041420518092E-3</v>
      </c>
      <c r="F65568" s="349">
        <v>0.185</v>
      </c>
    </row>
    <row r="65569" spans="1:6" ht="16">
      <c r="A65569" s="347" t="s">
        <v>263</v>
      </c>
      <c r="B65569" s="348" t="s">
        <v>573</v>
      </c>
      <c r="C65569" s="349">
        <v>1.7414075543433341E-2</v>
      </c>
      <c r="D65569" s="349">
        <f t="shared" si="4"/>
        <v>6.8377344378804827E-2</v>
      </c>
      <c r="E65569" s="349">
        <v>2.3377344378804829E-2</v>
      </c>
      <c r="F65569" s="349">
        <v>0.1</v>
      </c>
    </row>
    <row r="65570" spans="1:6" ht="16">
      <c r="A65570" s="347" t="s">
        <v>482</v>
      </c>
      <c r="B65570" s="348" t="s">
        <v>579</v>
      </c>
      <c r="C65570" s="349">
        <v>8.1692501446400528E-2</v>
      </c>
      <c r="D65570" s="349">
        <f t="shared" si="4"/>
        <v>0.15466724789468733</v>
      </c>
      <c r="E65570" s="349">
        <v>0.10966724789468733</v>
      </c>
      <c r="F65570" s="349">
        <v>0.28000000000000003</v>
      </c>
    </row>
    <row r="65571" spans="1:6" ht="16">
      <c r="A65571" s="347" t="s">
        <v>264</v>
      </c>
      <c r="B65571" s="348" t="s">
        <v>572</v>
      </c>
      <c r="C65571" s="349">
        <v>5.9924907017108855E-2</v>
      </c>
      <c r="D65571" s="349">
        <f t="shared" si="4"/>
        <v>0.12544556742118129</v>
      </c>
      <c r="E65571" s="349">
        <v>8.0445567421181294E-2</v>
      </c>
      <c r="F65571" s="349">
        <v>0.2</v>
      </c>
    </row>
    <row r="65572" spans="1:6" ht="16">
      <c r="A65572" s="347" t="s">
        <v>483</v>
      </c>
      <c r="B65572" s="348" t="s">
        <v>579</v>
      </c>
      <c r="C65572" s="349">
        <v>8.1692501446400528E-2</v>
      </c>
      <c r="D65572" s="349">
        <f t="shared" si="4"/>
        <v>0.15466724789468733</v>
      </c>
      <c r="E65572" s="349">
        <v>0.10966724789468733</v>
      </c>
      <c r="F65572" s="349">
        <v>0.33</v>
      </c>
    </row>
    <row r="65573" spans="1:6" ht="16">
      <c r="A65573" s="347" t="s">
        <v>265</v>
      </c>
      <c r="B65573" s="348" t="s">
        <v>574</v>
      </c>
      <c r="C65573" s="349">
        <v>0</v>
      </c>
      <c r="D65573" s="349">
        <f t="shared" si="4"/>
        <v>4.4999999999999998E-2</v>
      </c>
      <c r="E65573" s="349">
        <v>0</v>
      </c>
      <c r="F65573" s="349">
        <v>0.26500000000000001</v>
      </c>
    </row>
    <row r="65574" spans="1:6" ht="16">
      <c r="A65574" s="347" t="s">
        <v>484</v>
      </c>
      <c r="B65574" s="348" t="s">
        <v>581</v>
      </c>
      <c r="C65574" s="349">
        <v>7.0808704231754685E-2</v>
      </c>
      <c r="D65574" s="349">
        <f t="shared" si="4"/>
        <v>0.14005640765793431</v>
      </c>
      <c r="E65574" s="349">
        <v>9.5056407657934314E-2</v>
      </c>
      <c r="F65574" s="349">
        <v>0</v>
      </c>
    </row>
    <row r="65575" spans="1:6" ht="16">
      <c r="A65575" s="347" t="s">
        <v>266</v>
      </c>
      <c r="B65575" s="348" t="s">
        <v>580</v>
      </c>
      <c r="C65575" s="349">
        <v>6.5302783287875029E-3</v>
      </c>
      <c r="D65575" s="349">
        <f t="shared" si="4"/>
        <v>5.3766504142051808E-2</v>
      </c>
      <c r="E65575" s="349">
        <v>8.7665041420518092E-3</v>
      </c>
      <c r="F65575" s="349">
        <v>0</v>
      </c>
    </row>
    <row r="65576" spans="1:6" ht="16">
      <c r="A65576" s="347" t="s">
        <v>851</v>
      </c>
      <c r="B65576" s="154" t="s">
        <v>687</v>
      </c>
      <c r="C65576" s="277">
        <v>9.5882201472833571E-3</v>
      </c>
      <c r="D65576" s="349">
        <f t="shared" si="4"/>
        <v>0.10387160629364336</v>
      </c>
      <c r="E65576" s="277">
        <v>5.8871606293643367E-2</v>
      </c>
      <c r="F65576" s="277">
        <v>0.24707349543413576</v>
      </c>
    </row>
    <row r="65577" spans="1:6" ht="16">
      <c r="A65577" s="347" t="s">
        <v>267</v>
      </c>
      <c r="B65577" s="348" t="s">
        <v>583</v>
      </c>
      <c r="C65577" s="349">
        <v>9.2192164641705932E-3</v>
      </c>
      <c r="D65577" s="349">
        <f t="shared" si="4"/>
        <v>5.73762411417202E-2</v>
      </c>
      <c r="E65577" s="349">
        <v>1.2376241141720201E-2</v>
      </c>
      <c r="F65577" s="349">
        <v>0.27</v>
      </c>
    </row>
    <row r="65578" spans="1:6" ht="16">
      <c r="A65578" s="347" t="s">
        <v>268</v>
      </c>
      <c r="B65578" s="348" t="s">
        <v>585</v>
      </c>
      <c r="C65578" s="349">
        <v>7.6826803868088279E-3</v>
      </c>
      <c r="D65578" s="349">
        <f t="shared" si="4"/>
        <v>5.5313534284766833E-2</v>
      </c>
      <c r="E65578" s="349">
        <v>1.0313534284766834E-2</v>
      </c>
      <c r="F65578" s="349">
        <v>0.25</v>
      </c>
    </row>
    <row r="65579" spans="1:6" ht="16">
      <c r="A65579" s="347" t="s">
        <v>269</v>
      </c>
      <c r="B65579" s="348" t="s">
        <v>571</v>
      </c>
      <c r="C65579" s="349">
        <v>2.0743237044383835E-2</v>
      </c>
      <c r="D65579" s="349">
        <f t="shared" si="4"/>
        <v>7.2846542568870451E-2</v>
      </c>
      <c r="E65579" s="349">
        <v>2.7846542568870453E-2</v>
      </c>
      <c r="F65579" s="349">
        <v>0.35</v>
      </c>
    </row>
    <row r="65580" spans="1:6" ht="16">
      <c r="A65580" s="347" t="s">
        <v>500</v>
      </c>
      <c r="B65580" s="348" t="s">
        <v>581</v>
      </c>
      <c r="C65580" s="349">
        <v>7.0808704231754685E-2</v>
      </c>
      <c r="D65580" s="349">
        <f t="shared" si="4"/>
        <v>0.14005640765793431</v>
      </c>
      <c r="E65580" s="349">
        <v>9.5056407657934314E-2</v>
      </c>
      <c r="F65580" s="349">
        <v>0.3</v>
      </c>
    </row>
    <row r="65581" spans="1:6" ht="16">
      <c r="A65581" s="347" t="s">
        <v>501</v>
      </c>
      <c r="B65581" s="348" t="s">
        <v>586</v>
      </c>
      <c r="C65581" s="349">
        <v>9.8082219604926024E-2</v>
      </c>
      <c r="D65581" s="349">
        <f t="shared" si="4"/>
        <v>0.17666945436885656</v>
      </c>
      <c r="E65581" s="349">
        <v>0.13166945436885658</v>
      </c>
      <c r="F65581" s="349">
        <v>0.28000000000000003</v>
      </c>
    </row>
    <row r="65582" spans="1:6" ht="16">
      <c r="A65582" s="347" t="s">
        <v>485</v>
      </c>
      <c r="B65582" s="348" t="s">
        <v>569</v>
      </c>
      <c r="C65582" s="349">
        <v>4.9041109802463012E-2</v>
      </c>
      <c r="D65582" s="349">
        <f t="shared" si="4"/>
        <v>0.11083472718442829</v>
      </c>
      <c r="E65582" s="349">
        <v>6.5834727184428288E-2</v>
      </c>
      <c r="F65582" s="349">
        <v>0.2974</v>
      </c>
    </row>
    <row r="65583" spans="1:6" ht="16">
      <c r="A65583" s="347" t="s">
        <v>270</v>
      </c>
      <c r="B65583" s="348" t="s">
        <v>569</v>
      </c>
      <c r="C65583" s="349">
        <v>4.9041109802463012E-2</v>
      </c>
      <c r="D65583" s="349">
        <f t="shared" si="4"/>
        <v>0.11083472718442829</v>
      </c>
      <c r="E65583" s="349">
        <v>6.5834727184428288E-2</v>
      </c>
      <c r="F65583" s="349">
        <v>0.3</v>
      </c>
    </row>
    <row r="65584" spans="1:6" ht="16">
      <c r="A65584" s="347" t="s">
        <v>271</v>
      </c>
      <c r="B65584" s="348" t="s">
        <v>571</v>
      </c>
      <c r="C65584" s="349">
        <v>2.0743237044383835E-2</v>
      </c>
      <c r="D65584" s="349">
        <f t="shared" si="4"/>
        <v>7.2846542568870451E-2</v>
      </c>
      <c r="E65584" s="349">
        <v>2.7846542568870453E-2</v>
      </c>
      <c r="F65584" s="349">
        <v>0.18</v>
      </c>
    </row>
    <row r="65585" spans="1:6" ht="16">
      <c r="A65585" s="347" t="s">
        <v>363</v>
      </c>
      <c r="B65585" s="348" t="s">
        <v>688</v>
      </c>
      <c r="C65585" s="349">
        <v>0.13073361124886354</v>
      </c>
      <c r="D65585" s="349">
        <f t="shared" si="4"/>
        <v>0.22050197507911562</v>
      </c>
      <c r="E65585" s="349">
        <v>0.17550197507911564</v>
      </c>
      <c r="F65585" s="349">
        <v>0.2853</v>
      </c>
    </row>
    <row r="65586" spans="1:6" ht="16">
      <c r="A65586" s="352" t="s">
        <v>852</v>
      </c>
      <c r="B65586" s="348" t="s">
        <v>571</v>
      </c>
      <c r="C65586" s="349">
        <v>2.0743237044383835E-2</v>
      </c>
      <c r="D65586" s="349">
        <f t="shared" si="4"/>
        <v>7.2846542568870451E-2</v>
      </c>
      <c r="E65586" s="349">
        <v>2.7846542568870453E-2</v>
      </c>
      <c r="F65586" s="349">
        <v>0.22</v>
      </c>
    </row>
    <row r="65587" spans="1:6" ht="16">
      <c r="A65587" s="347" t="s">
        <v>272</v>
      </c>
      <c r="B65587" s="348" t="s">
        <v>571</v>
      </c>
      <c r="C65587" s="349">
        <v>2.0743237044383835E-2</v>
      </c>
      <c r="D65587" s="349">
        <f t="shared" si="4"/>
        <v>7.2846542568870451E-2</v>
      </c>
      <c r="E65587" s="349">
        <v>2.7846542568870453E-2</v>
      </c>
      <c r="F65587" s="349">
        <v>0.125</v>
      </c>
    </row>
    <row r="65588" spans="1:6" ht="16">
      <c r="A65588" s="347" t="s">
        <v>273</v>
      </c>
      <c r="B65588" s="348" t="s">
        <v>580</v>
      </c>
      <c r="C65588" s="349">
        <v>6.5302783287875029E-3</v>
      </c>
      <c r="D65588" s="349">
        <f t="shared" si="4"/>
        <v>5.3766504142051808E-2</v>
      </c>
      <c r="E65588" s="349">
        <v>8.7665041420518092E-3</v>
      </c>
      <c r="F65588" s="349">
        <v>0.19</v>
      </c>
    </row>
    <row r="65589" spans="1:6" ht="16">
      <c r="A65589" s="347" t="s">
        <v>274</v>
      </c>
      <c r="B65589" s="348" t="s">
        <v>574</v>
      </c>
      <c r="C65589" s="349">
        <v>0</v>
      </c>
      <c r="D65589" s="349">
        <f t="shared" si="4"/>
        <v>4.4999999999999998E-2</v>
      </c>
      <c r="E65589" s="349">
        <v>0</v>
      </c>
      <c r="F65589" s="349">
        <v>0.22</v>
      </c>
    </row>
    <row r="65590" spans="1:6" ht="16">
      <c r="A65590" s="347" t="s">
        <v>275</v>
      </c>
      <c r="B65590" s="348" t="s">
        <v>578</v>
      </c>
      <c r="C65590" s="349">
        <v>3.9181669972725021E-2</v>
      </c>
      <c r="D65590" s="349">
        <f t="shared" si="4"/>
        <v>9.7599024852310853E-2</v>
      </c>
      <c r="E65590" s="349">
        <v>5.2599024852310855E-2</v>
      </c>
      <c r="F65590" s="349">
        <v>0.27</v>
      </c>
    </row>
    <row r="65591" spans="1:6" ht="16">
      <c r="A65591" s="347" t="s">
        <v>276</v>
      </c>
      <c r="B65591" s="348" t="s">
        <v>689</v>
      </c>
      <c r="C65591" s="349">
        <v>0.10896601681957188</v>
      </c>
      <c r="D65591" s="349">
        <f t="shared" si="4"/>
        <v>0.19128029460560964</v>
      </c>
      <c r="E65591" s="349">
        <v>0.14628029460560965</v>
      </c>
      <c r="F65591" s="349">
        <v>0.25</v>
      </c>
    </row>
    <row r="65592" spans="1:6" ht="16">
      <c r="A65592" s="347" t="s">
        <v>277</v>
      </c>
      <c r="B65592" s="348" t="s">
        <v>579</v>
      </c>
      <c r="C65592" s="349">
        <v>8.1692501446400528E-2</v>
      </c>
      <c r="D65592" s="349">
        <f t="shared" si="4"/>
        <v>0.15466724789468733</v>
      </c>
      <c r="E65592" s="349">
        <v>0.10966724789468733</v>
      </c>
      <c r="F65592" s="349">
        <v>0.22500000000000001</v>
      </c>
    </row>
    <row r="65593" spans="1:6" ht="16">
      <c r="A65593" s="347" t="s">
        <v>364</v>
      </c>
      <c r="B65593" s="348" t="s">
        <v>689</v>
      </c>
      <c r="C65593" s="349">
        <v>0.10896601681957188</v>
      </c>
      <c r="D65593" s="349">
        <f t="shared" si="4"/>
        <v>0.19128029460560964</v>
      </c>
      <c r="E65593" s="349">
        <v>0.14628029460560965</v>
      </c>
      <c r="F65593" s="349">
        <v>0.3</v>
      </c>
    </row>
    <row r="65594" spans="1:6" ht="16">
      <c r="A65594" s="347" t="s">
        <v>278</v>
      </c>
      <c r="B65594" s="348" t="s">
        <v>585</v>
      </c>
      <c r="C65594" s="349">
        <v>7.6826803868088279E-3</v>
      </c>
      <c r="D65594" s="349">
        <f t="shared" si="4"/>
        <v>5.5313534284766833E-2</v>
      </c>
      <c r="E65594" s="349">
        <v>1.0313534284766834E-2</v>
      </c>
      <c r="F65594" s="349">
        <v>0.2</v>
      </c>
    </row>
    <row r="65595" spans="1:6" ht="16">
      <c r="A65595" s="347" t="s">
        <v>502</v>
      </c>
      <c r="B65595" s="348" t="s">
        <v>586</v>
      </c>
      <c r="C65595" s="349">
        <v>9.8082219604926024E-2</v>
      </c>
      <c r="D65595" s="349">
        <f t="shared" si="4"/>
        <v>0.17666945436885656</v>
      </c>
      <c r="E65595" s="349">
        <v>0.13166945436885658</v>
      </c>
      <c r="F65595" s="349">
        <v>0.3</v>
      </c>
    </row>
    <row r="65596" spans="1:6" ht="16">
      <c r="A65596" s="347" t="s">
        <v>853</v>
      </c>
      <c r="B65596" s="154" t="s">
        <v>687</v>
      </c>
      <c r="C65596" s="277">
        <v>4.2915086193622262E-2</v>
      </c>
      <c r="D65596" s="349">
        <f t="shared" si="4"/>
        <v>0.14861091058162493</v>
      </c>
      <c r="E65596" s="277">
        <v>0.10361091058162493</v>
      </c>
      <c r="F65596" s="277">
        <v>0.31595749426030023</v>
      </c>
    </row>
    <row r="65597" spans="1:6" ht="16">
      <c r="A65597" s="347" t="s">
        <v>279</v>
      </c>
      <c r="B65597" s="348" t="s">
        <v>569</v>
      </c>
      <c r="C65597" s="349">
        <v>4.9041109802463012E-2</v>
      </c>
      <c r="D65597" s="349">
        <f t="shared" si="4"/>
        <v>0.11083472718442829</v>
      </c>
      <c r="E65597" s="349">
        <v>6.5834727184428288E-2</v>
      </c>
      <c r="F65597" s="349">
        <v>0.2</v>
      </c>
    </row>
    <row r="65598" spans="1:6" ht="16">
      <c r="A65598" s="347" t="s">
        <v>280</v>
      </c>
      <c r="B65598" s="348" t="s">
        <v>575</v>
      </c>
      <c r="C65598" s="349">
        <v>4.3535188858583353E-3</v>
      </c>
      <c r="D65598" s="349">
        <f t="shared" si="4"/>
        <v>5.0844336094701202E-2</v>
      </c>
      <c r="E65598" s="349">
        <v>5.8443360947012038E-3</v>
      </c>
      <c r="F65598" s="349">
        <v>0.2</v>
      </c>
    </row>
    <row r="65599" spans="1:6" ht="16">
      <c r="A65599" s="347" t="s">
        <v>281</v>
      </c>
      <c r="B65599" s="348" t="s">
        <v>568</v>
      </c>
      <c r="C65599" s="349">
        <v>5.3778762707661788E-3</v>
      </c>
      <c r="D65599" s="349">
        <f t="shared" si="4"/>
        <v>5.2219473999336782E-2</v>
      </c>
      <c r="E65599" s="349">
        <v>7.219473999336784E-3</v>
      </c>
      <c r="F65599" s="349">
        <v>0.25</v>
      </c>
    </row>
    <row r="65600" spans="1:6" ht="16">
      <c r="A65600" s="347" t="s">
        <v>854</v>
      </c>
      <c r="B65600" s="154" t="s">
        <v>687</v>
      </c>
      <c r="C65600" s="277">
        <v>4.2915086193622262E-2</v>
      </c>
      <c r="D65600" s="349">
        <f t="shared" si="4"/>
        <v>0.14861091058162493</v>
      </c>
      <c r="E65600" s="277">
        <v>0.10361091058162493</v>
      </c>
      <c r="F65600" s="277">
        <v>0.31595749426030023</v>
      </c>
    </row>
    <row r="65601" spans="1:6" ht="16">
      <c r="A65601" s="347" t="s">
        <v>486</v>
      </c>
      <c r="B65601" s="348" t="s">
        <v>579</v>
      </c>
      <c r="C65601" s="349">
        <v>8.1692501446400528E-2</v>
      </c>
      <c r="D65601" s="349">
        <f t="shared" si="4"/>
        <v>0.15466724789468733</v>
      </c>
      <c r="E65601" s="349">
        <v>0.10966724789468733</v>
      </c>
      <c r="F65601" s="349">
        <v>0.3</v>
      </c>
    </row>
    <row r="65602" spans="1:6" ht="16">
      <c r="A65602" s="350" t="s">
        <v>588</v>
      </c>
      <c r="B65602" s="348" t="s">
        <v>687</v>
      </c>
      <c r="C65602" s="349">
        <v>4.9041109802463012E-2</v>
      </c>
      <c r="D65602" s="349">
        <f t="shared" si="4"/>
        <v>0.11083472718442829</v>
      </c>
      <c r="E65602" s="349">
        <v>6.5834727184428288E-2</v>
      </c>
      <c r="F65602" s="349">
        <v>0.31</v>
      </c>
    </row>
    <row r="65603" spans="1:6" ht="16">
      <c r="A65603" s="347" t="s">
        <v>365</v>
      </c>
      <c r="B65603" s="348" t="s">
        <v>576</v>
      </c>
      <c r="C65603" s="349">
        <v>3.2779436317050999E-2</v>
      </c>
      <c r="D65603" s="349">
        <f t="shared" si="4"/>
        <v>8.9004412948338496E-2</v>
      </c>
      <c r="E65603" s="349">
        <v>4.4004412948338498E-2</v>
      </c>
      <c r="F65603" s="349">
        <v>0.15</v>
      </c>
    </row>
    <row r="65604" spans="1:6" ht="16">
      <c r="A65604" s="347" t="s">
        <v>282</v>
      </c>
      <c r="B65604" s="348" t="s">
        <v>574</v>
      </c>
      <c r="C65604" s="349">
        <v>0</v>
      </c>
      <c r="D65604" s="349">
        <f t="shared" si="4"/>
        <v>4.4999999999999998E-2</v>
      </c>
      <c r="E65604" s="349">
        <v>0</v>
      </c>
      <c r="F65604" s="349">
        <v>0.3</v>
      </c>
    </row>
    <row r="65605" spans="1:6" ht="16">
      <c r="A65605" s="347" t="s">
        <v>487</v>
      </c>
      <c r="B65605" s="348" t="s">
        <v>689</v>
      </c>
      <c r="C65605" s="349">
        <v>0.10896601681957188</v>
      </c>
      <c r="D65605" s="349">
        <f t="shared" si="4"/>
        <v>0.19128029460560964</v>
      </c>
      <c r="E65605" s="349">
        <v>0.14628029460560965</v>
      </c>
      <c r="F65605" s="349">
        <v>0.25</v>
      </c>
    </row>
    <row r="65606" spans="1:6" ht="16">
      <c r="A65606" s="347" t="s">
        <v>855</v>
      </c>
      <c r="B65606" s="154" t="s">
        <v>687</v>
      </c>
      <c r="C65606" s="277">
        <v>9.5882201472833571E-3</v>
      </c>
      <c r="D65606" s="349">
        <f t="shared" ref="D65606:D65669" si="5">$B$1+E65606</f>
        <v>0.10387160629364336</v>
      </c>
      <c r="E65606" s="277">
        <v>5.8871606293643367E-2</v>
      </c>
      <c r="F65606" s="277">
        <v>0.24707349543413576</v>
      </c>
    </row>
    <row r="65607" spans="1:6" ht="16">
      <c r="A65607" s="347" t="s">
        <v>283</v>
      </c>
      <c r="B65607" s="348" t="s">
        <v>589</v>
      </c>
      <c r="C65607" s="349">
        <v>2.7273515373171343E-2</v>
      </c>
      <c r="D65607" s="349">
        <f t="shared" si="5"/>
        <v>8.161304671092226E-2</v>
      </c>
      <c r="E65607" s="349">
        <v>3.6613046710922262E-2</v>
      </c>
      <c r="F65607" s="349">
        <v>0.22</v>
      </c>
    </row>
    <row r="65608" spans="1:6" ht="16">
      <c r="A65608" s="347" t="s">
        <v>856</v>
      </c>
      <c r="B65608" s="154" t="s">
        <v>687</v>
      </c>
      <c r="C65608" s="277">
        <f>J65608</f>
        <v>0</v>
      </c>
      <c r="D65608" s="349">
        <f t="shared" si="5"/>
        <v>4.4999999999999998E-2</v>
      </c>
      <c r="E65608" s="277">
        <f>H65608</f>
        <v>0</v>
      </c>
      <c r="F65608" s="277">
        <f>K65608</f>
        <v>0</v>
      </c>
    </row>
    <row r="65609" spans="1:6" ht="16">
      <c r="A65609" s="347" t="s">
        <v>284</v>
      </c>
      <c r="B65609" s="348" t="s">
        <v>589</v>
      </c>
      <c r="C65609" s="349">
        <v>2.7273515373171343E-2</v>
      </c>
      <c r="D65609" s="349">
        <f t="shared" si="5"/>
        <v>8.161304671092226E-2</v>
      </c>
      <c r="E65609" s="349">
        <v>3.6613046710922262E-2</v>
      </c>
      <c r="F65609" s="349">
        <v>0.25</v>
      </c>
    </row>
    <row r="65610" spans="1:6" ht="16">
      <c r="A65610" s="347" t="s">
        <v>690</v>
      </c>
      <c r="B65610" s="348" t="s">
        <v>585</v>
      </c>
      <c r="C65610" s="349">
        <v>7.6826803868088279E-3</v>
      </c>
      <c r="D65610" s="349">
        <f t="shared" si="5"/>
        <v>5.5313534284766833E-2</v>
      </c>
      <c r="E65610" s="349">
        <v>1.0313534284766834E-2</v>
      </c>
      <c r="F65610" s="349">
        <v>0</v>
      </c>
    </row>
    <row r="65611" spans="1:6" ht="16">
      <c r="A65611" s="351" t="s">
        <v>590</v>
      </c>
      <c r="B65611" s="348" t="s">
        <v>687</v>
      </c>
      <c r="C65611" s="349">
        <v>9.8082219604926024E-2</v>
      </c>
      <c r="D65611" s="349">
        <f t="shared" si="5"/>
        <v>0.17666945436885656</v>
      </c>
      <c r="E65611" s="349">
        <v>0.13166945436885658</v>
      </c>
      <c r="F65611" s="349">
        <v>0.29149999999999998</v>
      </c>
    </row>
    <row r="65612" spans="1:6" ht="16">
      <c r="A65612" s="350" t="s">
        <v>591</v>
      </c>
      <c r="B65612" s="348" t="s">
        <v>687</v>
      </c>
      <c r="C65612" s="349">
        <v>5.9924907017108842E-2</v>
      </c>
      <c r="D65612" s="349">
        <f t="shared" si="5"/>
        <v>0.12544556742118129</v>
      </c>
      <c r="E65612" s="349">
        <v>8.0445567421181294E-2</v>
      </c>
      <c r="F65612" s="349">
        <v>0.29149999999999998</v>
      </c>
    </row>
    <row r="65613" spans="1:6" ht="16">
      <c r="A65613" s="351" t="s">
        <v>592</v>
      </c>
      <c r="B65613" s="348" t="s">
        <v>687</v>
      </c>
      <c r="C65613" s="349">
        <v>1.7414075543433345E-2</v>
      </c>
      <c r="D65613" s="349">
        <f t="shared" si="5"/>
        <v>6.8377344378804827E-2</v>
      </c>
      <c r="E65613" s="349">
        <v>2.3377344378804829E-2</v>
      </c>
      <c r="F65613" s="349">
        <v>0.18640000000000001</v>
      </c>
    </row>
    <row r="65614" spans="1:6" ht="16">
      <c r="A65614" s="350" t="s">
        <v>593</v>
      </c>
      <c r="B65614" s="348" t="s">
        <v>687</v>
      </c>
      <c r="C65614" s="349">
        <v>0.10896601681957191</v>
      </c>
      <c r="D65614" s="349">
        <f t="shared" si="5"/>
        <v>0.19128029460560964</v>
      </c>
      <c r="E65614" s="349">
        <v>0.14628029460560965</v>
      </c>
      <c r="F65614" s="349">
        <v>0.18640000000000001</v>
      </c>
    </row>
    <row r="65615" spans="1:6" ht="16">
      <c r="A65615" s="347" t="s">
        <v>285</v>
      </c>
      <c r="B65615" s="348" t="s">
        <v>569</v>
      </c>
      <c r="C65615" s="349">
        <v>4.9041109802463012E-2</v>
      </c>
      <c r="D65615" s="349">
        <f t="shared" si="5"/>
        <v>0.11083472718442829</v>
      </c>
      <c r="E65615" s="349">
        <v>6.5834727184428288E-2</v>
      </c>
      <c r="F65615" s="349">
        <v>0.25</v>
      </c>
    </row>
    <row r="65616" spans="1:6" ht="16">
      <c r="A65616" s="347" t="s">
        <v>286</v>
      </c>
      <c r="B65616" s="348" t="s">
        <v>580</v>
      </c>
      <c r="C65616" s="349">
        <v>6.5302783287875029E-3</v>
      </c>
      <c r="D65616" s="349">
        <f t="shared" si="5"/>
        <v>5.3766504142051808E-2</v>
      </c>
      <c r="E65616" s="349">
        <v>8.7665041420518092E-3</v>
      </c>
      <c r="F65616" s="349">
        <v>0.16500000000000001</v>
      </c>
    </row>
    <row r="65617" spans="1:6" ht="16">
      <c r="A65617" s="347" t="s">
        <v>287</v>
      </c>
      <c r="B65617" s="348" t="s">
        <v>571</v>
      </c>
      <c r="C65617" s="349">
        <v>2.0743237044383835E-2</v>
      </c>
      <c r="D65617" s="349">
        <f t="shared" si="5"/>
        <v>7.2846542568870451E-2</v>
      </c>
      <c r="E65617" s="349">
        <v>2.7846542568870453E-2</v>
      </c>
      <c r="F65617" s="349">
        <v>0.09</v>
      </c>
    </row>
    <row r="65618" spans="1:6" ht="16">
      <c r="A65618" s="347" t="s">
        <v>288</v>
      </c>
      <c r="B65618" s="348" t="s">
        <v>583</v>
      </c>
      <c r="C65618" s="349">
        <v>9.2192164641705932E-3</v>
      </c>
      <c r="D65618" s="349">
        <f t="shared" si="5"/>
        <v>5.73762411417202E-2</v>
      </c>
      <c r="E65618" s="349">
        <v>1.2376241141720201E-2</v>
      </c>
      <c r="F65618" s="349">
        <v>0.2</v>
      </c>
    </row>
    <row r="65619" spans="1:6" ht="16">
      <c r="A65619" s="347" t="s">
        <v>289</v>
      </c>
      <c r="B65619" s="348" t="s">
        <v>577</v>
      </c>
      <c r="C65619" s="349">
        <v>2.3944353872220846E-2</v>
      </c>
      <c r="D65619" s="349">
        <f t="shared" si="5"/>
        <v>7.7143848520856623E-2</v>
      </c>
      <c r="E65619" s="349">
        <v>3.2143848520856624E-2</v>
      </c>
      <c r="F65619" s="349">
        <v>0.3</v>
      </c>
    </row>
    <row r="65620" spans="1:6" ht="16">
      <c r="A65620" s="347" t="s">
        <v>290</v>
      </c>
      <c r="B65620" s="348" t="s">
        <v>571</v>
      </c>
      <c r="C65620" s="349">
        <v>2.0743237044383835E-2</v>
      </c>
      <c r="D65620" s="349">
        <f t="shared" si="5"/>
        <v>7.2846542568870451E-2</v>
      </c>
      <c r="E65620" s="349">
        <v>2.7846542568870453E-2</v>
      </c>
      <c r="F65620" s="349">
        <v>0.22</v>
      </c>
    </row>
    <row r="65621" spans="1:6" ht="16">
      <c r="A65621" s="351" t="s">
        <v>594</v>
      </c>
      <c r="B65621" s="348" t="s">
        <v>687</v>
      </c>
      <c r="C65621" s="349">
        <v>7.0808704231754685E-2</v>
      </c>
      <c r="D65621" s="349">
        <f t="shared" si="5"/>
        <v>0.14005640765793431</v>
      </c>
      <c r="E65621" s="349">
        <v>9.5056407657934314E-2</v>
      </c>
      <c r="F65621" s="349">
        <v>0.20230000000000001</v>
      </c>
    </row>
    <row r="65622" spans="1:6" ht="16">
      <c r="A65622" s="347" t="s">
        <v>559</v>
      </c>
      <c r="B65622" s="348" t="s">
        <v>579</v>
      </c>
      <c r="C65622" s="349">
        <v>8.1692501446400528E-2</v>
      </c>
      <c r="D65622" s="349">
        <f t="shared" si="5"/>
        <v>0.15466724789468733</v>
      </c>
      <c r="E65622" s="349">
        <v>0.10966724789468733</v>
      </c>
      <c r="F65622" s="349">
        <v>0.15</v>
      </c>
    </row>
    <row r="65623" spans="1:6" ht="16">
      <c r="A65623" s="347" t="s">
        <v>291</v>
      </c>
      <c r="B65623" s="348" t="s">
        <v>580</v>
      </c>
      <c r="C65623" s="349">
        <v>6.5302783287875029E-3</v>
      </c>
      <c r="D65623" s="349">
        <f t="shared" si="5"/>
        <v>5.3766504142051808E-2</v>
      </c>
      <c r="E65623" s="349">
        <v>8.7665041420518092E-3</v>
      </c>
      <c r="F65623" s="349">
        <v>0.125</v>
      </c>
    </row>
    <row r="65624" spans="1:6" ht="16">
      <c r="A65624" s="347" t="s">
        <v>292</v>
      </c>
      <c r="B65624" s="348" t="s">
        <v>580</v>
      </c>
      <c r="C65624" s="349">
        <v>6.5302783287875029E-3</v>
      </c>
      <c r="D65624" s="349">
        <f t="shared" si="5"/>
        <v>5.3766504142051808E-2</v>
      </c>
      <c r="E65624" s="349">
        <v>8.7665041420518092E-3</v>
      </c>
      <c r="F65624" s="349">
        <v>0</v>
      </c>
    </row>
    <row r="65625" spans="1:6" ht="16">
      <c r="A65625" s="347" t="s">
        <v>293</v>
      </c>
      <c r="B65625" s="348" t="s">
        <v>585</v>
      </c>
      <c r="C65625" s="349">
        <v>7.6826803868088279E-3</v>
      </c>
      <c r="D65625" s="349">
        <f t="shared" si="5"/>
        <v>5.5313534284766833E-2</v>
      </c>
      <c r="E65625" s="349">
        <v>1.0313534284766834E-2</v>
      </c>
      <c r="F65625" s="349">
        <v>0.23</v>
      </c>
    </row>
    <row r="65626" spans="1:6" ht="16">
      <c r="A65626" s="347" t="s">
        <v>294</v>
      </c>
      <c r="B65626" s="348" t="s">
        <v>577</v>
      </c>
      <c r="C65626" s="349">
        <v>2.3944353872220846E-2</v>
      </c>
      <c r="D65626" s="349">
        <f t="shared" si="5"/>
        <v>7.7143848520856623E-2</v>
      </c>
      <c r="E65626" s="349">
        <v>3.2143848520856624E-2</v>
      </c>
      <c r="F65626" s="349">
        <v>0.24</v>
      </c>
    </row>
    <row r="65627" spans="1:6" ht="16">
      <c r="A65627" s="347" t="s">
        <v>857</v>
      </c>
      <c r="B65627" s="348" t="s">
        <v>578</v>
      </c>
      <c r="C65627" s="349">
        <v>3.9181669972725021E-2</v>
      </c>
      <c r="D65627" s="349">
        <f t="shared" si="5"/>
        <v>9.7599024852310853E-2</v>
      </c>
      <c r="E65627" s="349">
        <v>5.2599024852310855E-2</v>
      </c>
      <c r="F65627" s="349">
        <v>0.25</v>
      </c>
    </row>
    <row r="65628" spans="1:6" ht="16">
      <c r="A65628" s="347" t="s">
        <v>295</v>
      </c>
      <c r="B65628" s="348" t="s">
        <v>569</v>
      </c>
      <c r="C65628" s="349">
        <v>4.9041109802463012E-2</v>
      </c>
      <c r="D65628" s="349">
        <f t="shared" si="5"/>
        <v>0.11083472718442829</v>
      </c>
      <c r="E65628" s="349">
        <v>6.5834727184428288E-2</v>
      </c>
      <c r="F65628" s="349">
        <v>0.25</v>
      </c>
    </row>
    <row r="65629" spans="1:6" ht="16">
      <c r="A65629" s="347" t="s">
        <v>296</v>
      </c>
      <c r="B65629" s="348" t="s">
        <v>585</v>
      </c>
      <c r="C65629" s="349">
        <v>7.6826803868088279E-3</v>
      </c>
      <c r="D65629" s="349">
        <f t="shared" si="5"/>
        <v>5.5313534284766833E-2</v>
      </c>
      <c r="E65629" s="349">
        <v>1.0313534284766834E-2</v>
      </c>
      <c r="F65629" s="349">
        <v>0.30620000000000003</v>
      </c>
    </row>
    <row r="65630" spans="1:6" ht="16">
      <c r="A65630" s="347" t="s">
        <v>691</v>
      </c>
      <c r="B65630" s="348" t="s">
        <v>580</v>
      </c>
      <c r="C65630" s="349">
        <v>6.5302783287875029E-3</v>
      </c>
      <c r="D65630" s="349">
        <f t="shared" si="5"/>
        <v>5.3766504142051808E-2</v>
      </c>
      <c r="E65630" s="349">
        <v>8.7665041420518092E-3</v>
      </c>
      <c r="F65630" s="349">
        <v>0</v>
      </c>
    </row>
    <row r="65631" spans="1:6" ht="16">
      <c r="A65631" s="347" t="s">
        <v>297</v>
      </c>
      <c r="B65631" s="348" t="s">
        <v>569</v>
      </c>
      <c r="C65631" s="349">
        <v>4.9041109802463012E-2</v>
      </c>
      <c r="D65631" s="349">
        <f t="shared" si="5"/>
        <v>0.11083472718442829</v>
      </c>
      <c r="E65631" s="349">
        <v>6.5834727184428288E-2</v>
      </c>
      <c r="F65631" s="349">
        <v>0.2</v>
      </c>
    </row>
    <row r="65632" spans="1:6" ht="16">
      <c r="A65632" s="347" t="s">
        <v>298</v>
      </c>
      <c r="B65632" s="348" t="s">
        <v>571</v>
      </c>
      <c r="C65632" s="349">
        <v>2.0743237044383835E-2</v>
      </c>
      <c r="D65632" s="349">
        <f t="shared" si="5"/>
        <v>7.2846542568870451E-2</v>
      </c>
      <c r="E65632" s="349">
        <v>2.7846542568870453E-2</v>
      </c>
      <c r="F65632" s="349">
        <v>0.2</v>
      </c>
    </row>
    <row r="65633" spans="1:6" ht="16">
      <c r="A65633" s="347" t="s">
        <v>429</v>
      </c>
      <c r="B65633" s="348" t="s">
        <v>581</v>
      </c>
      <c r="C65633" s="349">
        <v>7.0808704231754685E-2</v>
      </c>
      <c r="D65633" s="349">
        <f t="shared" si="5"/>
        <v>0.14005640765793431</v>
      </c>
      <c r="E65633" s="349">
        <v>9.5056407657934314E-2</v>
      </c>
      <c r="F65633" s="349">
        <v>0.3</v>
      </c>
    </row>
    <row r="65634" spans="1:6" ht="16">
      <c r="A65634" s="350" t="s">
        <v>595</v>
      </c>
      <c r="B65634" s="348" t="s">
        <v>687</v>
      </c>
      <c r="C65634" s="349">
        <v>0.17499999999999999</v>
      </c>
      <c r="D65634" s="349">
        <f t="shared" si="5"/>
        <v>0.27992692770782934</v>
      </c>
      <c r="E65634" s="349">
        <v>0.23492692770782936</v>
      </c>
      <c r="F65634" s="349">
        <v>0.23100000000000001</v>
      </c>
    </row>
    <row r="65635" spans="1:6" ht="16">
      <c r="A65635" s="347" t="s">
        <v>299</v>
      </c>
      <c r="B65635" s="348" t="s">
        <v>585</v>
      </c>
      <c r="C65635" s="349">
        <v>7.6826803868088279E-3</v>
      </c>
      <c r="D65635" s="349">
        <f t="shared" si="5"/>
        <v>5.5313534284766833E-2</v>
      </c>
      <c r="E65635" s="349">
        <v>1.0313534284766834E-2</v>
      </c>
      <c r="F65635" s="349">
        <v>0.15</v>
      </c>
    </row>
    <row r="65636" spans="1:6" ht="16">
      <c r="A65636" s="347" t="s">
        <v>488</v>
      </c>
      <c r="B65636" s="348" t="s">
        <v>581</v>
      </c>
      <c r="C65636" s="349">
        <v>7.0808704231754685E-2</v>
      </c>
      <c r="D65636" s="349">
        <f t="shared" si="5"/>
        <v>0.14005640765793431</v>
      </c>
      <c r="E65636" s="349">
        <v>9.5056407657934314E-2</v>
      </c>
      <c r="F65636" s="349">
        <v>0.1</v>
      </c>
    </row>
    <row r="65637" spans="1:6" ht="16">
      <c r="A65637" s="347" t="s">
        <v>622</v>
      </c>
      <c r="B65637" s="348" t="s">
        <v>689</v>
      </c>
      <c r="C65637" s="349">
        <v>0.10896601681957188</v>
      </c>
      <c r="D65637" s="349">
        <f t="shared" si="5"/>
        <v>0.19128029460560964</v>
      </c>
      <c r="E65637" s="349">
        <v>0.14628029460560965</v>
      </c>
      <c r="F65637" s="349">
        <v>0.26860000000000001</v>
      </c>
    </row>
    <row r="65638" spans="1:6" ht="16">
      <c r="A65638" s="347" t="s">
        <v>300</v>
      </c>
      <c r="B65638" s="348" t="s">
        <v>587</v>
      </c>
      <c r="C65638" s="349">
        <v>1.3060556657575006E-2</v>
      </c>
      <c r="D65638" s="349">
        <f t="shared" si="5"/>
        <v>6.2533008284103617E-2</v>
      </c>
      <c r="E65638" s="349">
        <v>1.7533008284103618E-2</v>
      </c>
      <c r="F65638" s="349">
        <v>0.2</v>
      </c>
    </row>
    <row r="65639" spans="1:6" ht="16">
      <c r="A65639" s="347" t="s">
        <v>366</v>
      </c>
      <c r="B65639" s="348" t="s">
        <v>615</v>
      </c>
      <c r="C65639" s="349">
        <v>0.17499999999999999</v>
      </c>
      <c r="D65639" s="349">
        <f t="shared" si="5"/>
        <v>0.27992692770782934</v>
      </c>
      <c r="E65639" s="349">
        <v>0.23492692770782936</v>
      </c>
      <c r="F65639" s="349">
        <v>0.17</v>
      </c>
    </row>
    <row r="65640" spans="1:6" ht="16">
      <c r="A65640" s="351" t="s">
        <v>596</v>
      </c>
      <c r="B65640" s="348" t="s">
        <v>687</v>
      </c>
      <c r="C65640" s="349">
        <v>0.13073361124886354</v>
      </c>
      <c r="D65640" s="349">
        <f t="shared" si="5"/>
        <v>0.22050197507911562</v>
      </c>
      <c r="E65640" s="349">
        <v>0.17550197507911564</v>
      </c>
      <c r="F65640" s="349">
        <v>0.29149999999999998</v>
      </c>
    </row>
    <row r="65641" spans="1:6" ht="16">
      <c r="A65641" s="350" t="s">
        <v>597</v>
      </c>
      <c r="B65641" s="348" t="s">
        <v>687</v>
      </c>
      <c r="C65641" s="349">
        <v>2.0743237044383835E-2</v>
      </c>
      <c r="D65641" s="349">
        <f t="shared" si="5"/>
        <v>7.2846542568870451E-2</v>
      </c>
      <c r="E65641" s="349">
        <v>2.7846542568870453E-2</v>
      </c>
      <c r="F65641" s="349">
        <v>0.2</v>
      </c>
    </row>
    <row r="65642" spans="1:6" ht="16">
      <c r="A65642" s="347" t="s">
        <v>301</v>
      </c>
      <c r="B65642" s="348" t="s">
        <v>574</v>
      </c>
      <c r="C65642" s="349">
        <v>0</v>
      </c>
      <c r="D65642" s="349">
        <f t="shared" si="5"/>
        <v>4.4999999999999998E-2</v>
      </c>
      <c r="E65642" s="349">
        <v>0</v>
      </c>
      <c r="F65642" s="349">
        <v>0.125</v>
      </c>
    </row>
    <row r="65643" spans="1:6" ht="16">
      <c r="A65643" s="347" t="s">
        <v>302</v>
      </c>
      <c r="B65643" s="348" t="s">
        <v>583</v>
      </c>
      <c r="C65643" s="349">
        <v>9.2192164641705932E-3</v>
      </c>
      <c r="D65643" s="349">
        <f t="shared" si="5"/>
        <v>5.73762411417202E-2</v>
      </c>
      <c r="E65643" s="349">
        <v>1.2376241141720201E-2</v>
      </c>
      <c r="F65643" s="349">
        <v>0.15</v>
      </c>
    </row>
    <row r="65644" spans="1:6" ht="16">
      <c r="A65644" s="347" t="s">
        <v>303</v>
      </c>
      <c r="B65644" s="348" t="s">
        <v>574</v>
      </c>
      <c r="C65644" s="349">
        <v>0</v>
      </c>
      <c r="D65644" s="349">
        <f t="shared" si="5"/>
        <v>4.4999999999999998E-2</v>
      </c>
      <c r="E65644" s="349">
        <v>0</v>
      </c>
      <c r="F65644" s="349">
        <v>0.24940000000000001</v>
      </c>
    </row>
    <row r="65645" spans="1:6" ht="16">
      <c r="A65645" s="347" t="s">
        <v>858</v>
      </c>
      <c r="B65645" s="348" t="s">
        <v>580</v>
      </c>
      <c r="C65645" s="349">
        <v>6.5302783287875029E-3</v>
      </c>
      <c r="D65645" s="349">
        <f t="shared" si="5"/>
        <v>5.3766504142051808E-2</v>
      </c>
      <c r="E65645" s="349">
        <v>8.7665041420518092E-3</v>
      </c>
      <c r="F65645" s="349">
        <v>0.26860000000000001</v>
      </c>
    </row>
    <row r="65646" spans="1:6" ht="16">
      <c r="A65646" s="347" t="s">
        <v>304</v>
      </c>
      <c r="B65646" s="348" t="s">
        <v>578</v>
      </c>
      <c r="C65646" s="349">
        <v>3.9181669972725021E-2</v>
      </c>
      <c r="D65646" s="349">
        <f t="shared" si="5"/>
        <v>9.7599024852310853E-2</v>
      </c>
      <c r="E65646" s="349">
        <v>5.2599024852310855E-2</v>
      </c>
      <c r="F65646" s="349">
        <v>0.1</v>
      </c>
    </row>
    <row r="65647" spans="1:6" ht="16">
      <c r="A65647" s="351" t="s">
        <v>598</v>
      </c>
      <c r="B65647" s="348" t="s">
        <v>687</v>
      </c>
      <c r="C65647" s="349">
        <v>7.0808704231754685E-2</v>
      </c>
      <c r="D65647" s="349">
        <f t="shared" si="5"/>
        <v>0.14005640765793431</v>
      </c>
      <c r="E65647" s="349">
        <v>9.5056407657934314E-2</v>
      </c>
      <c r="F65647" s="349">
        <v>0.2</v>
      </c>
    </row>
    <row r="65648" spans="1:6" ht="16">
      <c r="A65648" s="350" t="s">
        <v>599</v>
      </c>
      <c r="B65648" s="348" t="s">
        <v>687</v>
      </c>
      <c r="C65648" s="349">
        <v>0.13073361124886354</v>
      </c>
      <c r="D65648" s="349">
        <f t="shared" si="5"/>
        <v>0.22050197507911562</v>
      </c>
      <c r="E65648" s="349">
        <v>0.17550197507911564</v>
      </c>
      <c r="F65648" s="349">
        <v>0.3</v>
      </c>
    </row>
    <row r="65649" spans="1:6" ht="16">
      <c r="A65649" s="347" t="s">
        <v>305</v>
      </c>
      <c r="B65649" s="348" t="s">
        <v>587</v>
      </c>
      <c r="C65649" s="349">
        <v>1.3060556657575006E-2</v>
      </c>
      <c r="D65649" s="349">
        <f t="shared" si="5"/>
        <v>6.2533008284103617E-2</v>
      </c>
      <c r="E65649" s="349">
        <v>1.7533008284103618E-2</v>
      </c>
      <c r="F65649" s="349">
        <v>0.24</v>
      </c>
    </row>
    <row r="65650" spans="1:6" ht="16">
      <c r="A65650" s="347" t="s">
        <v>692</v>
      </c>
      <c r="B65650" s="348" t="s">
        <v>579</v>
      </c>
      <c r="C65650" s="349">
        <v>8.1692501446400528E-2</v>
      </c>
      <c r="D65650" s="349">
        <f t="shared" si="5"/>
        <v>0.15466724789468733</v>
      </c>
      <c r="E65650" s="349">
        <v>0.10966724789468733</v>
      </c>
      <c r="F65650" s="349">
        <v>0.26860000000000001</v>
      </c>
    </row>
    <row r="65651" spans="1:6" ht="16">
      <c r="A65651" s="347" t="s">
        <v>600</v>
      </c>
      <c r="B65651" s="348" t="s">
        <v>586</v>
      </c>
      <c r="C65651" s="349">
        <v>9.8082219604926024E-2</v>
      </c>
      <c r="D65651" s="349">
        <f t="shared" si="5"/>
        <v>0.17666945436885656</v>
      </c>
      <c r="E65651" s="349">
        <v>0.13166945436885658</v>
      </c>
      <c r="F65651" s="349">
        <v>0.26860000000000001</v>
      </c>
    </row>
    <row r="65652" spans="1:6" ht="16">
      <c r="A65652" s="347" t="s">
        <v>306</v>
      </c>
      <c r="B65652" s="348" t="s">
        <v>583</v>
      </c>
      <c r="C65652" s="349">
        <v>9.2192164641705932E-3</v>
      </c>
      <c r="D65652" s="349">
        <f t="shared" si="5"/>
        <v>5.73762411417202E-2</v>
      </c>
      <c r="E65652" s="349">
        <v>1.2376241141720201E-2</v>
      </c>
      <c r="F65652" s="349">
        <v>0.35</v>
      </c>
    </row>
    <row r="65653" spans="1:6" ht="16">
      <c r="A65653" s="347" t="s">
        <v>859</v>
      </c>
      <c r="B65653" s="154" t="s">
        <v>687</v>
      </c>
      <c r="C65653" s="277">
        <f>J65653</f>
        <v>0</v>
      </c>
      <c r="D65653" s="349">
        <f t="shared" si="5"/>
        <v>4.4999999999999998E-2</v>
      </c>
      <c r="E65653" s="277">
        <f>H65653</f>
        <v>0</v>
      </c>
      <c r="F65653" s="277">
        <f>K65653</f>
        <v>0</v>
      </c>
    </row>
    <row r="65654" spans="1:6" ht="16">
      <c r="A65654" s="347" t="s">
        <v>307</v>
      </c>
      <c r="B65654" s="348" t="s">
        <v>577</v>
      </c>
      <c r="C65654" s="349">
        <v>2.3944353872220846E-2</v>
      </c>
      <c r="D65654" s="349">
        <f t="shared" si="5"/>
        <v>7.7143848520856623E-2</v>
      </c>
      <c r="E65654" s="349">
        <v>3.2143848520856624E-2</v>
      </c>
      <c r="F65654" s="349">
        <v>0.15</v>
      </c>
    </row>
    <row r="65655" spans="1:6" ht="16">
      <c r="A65655" s="347" t="s">
        <v>308</v>
      </c>
      <c r="B65655" s="348" t="s">
        <v>571</v>
      </c>
      <c r="C65655" s="349">
        <v>2.0743237044383835E-2</v>
      </c>
      <c r="D65655" s="349">
        <f t="shared" si="5"/>
        <v>7.2846542568870451E-2</v>
      </c>
      <c r="E65655" s="349">
        <v>2.7846542568870453E-2</v>
      </c>
      <c r="F65655" s="349">
        <v>0.3</v>
      </c>
    </row>
    <row r="65656" spans="1:6" ht="16">
      <c r="A65656" s="347" t="s">
        <v>860</v>
      </c>
      <c r="B65656" s="154" t="s">
        <v>687</v>
      </c>
      <c r="C65656" s="277">
        <v>9.5882201472833571E-3</v>
      </c>
      <c r="D65656" s="349">
        <f t="shared" si="5"/>
        <v>0.10387160629364336</v>
      </c>
      <c r="E65656" s="277">
        <v>5.8871606293643367E-2</v>
      </c>
      <c r="F65656" s="277">
        <v>0.24707349543413576</v>
      </c>
    </row>
    <row r="65657" spans="1:6" ht="16">
      <c r="A65657" s="347" t="s">
        <v>367</v>
      </c>
      <c r="B65657" s="348" t="s">
        <v>581</v>
      </c>
      <c r="C65657" s="349">
        <v>7.0808704231754685E-2</v>
      </c>
      <c r="D65657" s="349">
        <f t="shared" si="5"/>
        <v>0.14005640765793431</v>
      </c>
      <c r="E65657" s="349">
        <v>9.5056407657934314E-2</v>
      </c>
      <c r="F65657" s="349">
        <v>0.12</v>
      </c>
    </row>
    <row r="65658" spans="1:6" ht="16">
      <c r="A65658" s="347" t="s">
        <v>368</v>
      </c>
      <c r="B65658" s="348" t="s">
        <v>581</v>
      </c>
      <c r="C65658" s="349">
        <v>7.0808704231754685E-2</v>
      </c>
      <c r="D65658" s="349">
        <f t="shared" si="5"/>
        <v>0.14005640765793431</v>
      </c>
      <c r="E65658" s="349">
        <v>9.5056407657934314E-2</v>
      </c>
      <c r="F65658" s="349">
        <v>0.25</v>
      </c>
    </row>
    <row r="65659" spans="1:6" ht="16">
      <c r="A65659" s="347" t="s">
        <v>309</v>
      </c>
      <c r="B65659" s="348" t="s">
        <v>569</v>
      </c>
      <c r="C65659" s="349">
        <v>4.9041109802463012E-2</v>
      </c>
      <c r="D65659" s="349">
        <f t="shared" si="5"/>
        <v>0.11083472718442829</v>
      </c>
      <c r="E65659" s="349">
        <v>6.5834727184428288E-2</v>
      </c>
      <c r="F65659" s="349">
        <v>0.15</v>
      </c>
    </row>
    <row r="65660" spans="1:6" ht="16">
      <c r="A65660" s="347" t="s">
        <v>489</v>
      </c>
      <c r="B65660" s="348" t="s">
        <v>577</v>
      </c>
      <c r="C65660" s="349">
        <v>2.3944353872220846E-2</v>
      </c>
      <c r="D65660" s="349">
        <f t="shared" si="5"/>
        <v>7.7143848520856623E-2</v>
      </c>
      <c r="E65660" s="349">
        <v>3.2143848520856624E-2</v>
      </c>
      <c r="F65660" s="349">
        <v>0.2853</v>
      </c>
    </row>
    <row r="65661" spans="1:6" ht="16">
      <c r="A65661" s="347" t="s">
        <v>369</v>
      </c>
      <c r="B65661" s="348" t="s">
        <v>589</v>
      </c>
      <c r="C65661" s="349">
        <v>2.7273515373171343E-2</v>
      </c>
      <c r="D65661" s="349">
        <f t="shared" si="5"/>
        <v>8.161304671092226E-2</v>
      </c>
      <c r="E65661" s="349">
        <v>3.6613046710922262E-2</v>
      </c>
      <c r="F65661" s="349">
        <v>0.32</v>
      </c>
    </row>
    <row r="65662" spans="1:6" ht="16">
      <c r="A65662" s="347" t="s">
        <v>310</v>
      </c>
      <c r="B65662" s="348" t="s">
        <v>586</v>
      </c>
      <c r="C65662" s="349">
        <v>9.8082219604926024E-2</v>
      </c>
      <c r="D65662" s="349">
        <f t="shared" si="5"/>
        <v>0.17666945436885656</v>
      </c>
      <c r="E65662" s="349">
        <v>0.13166945436885658</v>
      </c>
      <c r="F65662" s="349">
        <v>0.32</v>
      </c>
    </row>
    <row r="65663" spans="1:6" ht="16">
      <c r="A65663" s="351" t="s">
        <v>601</v>
      </c>
      <c r="B65663" s="348" t="s">
        <v>687</v>
      </c>
      <c r="C65663" s="349">
        <v>0.10896601681957191</v>
      </c>
      <c r="D65663" s="349">
        <f t="shared" si="5"/>
        <v>0.19128029460560964</v>
      </c>
      <c r="E65663" s="349">
        <v>0.14628029460560965</v>
      </c>
      <c r="F65663" s="349">
        <v>0.25</v>
      </c>
    </row>
    <row r="65664" spans="1:6" ht="16">
      <c r="A65664" s="347" t="s">
        <v>311</v>
      </c>
      <c r="B65664" s="348" t="s">
        <v>569</v>
      </c>
      <c r="C65664" s="349">
        <v>4.9041109802463012E-2</v>
      </c>
      <c r="D65664" s="349">
        <f t="shared" si="5"/>
        <v>0.11083472718442829</v>
      </c>
      <c r="E65664" s="349">
        <v>6.5834727184428288E-2</v>
      </c>
      <c r="F65664" s="349">
        <v>0.32</v>
      </c>
    </row>
    <row r="65665" spans="1:6" ht="16">
      <c r="A65665" s="347" t="s">
        <v>312</v>
      </c>
      <c r="B65665" s="348" t="s">
        <v>574</v>
      </c>
      <c r="C65665" s="349">
        <v>0</v>
      </c>
      <c r="D65665" s="349">
        <f t="shared" si="5"/>
        <v>4.4999999999999998E-2</v>
      </c>
      <c r="E65665" s="349">
        <v>0</v>
      </c>
      <c r="F65665" s="349">
        <v>0.25800000000000001</v>
      </c>
    </row>
    <row r="65666" spans="1:6" ht="16">
      <c r="A65666" s="347" t="s">
        <v>861</v>
      </c>
      <c r="B65666" s="154" t="s">
        <v>687</v>
      </c>
      <c r="C65666" s="277">
        <v>0.1054310997313879</v>
      </c>
      <c r="D65666" s="349">
        <f t="shared" si="5"/>
        <v>0.23253488197001548</v>
      </c>
      <c r="E65666" s="277">
        <v>0.1875348819700155</v>
      </c>
      <c r="F65666" s="277">
        <v>0.2724561140242252</v>
      </c>
    </row>
    <row r="65667" spans="1:6" ht="16">
      <c r="A65667" s="347" t="s">
        <v>313</v>
      </c>
      <c r="B65667" s="348" t="s">
        <v>574</v>
      </c>
      <c r="C65667" s="349">
        <v>0</v>
      </c>
      <c r="D65667" s="349">
        <f t="shared" si="5"/>
        <v>4.4999999999999998E-2</v>
      </c>
      <c r="E65667" s="349">
        <v>0</v>
      </c>
      <c r="F65667" s="349">
        <v>0.28000000000000003</v>
      </c>
    </row>
    <row r="65668" spans="1:6" ht="16">
      <c r="A65668" s="347" t="s">
        <v>370</v>
      </c>
      <c r="B65668" s="348" t="s">
        <v>581</v>
      </c>
      <c r="C65668" s="349">
        <v>7.0808704231754685E-2</v>
      </c>
      <c r="D65668" s="349">
        <f t="shared" si="5"/>
        <v>0.14005640765793431</v>
      </c>
      <c r="E65668" s="349">
        <v>9.5056407657934314E-2</v>
      </c>
      <c r="F65668" s="349">
        <v>0.3</v>
      </c>
    </row>
    <row r="65669" spans="1:6" ht="16">
      <c r="A65669" s="347" t="s">
        <v>602</v>
      </c>
      <c r="B65669" s="348" t="s">
        <v>586</v>
      </c>
      <c r="C65669" s="349">
        <v>9.8082219604926024E-2</v>
      </c>
      <c r="D65669" s="349">
        <f t="shared" si="5"/>
        <v>0.17666945436885656</v>
      </c>
      <c r="E65669" s="349">
        <v>0.13166945436885658</v>
      </c>
      <c r="F65669" s="349">
        <v>0.26860000000000001</v>
      </c>
    </row>
    <row r="65670" spans="1:6" ht="16">
      <c r="A65670" s="347" t="s">
        <v>314</v>
      </c>
      <c r="B65670" s="348" t="s">
        <v>579</v>
      </c>
      <c r="C65670" s="349">
        <v>8.1692501446400528E-2</v>
      </c>
      <c r="D65670" s="349">
        <f t="shared" ref="D65670:D65731" si="6">$B$1+E65670</f>
        <v>0.15466724789468733</v>
      </c>
      <c r="E65670" s="349">
        <v>0.10966724789468733</v>
      </c>
      <c r="F65670" s="349">
        <v>0.3</v>
      </c>
    </row>
    <row r="65671" spans="1:6" ht="16">
      <c r="A65671" s="347" t="s">
        <v>315</v>
      </c>
      <c r="B65671" s="348" t="s">
        <v>574</v>
      </c>
      <c r="C65671" s="349">
        <v>0</v>
      </c>
      <c r="D65671" s="349">
        <f t="shared" si="6"/>
        <v>4.4999999999999998E-2</v>
      </c>
      <c r="E65671" s="349">
        <v>0</v>
      </c>
      <c r="F65671" s="349">
        <v>0.22</v>
      </c>
    </row>
    <row r="65672" spans="1:6" ht="16">
      <c r="A65672" s="347" t="s">
        <v>316</v>
      </c>
      <c r="B65672" s="348" t="s">
        <v>589</v>
      </c>
      <c r="C65672" s="349">
        <v>2.7273515373171343E-2</v>
      </c>
      <c r="D65672" s="349">
        <f t="shared" si="6"/>
        <v>8.161304671092226E-2</v>
      </c>
      <c r="E65672" s="349">
        <v>3.6613046710922262E-2</v>
      </c>
      <c r="F65672" s="349">
        <v>0.15</v>
      </c>
    </row>
    <row r="65673" spans="1:6" ht="16">
      <c r="A65673" s="347" t="s">
        <v>317</v>
      </c>
      <c r="B65673" s="348" t="s">
        <v>689</v>
      </c>
      <c r="C65673" s="349">
        <v>0.10896601681957188</v>
      </c>
      <c r="D65673" s="349">
        <f t="shared" si="6"/>
        <v>0.19128029460560964</v>
      </c>
      <c r="E65673" s="349">
        <v>0.14628029460560965</v>
      </c>
      <c r="F65673" s="349">
        <v>0.28999999999999998</v>
      </c>
    </row>
    <row r="65674" spans="1:6" ht="16">
      <c r="A65674" s="347" t="s">
        <v>862</v>
      </c>
      <c r="B65674" s="154" t="s">
        <v>687</v>
      </c>
      <c r="C65674" s="277">
        <v>1.6082653627874467E-2</v>
      </c>
      <c r="D65674" s="349">
        <f t="shared" si="6"/>
        <v>0.11258999089248985</v>
      </c>
      <c r="E65674" s="277">
        <v>6.7589990892489848E-2</v>
      </c>
      <c r="F65674" s="277">
        <v>0.18760152153615242</v>
      </c>
    </row>
    <row r="65675" spans="1:6" ht="16">
      <c r="A65675" s="347" t="s">
        <v>318</v>
      </c>
      <c r="B65675" s="348" t="s">
        <v>571</v>
      </c>
      <c r="C65675" s="349">
        <v>2.0743237044383835E-2</v>
      </c>
      <c r="D65675" s="349">
        <f t="shared" si="6"/>
        <v>7.2846542568870451E-2</v>
      </c>
      <c r="E65675" s="349">
        <v>2.7846542568870453E-2</v>
      </c>
      <c r="F65675" s="349">
        <v>0.25</v>
      </c>
    </row>
    <row r="65676" spans="1:6" ht="16">
      <c r="A65676" s="347" t="s">
        <v>319</v>
      </c>
      <c r="B65676" s="348" t="s">
        <v>572</v>
      </c>
      <c r="C65676" s="349">
        <v>5.9924907017108855E-2</v>
      </c>
      <c r="D65676" s="349">
        <f t="shared" si="6"/>
        <v>0.12544556742118129</v>
      </c>
      <c r="E65676" s="349">
        <v>8.0445567421181294E-2</v>
      </c>
      <c r="F65676" s="349">
        <v>0.3</v>
      </c>
    </row>
    <row r="65677" spans="1:6" ht="16">
      <c r="A65677" s="347" t="s">
        <v>320</v>
      </c>
      <c r="B65677" s="348" t="s">
        <v>589</v>
      </c>
      <c r="C65677" s="349">
        <v>2.7273515373171343E-2</v>
      </c>
      <c r="D65677" s="349">
        <f t="shared" si="6"/>
        <v>8.161304671092226E-2</v>
      </c>
      <c r="E65677" s="349">
        <v>3.6613046710922262E-2</v>
      </c>
      <c r="F65677" s="349">
        <v>0.1</v>
      </c>
    </row>
    <row r="65678" spans="1:6" ht="16">
      <c r="A65678" s="347" t="s">
        <v>321</v>
      </c>
      <c r="B65678" s="348" t="s">
        <v>573</v>
      </c>
      <c r="C65678" s="349">
        <v>1.7414075543433341E-2</v>
      </c>
      <c r="D65678" s="349">
        <f t="shared" si="6"/>
        <v>6.8377344378804827E-2</v>
      </c>
      <c r="E65678" s="349">
        <v>2.3377344378804829E-2</v>
      </c>
      <c r="F65678" s="349">
        <v>0.29499999999999998</v>
      </c>
    </row>
    <row r="65679" spans="1:6" ht="16">
      <c r="A65679" s="347" t="s">
        <v>322</v>
      </c>
      <c r="B65679" s="348" t="s">
        <v>571</v>
      </c>
      <c r="C65679" s="349">
        <v>2.0743237044383835E-2</v>
      </c>
      <c r="D65679" s="349">
        <f t="shared" si="6"/>
        <v>7.2846542568870451E-2</v>
      </c>
      <c r="E65679" s="349">
        <v>2.7846542568870453E-2</v>
      </c>
      <c r="F65679" s="349">
        <v>0.25</v>
      </c>
    </row>
    <row r="65680" spans="1:6" ht="16">
      <c r="A65680" s="347" t="s">
        <v>323</v>
      </c>
      <c r="B65680" s="348" t="s">
        <v>583</v>
      </c>
      <c r="C65680" s="349">
        <v>9.2192164641705932E-3</v>
      </c>
      <c r="D65680" s="349">
        <f t="shared" si="6"/>
        <v>5.73762411417202E-2</v>
      </c>
      <c r="E65680" s="349">
        <v>1.2376241141720201E-2</v>
      </c>
      <c r="F65680" s="349">
        <v>0.19</v>
      </c>
    </row>
    <row r="65681" spans="1:6" ht="16">
      <c r="A65681" s="347" t="s">
        <v>324</v>
      </c>
      <c r="B65681" s="348" t="s">
        <v>587</v>
      </c>
      <c r="C65681" s="349">
        <v>1.3060556657575006E-2</v>
      </c>
      <c r="D65681" s="349">
        <f t="shared" si="6"/>
        <v>6.2533008284103617E-2</v>
      </c>
      <c r="E65681" s="349">
        <v>1.7533008284103618E-2</v>
      </c>
      <c r="F65681" s="349">
        <v>0.21</v>
      </c>
    </row>
    <row r="65682" spans="1:6" ht="16">
      <c r="A65682" s="347" t="s">
        <v>325</v>
      </c>
      <c r="B65682" s="348" t="s">
        <v>580</v>
      </c>
      <c r="C65682" s="349">
        <v>6.5302783287875029E-3</v>
      </c>
      <c r="D65682" s="349">
        <f t="shared" si="6"/>
        <v>5.3766504142051808E-2</v>
      </c>
      <c r="E65682" s="349">
        <v>8.7665041420518092E-3</v>
      </c>
      <c r="F65682" s="349">
        <v>0.1</v>
      </c>
    </row>
    <row r="65683" spans="1:6" ht="16">
      <c r="A65683" s="347" t="s">
        <v>503</v>
      </c>
      <c r="B65683" s="348" t="s">
        <v>587</v>
      </c>
      <c r="C65683" s="349">
        <v>1.3060556657575006E-2</v>
      </c>
      <c r="D65683" s="349">
        <f t="shared" si="6"/>
        <v>6.2533008284103617E-2</v>
      </c>
      <c r="E65683" s="349">
        <v>1.7533008284103618E-2</v>
      </c>
      <c r="F65683" s="349">
        <v>0</v>
      </c>
    </row>
    <row r="65684" spans="1:6" ht="16">
      <c r="A65684" s="347" t="s">
        <v>863</v>
      </c>
      <c r="B65684" s="154" t="s">
        <v>687</v>
      </c>
      <c r="C65684" s="277">
        <v>1.2518555898193178E-2</v>
      </c>
      <c r="D65684" s="349">
        <f t="shared" si="6"/>
        <v>0.10780540500857855</v>
      </c>
      <c r="E65684" s="277">
        <v>6.2805405008578549E-2</v>
      </c>
      <c r="F65684" s="277">
        <v>0.2576437502455447</v>
      </c>
    </row>
    <row r="65685" spans="1:6" ht="16">
      <c r="A65685" s="347" t="s">
        <v>326</v>
      </c>
      <c r="B65685" s="348" t="s">
        <v>577</v>
      </c>
      <c r="C65685" s="349">
        <v>2.3944353872220846E-2</v>
      </c>
      <c r="D65685" s="349">
        <f t="shared" si="6"/>
        <v>7.7143848520856623E-2</v>
      </c>
      <c r="E65685" s="349">
        <v>3.2143848520856624E-2</v>
      </c>
      <c r="F65685" s="349">
        <v>0.16</v>
      </c>
    </row>
    <row r="65686" spans="1:6" ht="16">
      <c r="A65686" s="347" t="s">
        <v>327</v>
      </c>
      <c r="B65686" s="348" t="s">
        <v>687</v>
      </c>
      <c r="C65686" s="349">
        <v>4.9041109802463012E-2</v>
      </c>
      <c r="D65686" s="349">
        <f t="shared" si="6"/>
        <v>0.11083472718442829</v>
      </c>
      <c r="E65686" s="349">
        <v>6.5834727184428288E-2</v>
      </c>
      <c r="F65686" s="349">
        <v>0.25</v>
      </c>
    </row>
    <row r="65687" spans="1:6" ht="16">
      <c r="A65687" s="347" t="s">
        <v>490</v>
      </c>
      <c r="B65687" s="348" t="s">
        <v>572</v>
      </c>
      <c r="C65687" s="349">
        <v>5.9924907017108855E-2</v>
      </c>
      <c r="D65687" s="349">
        <f t="shared" si="6"/>
        <v>0.12544556742118129</v>
      </c>
      <c r="E65687" s="349">
        <v>8.0445567421181294E-2</v>
      </c>
      <c r="F65687" s="349">
        <v>0.3</v>
      </c>
    </row>
    <row r="65688" spans="1:6" ht="16">
      <c r="A65688" s="347" t="s">
        <v>864</v>
      </c>
      <c r="B65688" s="154" t="s">
        <v>687</v>
      </c>
      <c r="C65688" s="277">
        <v>0.1054310997313879</v>
      </c>
      <c r="D65688" s="349">
        <f t="shared" si="6"/>
        <v>0.23253488197001548</v>
      </c>
      <c r="E65688" s="277">
        <v>0.1875348819700155</v>
      </c>
      <c r="F65688" s="277">
        <v>0.2724561140242252</v>
      </c>
    </row>
    <row r="65689" spans="1:6" ht="16">
      <c r="A65689" s="347" t="s">
        <v>328</v>
      </c>
      <c r="B65689" s="348" t="s">
        <v>585</v>
      </c>
      <c r="C65689" s="349">
        <v>7.6826803868088279E-3</v>
      </c>
      <c r="D65689" s="349">
        <f t="shared" si="6"/>
        <v>5.5313534284766833E-2</v>
      </c>
      <c r="E65689" s="349">
        <v>1.0313534284766834E-2</v>
      </c>
      <c r="F65689" s="349">
        <v>0.2</v>
      </c>
    </row>
    <row r="65690" spans="1:6" ht="16">
      <c r="A65690" s="347" t="s">
        <v>371</v>
      </c>
      <c r="B65690" s="348" t="s">
        <v>578</v>
      </c>
      <c r="C65690" s="349">
        <v>3.9181669972725021E-2</v>
      </c>
      <c r="D65690" s="349">
        <f t="shared" si="6"/>
        <v>9.7599024852310853E-2</v>
      </c>
      <c r="E65690" s="349">
        <v>5.2599024852310855E-2</v>
      </c>
      <c r="F65690" s="349">
        <v>0.3</v>
      </c>
    </row>
    <row r="65691" spans="1:6" ht="16">
      <c r="A65691" s="347" t="s">
        <v>329</v>
      </c>
      <c r="B65691" s="348" t="s">
        <v>576</v>
      </c>
      <c r="C65691" s="349">
        <v>3.2779436317050999E-2</v>
      </c>
      <c r="D65691" s="349">
        <f t="shared" si="6"/>
        <v>8.9004412948338496E-2</v>
      </c>
      <c r="E65691" s="349">
        <v>4.4004412948338498E-2</v>
      </c>
      <c r="F65691" s="349">
        <v>0.15</v>
      </c>
    </row>
    <row r="65692" spans="1:6" ht="16">
      <c r="A65692" s="347" t="s">
        <v>504</v>
      </c>
      <c r="B65692" s="348" t="s">
        <v>589</v>
      </c>
      <c r="C65692" s="349">
        <v>2.7273515373171343E-2</v>
      </c>
      <c r="D65692" s="349">
        <f t="shared" si="6"/>
        <v>8.161304671092226E-2</v>
      </c>
      <c r="E65692" s="349">
        <v>3.6613046710922262E-2</v>
      </c>
      <c r="F65692" s="349">
        <v>0</v>
      </c>
    </row>
    <row r="65693" spans="1:6" ht="16">
      <c r="A65693" s="350" t="s">
        <v>603</v>
      </c>
      <c r="B65693" s="348" t="s">
        <v>687</v>
      </c>
      <c r="C65693" s="349">
        <v>0.10896601681957191</v>
      </c>
      <c r="D65693" s="349">
        <f t="shared" si="6"/>
        <v>0.19128029460560964</v>
      </c>
      <c r="E65693" s="349">
        <v>0.14628029460560965</v>
      </c>
      <c r="F65693" s="349">
        <v>0.3</v>
      </c>
    </row>
    <row r="65694" spans="1:6" ht="16">
      <c r="A65694" s="347" t="s">
        <v>330</v>
      </c>
      <c r="B65694" s="348" t="s">
        <v>574</v>
      </c>
      <c r="C65694" s="349">
        <v>0</v>
      </c>
      <c r="D65694" s="349">
        <f t="shared" si="6"/>
        <v>4.4999999999999998E-2</v>
      </c>
      <c r="E65694" s="349">
        <v>0</v>
      </c>
      <c r="F65694" s="349">
        <v>0.17</v>
      </c>
    </row>
    <row r="65695" spans="1:6" ht="16">
      <c r="A65695" s="347" t="s">
        <v>372</v>
      </c>
      <c r="B65695" s="348" t="s">
        <v>583</v>
      </c>
      <c r="C65695" s="349">
        <v>9.2192164641705932E-3</v>
      </c>
      <c r="D65695" s="349">
        <f t="shared" si="6"/>
        <v>5.73762411417202E-2</v>
      </c>
      <c r="E65695" s="349">
        <v>1.2376241141720201E-2</v>
      </c>
      <c r="F65695" s="349">
        <v>0.21</v>
      </c>
    </row>
    <row r="65696" spans="1:6" ht="16">
      <c r="A65696" s="347" t="s">
        <v>331</v>
      </c>
      <c r="B65696" s="348" t="s">
        <v>587</v>
      </c>
      <c r="C65696" s="349">
        <v>1.3060556657575006E-2</v>
      </c>
      <c r="D65696" s="349">
        <f t="shared" si="6"/>
        <v>6.2533008284103617E-2</v>
      </c>
      <c r="E65696" s="349">
        <v>1.7533008284103618E-2</v>
      </c>
      <c r="F65696" s="349">
        <v>0.19</v>
      </c>
    </row>
    <row r="65697" spans="1:6" ht="16">
      <c r="A65697" s="347" t="s">
        <v>604</v>
      </c>
      <c r="B65697" s="348" t="s">
        <v>579</v>
      </c>
      <c r="C65697" s="349">
        <v>8.1692501446400528E-2</v>
      </c>
      <c r="D65697" s="349">
        <f t="shared" si="6"/>
        <v>0.15466724789468733</v>
      </c>
      <c r="E65697" s="349">
        <v>0.10966724789468733</v>
      </c>
      <c r="F65697" s="349">
        <v>0.3</v>
      </c>
    </row>
    <row r="65698" spans="1:6" ht="16">
      <c r="A65698" s="351" t="s">
        <v>605</v>
      </c>
      <c r="B65698" s="348" t="s">
        <v>687</v>
      </c>
      <c r="C65698" s="349">
        <v>0.13073361124886354</v>
      </c>
      <c r="D65698" s="349">
        <f t="shared" si="6"/>
        <v>0.22050197507911562</v>
      </c>
      <c r="E65698" s="349">
        <v>0.17550197507911564</v>
      </c>
      <c r="F65698" s="349">
        <v>0.29149999999999998</v>
      </c>
    </row>
    <row r="65699" spans="1:6" ht="16">
      <c r="A65699" s="347" t="s">
        <v>332</v>
      </c>
      <c r="B65699" s="348" t="s">
        <v>576</v>
      </c>
      <c r="C65699" s="349">
        <v>3.2779436317050999E-2</v>
      </c>
      <c r="D65699" s="349">
        <f t="shared" si="6"/>
        <v>8.9004412948338496E-2</v>
      </c>
      <c r="E65699" s="349">
        <v>4.4004412948338498E-2</v>
      </c>
      <c r="F65699" s="349">
        <v>0.27</v>
      </c>
    </row>
    <row r="65700" spans="1:6" ht="16">
      <c r="A65700" s="347" t="s">
        <v>865</v>
      </c>
      <c r="B65700" s="348" t="s">
        <v>568</v>
      </c>
      <c r="C65700" s="349">
        <v>5.3778762707661788E-3</v>
      </c>
      <c r="D65700" s="349">
        <f t="shared" si="6"/>
        <v>5.2219473999336782E-2</v>
      </c>
      <c r="E65700" s="349">
        <v>7.219473999336784E-3</v>
      </c>
      <c r="F65700" s="349">
        <v>0.25</v>
      </c>
    </row>
    <row r="65701" spans="1:6" ht="16">
      <c r="A65701" s="347" t="s">
        <v>333</v>
      </c>
      <c r="B65701" s="348" t="s">
        <v>573</v>
      </c>
      <c r="C65701" s="349">
        <v>1.7414075543433341E-2</v>
      </c>
      <c r="D65701" s="349">
        <f t="shared" si="6"/>
        <v>6.8377344378804827E-2</v>
      </c>
      <c r="E65701" s="349">
        <v>2.3377344378804829E-2</v>
      </c>
      <c r="F65701" s="349">
        <v>0.25</v>
      </c>
    </row>
    <row r="65702" spans="1:6" ht="16">
      <c r="A65702" s="347" t="s">
        <v>334</v>
      </c>
      <c r="B65702" s="348" t="s">
        <v>688</v>
      </c>
      <c r="C65702" s="349">
        <v>0.13073361124886354</v>
      </c>
      <c r="D65702" s="349">
        <f t="shared" si="6"/>
        <v>0.22050197507911562</v>
      </c>
      <c r="E65702" s="349">
        <v>0.17550197507911564</v>
      </c>
      <c r="F65702" s="349">
        <v>0.24</v>
      </c>
    </row>
    <row r="65703" spans="1:6" ht="16">
      <c r="A65703" s="347" t="s">
        <v>430</v>
      </c>
      <c r="B65703" s="348" t="s">
        <v>576</v>
      </c>
      <c r="C65703" s="349">
        <v>3.2779436317050999E-2</v>
      </c>
      <c r="D65703" s="349">
        <f t="shared" si="6"/>
        <v>8.9004412948338496E-2</v>
      </c>
      <c r="E65703" s="349">
        <v>4.4004412948338498E-2</v>
      </c>
      <c r="F65703" s="349">
        <v>0.2853</v>
      </c>
    </row>
    <row r="65704" spans="1:6" ht="16">
      <c r="A65704" s="347" t="s">
        <v>373</v>
      </c>
      <c r="B65704" s="348" t="s">
        <v>581</v>
      </c>
      <c r="C65704" s="349">
        <v>7.0808704231754685E-2</v>
      </c>
      <c r="D65704" s="349">
        <f t="shared" si="6"/>
        <v>0.14005640765793431</v>
      </c>
      <c r="E65704" s="349">
        <v>9.5056407657934314E-2</v>
      </c>
      <c r="F65704" s="349">
        <v>0.2853</v>
      </c>
    </row>
    <row r="65705" spans="1:6" ht="16">
      <c r="A65705" s="350" t="s">
        <v>606</v>
      </c>
      <c r="B65705" s="348" t="s">
        <v>687</v>
      </c>
      <c r="C65705" s="349">
        <v>0.17499999999999999</v>
      </c>
      <c r="D65705" s="349">
        <f t="shared" si="6"/>
        <v>0.27992692770782934</v>
      </c>
      <c r="E65705" s="349">
        <v>0.23492692770782936</v>
      </c>
      <c r="F65705" s="349">
        <v>0.35</v>
      </c>
    </row>
    <row r="65706" spans="1:6" ht="16">
      <c r="A65706" s="347" t="s">
        <v>374</v>
      </c>
      <c r="B65706" s="348" t="s">
        <v>689</v>
      </c>
      <c r="C65706" s="349">
        <v>0.10896601681957188</v>
      </c>
      <c r="D65706" s="349">
        <f t="shared" si="6"/>
        <v>0.19128029460560964</v>
      </c>
      <c r="E65706" s="349">
        <v>0.14628029460560965</v>
      </c>
      <c r="F65706" s="349">
        <v>0.36</v>
      </c>
    </row>
    <row r="65707" spans="1:6" ht="16">
      <c r="A65707" s="347" t="s">
        <v>607</v>
      </c>
      <c r="B65707" s="348" t="s">
        <v>581</v>
      </c>
      <c r="C65707" s="349">
        <v>7.0808704231754685E-2</v>
      </c>
      <c r="D65707" s="349">
        <f t="shared" si="6"/>
        <v>0.14005640765793431</v>
      </c>
      <c r="E65707" s="349">
        <v>9.5056407657934314E-2</v>
      </c>
      <c r="F65707" s="349">
        <v>0.27500000000000002</v>
      </c>
    </row>
    <row r="65708" spans="1:6" ht="16">
      <c r="A65708" s="347" t="s">
        <v>335</v>
      </c>
      <c r="B65708" s="348" t="s">
        <v>574</v>
      </c>
      <c r="C65708" s="349">
        <v>0</v>
      </c>
      <c r="D65708" s="349">
        <f t="shared" si="6"/>
        <v>4.4999999999999998E-2</v>
      </c>
      <c r="E65708" s="349">
        <v>0</v>
      </c>
      <c r="F65708" s="349">
        <v>0.20600000000000002</v>
      </c>
    </row>
    <row r="65709" spans="1:6" ht="16">
      <c r="A65709" s="347" t="s">
        <v>336</v>
      </c>
      <c r="B65709" s="348" t="s">
        <v>574</v>
      </c>
      <c r="C65709" s="349">
        <v>0</v>
      </c>
      <c r="D65709" s="349">
        <f t="shared" si="6"/>
        <v>4.4999999999999998E-2</v>
      </c>
      <c r="E65709" s="349">
        <v>0</v>
      </c>
      <c r="F65709" s="349">
        <v>0.14599999999999999</v>
      </c>
    </row>
    <row r="65710" spans="1:6" ht="16">
      <c r="A65710" s="351" t="s">
        <v>608</v>
      </c>
      <c r="B65710" s="348" t="s">
        <v>687</v>
      </c>
      <c r="C65710" s="349">
        <v>0.17499999999999999</v>
      </c>
      <c r="D65710" s="349">
        <f t="shared" si="6"/>
        <v>0.27992692770782934</v>
      </c>
      <c r="E65710" s="349">
        <v>0.23492692770782936</v>
      </c>
      <c r="F65710" s="349">
        <v>0.28000000000000003</v>
      </c>
    </row>
    <row r="65711" spans="1:6" ht="16">
      <c r="A65711" s="347" t="s">
        <v>337</v>
      </c>
      <c r="B65711" s="348" t="s">
        <v>580</v>
      </c>
      <c r="C65711" s="349">
        <v>6.5302783287875029E-3</v>
      </c>
      <c r="D65711" s="349">
        <f t="shared" si="6"/>
        <v>5.3766504142051808E-2</v>
      </c>
      <c r="E65711" s="349">
        <v>8.7665041420518092E-3</v>
      </c>
      <c r="F65711" s="349">
        <v>0.2</v>
      </c>
    </row>
    <row r="65712" spans="1:6" ht="16">
      <c r="A65712" s="347" t="s">
        <v>609</v>
      </c>
      <c r="B65712" s="348" t="s">
        <v>581</v>
      </c>
      <c r="C65712" s="349">
        <v>7.0808704231754685E-2</v>
      </c>
      <c r="D65712" s="349">
        <f t="shared" si="6"/>
        <v>0.14005640765793431</v>
      </c>
      <c r="E65712" s="349">
        <v>9.5056407657934314E-2</v>
      </c>
      <c r="F65712" s="349">
        <v>0.18</v>
      </c>
    </row>
    <row r="65713" spans="1:6" ht="16">
      <c r="A65713" s="347" t="s">
        <v>610</v>
      </c>
      <c r="B65713" s="348" t="s">
        <v>572</v>
      </c>
      <c r="C65713" s="349">
        <v>5.9924907017108855E-2</v>
      </c>
      <c r="D65713" s="349">
        <f t="shared" si="6"/>
        <v>0.12544556742118129</v>
      </c>
      <c r="E65713" s="349">
        <v>8.0445567421181294E-2</v>
      </c>
      <c r="F65713" s="349">
        <v>0.3</v>
      </c>
    </row>
    <row r="65714" spans="1:6" ht="16">
      <c r="A65714" s="347" t="s">
        <v>338</v>
      </c>
      <c r="B65714" s="348" t="s">
        <v>573</v>
      </c>
      <c r="C65714" s="349">
        <v>1.7414075543433341E-2</v>
      </c>
      <c r="D65714" s="349">
        <f t="shared" si="6"/>
        <v>6.8377344378804827E-2</v>
      </c>
      <c r="E65714" s="349">
        <v>2.3377344378804829E-2</v>
      </c>
      <c r="F65714" s="349">
        <v>0.2</v>
      </c>
    </row>
    <row r="65715" spans="1:6" ht="16">
      <c r="A65715" s="347" t="s">
        <v>611</v>
      </c>
      <c r="B65715" s="348" t="s">
        <v>581</v>
      </c>
      <c r="C65715" s="349">
        <v>7.0808704231754685E-2</v>
      </c>
      <c r="D65715" s="349">
        <f t="shared" si="6"/>
        <v>0.14005640765793431</v>
      </c>
      <c r="E65715" s="349">
        <v>9.5056407657934314E-2</v>
      </c>
      <c r="F65715" s="349">
        <v>0.26860000000000001</v>
      </c>
    </row>
    <row r="65716" spans="1:6" ht="16">
      <c r="A65716" s="347" t="s">
        <v>866</v>
      </c>
      <c r="B65716" s="348" t="s">
        <v>576</v>
      </c>
      <c r="C65716" s="349">
        <v>3.2779436317050999E-2</v>
      </c>
      <c r="D65716" s="349">
        <f t="shared" si="6"/>
        <v>8.9004412948338496E-2</v>
      </c>
      <c r="E65716" s="349">
        <v>4.4004412948338498E-2</v>
      </c>
      <c r="F65716" s="349">
        <v>0.3</v>
      </c>
    </row>
    <row r="65717" spans="1:6" ht="16">
      <c r="A65717" s="347" t="s">
        <v>339</v>
      </c>
      <c r="B65717" s="348" t="s">
        <v>586</v>
      </c>
      <c r="C65717" s="349">
        <v>9.8082219604926024E-2</v>
      </c>
      <c r="D65717" s="349">
        <f t="shared" si="6"/>
        <v>0.17666945436885656</v>
      </c>
      <c r="E65717" s="349">
        <v>0.13166945436885658</v>
      </c>
      <c r="F65717" s="349">
        <v>0.15</v>
      </c>
    </row>
    <row r="65718" spans="1:6" ht="16">
      <c r="A65718" s="347" t="s">
        <v>340</v>
      </c>
      <c r="B65718" s="348" t="s">
        <v>581</v>
      </c>
      <c r="C65718" s="349">
        <v>7.0808704231754685E-2</v>
      </c>
      <c r="D65718" s="349">
        <f t="shared" si="6"/>
        <v>0.14005640765793431</v>
      </c>
      <c r="E65718" s="349">
        <v>9.5056407657934314E-2</v>
      </c>
      <c r="F65718" s="349">
        <v>0.25</v>
      </c>
    </row>
    <row r="65719" spans="1:6" ht="16">
      <c r="A65719" s="353" t="s">
        <v>867</v>
      </c>
      <c r="B65719" s="348" t="s">
        <v>573</v>
      </c>
      <c r="C65719" s="349">
        <v>1.7414075543433341E-2</v>
      </c>
      <c r="D65719" s="349">
        <f t="shared" si="6"/>
        <v>6.8377344378804827E-2</v>
      </c>
      <c r="E65719" s="349">
        <v>2.3377344378804829E-2</v>
      </c>
      <c r="F65719" s="349">
        <v>0</v>
      </c>
    </row>
    <row r="65720" spans="1:6" ht="16">
      <c r="A65720" s="347" t="s">
        <v>431</v>
      </c>
      <c r="B65720" s="348" t="s">
        <v>572</v>
      </c>
      <c r="C65720" s="349">
        <v>5.9924907017108855E-2</v>
      </c>
      <c r="D65720" s="349">
        <f t="shared" si="6"/>
        <v>0.12544556742118129</v>
      </c>
      <c r="E65720" s="349">
        <v>8.0445567421181294E-2</v>
      </c>
      <c r="F65720" s="349">
        <v>0.3</v>
      </c>
    </row>
    <row r="65721" spans="1:6" ht="16">
      <c r="A65721" s="347" t="s">
        <v>341</v>
      </c>
      <c r="B65721" s="348" t="s">
        <v>688</v>
      </c>
      <c r="C65721" s="349">
        <v>0.13073361124886354</v>
      </c>
      <c r="D65721" s="349">
        <f t="shared" si="6"/>
        <v>0.22050197507911562</v>
      </c>
      <c r="E65721" s="349">
        <v>0.17550197507911564</v>
      </c>
      <c r="F65721" s="349">
        <v>0.18</v>
      </c>
    </row>
    <row r="65722" spans="1:6" ht="16">
      <c r="A65722" s="347" t="s">
        <v>342</v>
      </c>
      <c r="B65722" s="348" t="s">
        <v>568</v>
      </c>
      <c r="C65722" s="349">
        <v>5.3778762707661788E-3</v>
      </c>
      <c r="D65722" s="349">
        <f t="shared" si="6"/>
        <v>5.2219473999336782E-2</v>
      </c>
      <c r="E65722" s="349">
        <v>7.219473999336784E-3</v>
      </c>
      <c r="F65722" s="349">
        <v>0.25</v>
      </c>
    </row>
    <row r="65723" spans="1:6" ht="16">
      <c r="A65723" s="347" t="s">
        <v>343</v>
      </c>
      <c r="B65723" s="348" t="s">
        <v>580</v>
      </c>
      <c r="C65723" s="349">
        <v>6.5302783287875029E-3</v>
      </c>
      <c r="D65723" s="349">
        <f t="shared" si="6"/>
        <v>5.3766504142051808E-2</v>
      </c>
      <c r="E65723" s="349">
        <v>8.7665041420518092E-3</v>
      </c>
      <c r="F65723" s="349">
        <v>0.25</v>
      </c>
    </row>
    <row r="65724" spans="1:6" ht="16">
      <c r="A65724" s="347" t="s">
        <v>344</v>
      </c>
      <c r="B65724" s="348" t="s">
        <v>574</v>
      </c>
      <c r="C65724" s="349">
        <v>0</v>
      </c>
      <c r="D65724" s="349">
        <f t="shared" si="6"/>
        <v>4.4999999999999998E-2</v>
      </c>
      <c r="E65724" s="349">
        <v>0</v>
      </c>
      <c r="F65724" s="349">
        <v>0.25</v>
      </c>
    </row>
    <row r="65725" spans="1:6" ht="16">
      <c r="A65725" s="347" t="s">
        <v>345</v>
      </c>
      <c r="B65725" s="348" t="s">
        <v>571</v>
      </c>
      <c r="C65725" s="349">
        <v>2.0743237044383835E-2</v>
      </c>
      <c r="D65725" s="349">
        <f t="shared" si="6"/>
        <v>7.2846542568870451E-2</v>
      </c>
      <c r="E65725" s="349">
        <v>2.7846542568870453E-2</v>
      </c>
      <c r="F65725" s="349">
        <v>0.25</v>
      </c>
    </row>
    <row r="65726" spans="1:6" ht="16">
      <c r="A65726" s="347" t="s">
        <v>693</v>
      </c>
      <c r="B65726" s="348" t="s">
        <v>578</v>
      </c>
      <c r="C65726" s="349">
        <v>3.9181669972725021E-2</v>
      </c>
      <c r="D65726" s="349">
        <f t="shared" si="6"/>
        <v>9.7599024852310853E-2</v>
      </c>
      <c r="E65726" s="349">
        <v>5.2599024852310855E-2</v>
      </c>
      <c r="F65726" s="349">
        <v>0.15</v>
      </c>
    </row>
    <row r="65727" spans="1:6" ht="16">
      <c r="A65727" s="347" t="s">
        <v>346</v>
      </c>
      <c r="B65727" s="348" t="s">
        <v>615</v>
      </c>
      <c r="C65727" s="349">
        <v>0.17499999999999999</v>
      </c>
      <c r="D65727" s="349">
        <f t="shared" si="6"/>
        <v>0.27992692770782934</v>
      </c>
      <c r="E65727" s="349">
        <v>0.23492692770782936</v>
      </c>
      <c r="F65727" s="349">
        <v>0.34</v>
      </c>
    </row>
    <row r="65728" spans="1:6" ht="16">
      <c r="A65728" s="347" t="s">
        <v>347</v>
      </c>
      <c r="B65728" s="348" t="s">
        <v>576</v>
      </c>
      <c r="C65728" s="349">
        <v>3.2779436317050999E-2</v>
      </c>
      <c r="D65728" s="349">
        <f t="shared" si="6"/>
        <v>8.9004412948338496E-2</v>
      </c>
      <c r="E65728" s="349">
        <v>4.4004412948338498E-2</v>
      </c>
      <c r="F65728" s="349">
        <v>0.2</v>
      </c>
    </row>
    <row r="65729" spans="1:6" ht="16">
      <c r="A65729" s="350" t="s">
        <v>868</v>
      </c>
      <c r="B65729" s="348" t="s">
        <v>687</v>
      </c>
      <c r="C65729" s="349">
        <v>0.10896601681957191</v>
      </c>
      <c r="D65729" s="349">
        <f t="shared" si="6"/>
        <v>0.19128029460560964</v>
      </c>
      <c r="E65729" s="349">
        <v>0.14628029460560965</v>
      </c>
      <c r="F65729" s="349">
        <v>0.2</v>
      </c>
    </row>
    <row r="65730" spans="1:6" ht="16">
      <c r="A65730" s="347" t="s">
        <v>348</v>
      </c>
      <c r="B65730" s="348" t="s">
        <v>689</v>
      </c>
      <c r="C65730" s="349">
        <v>0.10896601681957188</v>
      </c>
      <c r="D65730" s="349">
        <f t="shared" si="6"/>
        <v>0.19128029460560964</v>
      </c>
      <c r="E65730" s="349">
        <v>0.14628029460560965</v>
      </c>
      <c r="F65730" s="349">
        <v>0.35</v>
      </c>
    </row>
    <row r="65731" spans="1:6" ht="16">
      <c r="A65731" s="351" t="s">
        <v>612</v>
      </c>
      <c r="B65731" s="348" t="s">
        <v>687</v>
      </c>
      <c r="C65731" s="349">
        <v>9.8082219604926024E-2</v>
      </c>
      <c r="D65731" s="349">
        <f t="shared" si="6"/>
        <v>0.17666945436885656</v>
      </c>
      <c r="E65731" s="349">
        <v>0.13166945436885658</v>
      </c>
      <c r="F65731" s="349">
        <v>0.25</v>
      </c>
    </row>
    <row r="65736" spans="1:6">
      <c r="A65736" s="354" t="s">
        <v>352</v>
      </c>
      <c r="B65736" s="355" t="s">
        <v>376</v>
      </c>
      <c r="C65736" s="355" t="s">
        <v>869</v>
      </c>
      <c r="D65736" s="355" t="s">
        <v>694</v>
      </c>
      <c r="E65736" s="355" t="s">
        <v>870</v>
      </c>
    </row>
    <row r="65737" spans="1:6">
      <c r="A65737" s="356" t="s">
        <v>355</v>
      </c>
      <c r="B65737" s="357">
        <f>$B$1+E65737</f>
        <v>0.13663852306889546</v>
      </c>
      <c r="C65737" s="357">
        <v>6.8262679351091926E-2</v>
      </c>
      <c r="D65737" s="357">
        <v>0.27302836489005694</v>
      </c>
      <c r="E65737" s="357">
        <v>9.1638523068895444E-2</v>
      </c>
    </row>
    <row r="65738" spans="1:6">
      <c r="A65738" s="356" t="s">
        <v>428</v>
      </c>
      <c r="B65738" s="357">
        <f t="shared" ref="B65738:B65746" si="7">$B$1+E65738</f>
        <v>6.1805405008578562E-2</v>
      </c>
      <c r="C65738" s="357">
        <v>1.2518555898193178E-2</v>
      </c>
      <c r="D65738" s="357">
        <v>0.2576437502455447</v>
      </c>
      <c r="E65738" s="357">
        <v>1.6805405008578567E-2</v>
      </c>
    </row>
    <row r="65739" spans="1:6">
      <c r="A65739" s="356" t="s">
        <v>357</v>
      </c>
      <c r="B65739" s="357">
        <f t="shared" si="7"/>
        <v>4.5047923618641933E-2</v>
      </c>
      <c r="C65739" s="357">
        <v>3.5698901544265913E-5</v>
      </c>
      <c r="D65739" s="357">
        <v>0.29744361328762281</v>
      </c>
      <c r="E65739" s="357">
        <v>4.7923618641935289E-5</v>
      </c>
    </row>
    <row r="65740" spans="1:6">
      <c r="A65740" s="356" t="s">
        <v>359</v>
      </c>
      <c r="B65740" s="357">
        <f t="shared" si="7"/>
        <v>0.1865348819700155</v>
      </c>
      <c r="C65740" s="357">
        <v>0.1054310997313879</v>
      </c>
      <c r="D65740" s="357">
        <v>0.2724561140242252</v>
      </c>
      <c r="E65740" s="357">
        <v>0.14153488197001549</v>
      </c>
    </row>
    <row r="65741" spans="1:6">
      <c r="A65741" s="356" t="s">
        <v>356</v>
      </c>
      <c r="B65741" s="357">
        <f t="shared" si="7"/>
        <v>0.10261091058162494</v>
      </c>
      <c r="C65741" s="357">
        <v>4.2915086193622262E-2</v>
      </c>
      <c r="D65741" s="357">
        <v>0.31595749426030023</v>
      </c>
      <c r="E65741" s="357">
        <v>5.7610910581624951E-2</v>
      </c>
    </row>
    <row r="65742" spans="1:6">
      <c r="A65742" s="356" t="s">
        <v>354</v>
      </c>
      <c r="B65742" s="357">
        <f t="shared" si="7"/>
        <v>9.5579383477192262E-2</v>
      </c>
      <c r="C65742" s="357">
        <v>3.7670398345457844E-2</v>
      </c>
      <c r="D65742" s="357">
        <v>0.18485819102180306</v>
      </c>
      <c r="E65742" s="357">
        <v>5.0579383477192263E-2</v>
      </c>
    </row>
    <row r="65743" spans="1:6">
      <c r="A65743" s="356" t="s">
        <v>360</v>
      </c>
      <c r="B65743" s="357">
        <f t="shared" si="7"/>
        <v>6.6589990892489848E-2</v>
      </c>
      <c r="C65743" s="357">
        <v>1.6082653627874467E-2</v>
      </c>
      <c r="D65743" s="357">
        <v>0.18760152153615242</v>
      </c>
      <c r="E65743" s="357">
        <v>2.1589990892489853E-2</v>
      </c>
    </row>
    <row r="65744" spans="1:6">
      <c r="A65744" s="356" t="s">
        <v>362</v>
      </c>
      <c r="B65744" s="357">
        <f t="shared" si="7"/>
        <v>4.4999999999999998E-2</v>
      </c>
      <c r="C65744" s="357">
        <v>0</v>
      </c>
      <c r="D65744" s="357">
        <v>0.25116286561170831</v>
      </c>
      <c r="E65744" s="357">
        <v>0</v>
      </c>
    </row>
    <row r="65745" spans="1:5">
      <c r="A65745" s="356" t="s">
        <v>353</v>
      </c>
      <c r="B65745" s="357">
        <f t="shared" si="7"/>
        <v>5.7871606293643366E-2</v>
      </c>
      <c r="C65745" s="357">
        <v>9.5882201472833571E-3</v>
      </c>
      <c r="D65745" s="357">
        <v>0.24707349543413576</v>
      </c>
      <c r="E65745" s="357">
        <v>1.2871606293643371E-2</v>
      </c>
    </row>
    <row r="65746" spans="1:5">
      <c r="A65746" s="356" t="s">
        <v>491</v>
      </c>
      <c r="B65746" s="357">
        <f t="shared" si="7"/>
        <v>6.3100000000000003E-2</v>
      </c>
      <c r="C65746" s="357">
        <v>1.35E-2</v>
      </c>
      <c r="D65746" s="357">
        <v>0.25225942509764748</v>
      </c>
      <c r="E65746" s="357">
        <v>1.8100000000000002E-2</v>
      </c>
    </row>
    <row r="131073" spans="1:6">
      <c r="A131073" t="s">
        <v>613</v>
      </c>
      <c r="B131073" s="242">
        <v>4.5999999999999999E-2</v>
      </c>
      <c r="C131073" t="s">
        <v>847</v>
      </c>
    </row>
    <row r="131074" spans="1:6" ht="14">
      <c r="A131074" s="275" t="s">
        <v>686</v>
      </c>
      <c r="B131074" s="275"/>
      <c r="C131074" s="275"/>
      <c r="D131074" s="275"/>
      <c r="E131074" s="275"/>
      <c r="F131074" s="275"/>
    </row>
    <row r="131076" spans="1:6" ht="16">
      <c r="A131076" s="344" t="s">
        <v>349</v>
      </c>
      <c r="B131076" s="345" t="s">
        <v>566</v>
      </c>
      <c r="C131076" s="346" t="s">
        <v>350</v>
      </c>
      <c r="D131076" s="346" t="s">
        <v>567</v>
      </c>
      <c r="E131076" s="346" t="s">
        <v>351</v>
      </c>
      <c r="F131076" s="346" t="s">
        <v>519</v>
      </c>
    </row>
    <row r="131077" spans="1:6" ht="16">
      <c r="A131077" s="347" t="s">
        <v>481</v>
      </c>
      <c r="B131077" s="348" t="s">
        <v>568</v>
      </c>
      <c r="C131077" s="349">
        <v>5.3778762707661788E-3</v>
      </c>
      <c r="D131077" s="349">
        <f>$B$1+E131077</f>
        <v>5.2219473999336782E-2</v>
      </c>
      <c r="E131077" s="349">
        <v>7.219473999336784E-3</v>
      </c>
      <c r="F131077" s="349">
        <v>0.15</v>
      </c>
    </row>
    <row r="131078" spans="1:6" ht="16">
      <c r="A131078" s="347" t="s">
        <v>245</v>
      </c>
      <c r="B131078" s="348" t="s">
        <v>569</v>
      </c>
      <c r="C131078" s="349">
        <v>4.9041109802463012E-2</v>
      </c>
      <c r="D131078" s="349">
        <f t="shared" ref="D131078:D131141" si="8">$B$1+E131078</f>
        <v>0.11083472718442829</v>
      </c>
      <c r="E131078" s="349">
        <v>6.5834727184428288E-2</v>
      </c>
      <c r="F131078" s="349">
        <v>0.15</v>
      </c>
    </row>
    <row r="131079" spans="1:6" ht="16">
      <c r="A131079" s="350" t="s">
        <v>570</v>
      </c>
      <c r="B131079" s="348" t="s">
        <v>687</v>
      </c>
      <c r="C131079" s="349">
        <v>4.9041109802463012E-2</v>
      </c>
      <c r="D131079" s="349">
        <f t="shared" si="8"/>
        <v>0.11083472718442829</v>
      </c>
      <c r="E131079" s="349">
        <v>6.5834727184428288E-2</v>
      </c>
      <c r="F131079" s="349">
        <v>0.26</v>
      </c>
    </row>
    <row r="131080" spans="1:6" ht="16">
      <c r="A131080" s="347" t="s">
        <v>499</v>
      </c>
      <c r="B131080" s="348" t="s">
        <v>571</v>
      </c>
      <c r="C131080" s="349">
        <v>2.0743237044383835E-2</v>
      </c>
      <c r="D131080" s="349">
        <f t="shared" si="8"/>
        <v>7.2846542568870451E-2</v>
      </c>
      <c r="E131080" s="349">
        <v>2.7846542568870453E-2</v>
      </c>
      <c r="F131080" s="349">
        <v>0.1898</v>
      </c>
    </row>
    <row r="131081" spans="1:6" ht="16">
      <c r="A131081" s="347" t="s">
        <v>246</v>
      </c>
      <c r="B131081" s="348" t="s">
        <v>581</v>
      </c>
      <c r="C131081" s="349">
        <v>7.0808704231754685E-2</v>
      </c>
      <c r="D131081" s="349">
        <f t="shared" si="8"/>
        <v>0.14005640765793431</v>
      </c>
      <c r="E131081" s="349">
        <v>9.5056407657934314E-2</v>
      </c>
      <c r="F131081" s="349">
        <v>0.25</v>
      </c>
    </row>
    <row r="131082" spans="1:6" ht="16">
      <c r="A131082" s="347" t="s">
        <v>848</v>
      </c>
      <c r="B131082" s="154" t="s">
        <v>687</v>
      </c>
      <c r="C131082" s="277">
        <v>0.1054310997313879</v>
      </c>
      <c r="D131082" s="349">
        <f t="shared" si="8"/>
        <v>0.23253488197001548</v>
      </c>
      <c r="E131082" s="277">
        <v>0.1875348819700155</v>
      </c>
      <c r="F131082" s="277">
        <v>0.2724561140242252</v>
      </c>
    </row>
    <row r="131083" spans="1:6" ht="16">
      <c r="A131083" s="347" t="s">
        <v>849</v>
      </c>
      <c r="B131083" s="154" t="s">
        <v>687</v>
      </c>
      <c r="C131083" s="277">
        <v>0.1054310997313879</v>
      </c>
      <c r="D131083" s="349">
        <f t="shared" si="8"/>
        <v>0.23253488197001548</v>
      </c>
      <c r="E131083" s="277">
        <v>0.1875348819700155</v>
      </c>
      <c r="F131083" s="277">
        <v>0.2724561140242252</v>
      </c>
    </row>
    <row r="131084" spans="1:6" ht="16">
      <c r="A131084" s="347" t="s">
        <v>247</v>
      </c>
      <c r="B131084" s="348" t="s">
        <v>688</v>
      </c>
      <c r="C131084" s="349">
        <v>0.13073361124886354</v>
      </c>
      <c r="D131084" s="349">
        <f t="shared" si="8"/>
        <v>0.22050197507911562</v>
      </c>
      <c r="E131084" s="349">
        <v>0.17550197507911564</v>
      </c>
      <c r="F131084" s="349">
        <v>0.35</v>
      </c>
    </row>
    <row r="131085" spans="1:6" ht="16">
      <c r="A131085" s="347" t="s">
        <v>248</v>
      </c>
      <c r="B131085" s="348" t="s">
        <v>578</v>
      </c>
      <c r="C131085" s="349">
        <v>3.9181669972725021E-2</v>
      </c>
      <c r="D131085" s="349">
        <f t="shared" si="8"/>
        <v>9.7599024852310853E-2</v>
      </c>
      <c r="E131085" s="349">
        <v>5.2599024852310855E-2</v>
      </c>
      <c r="F131085" s="349">
        <v>0.18</v>
      </c>
    </row>
    <row r="131086" spans="1:6" ht="16">
      <c r="A131086" s="347" t="s">
        <v>249</v>
      </c>
      <c r="B131086" s="348" t="s">
        <v>571</v>
      </c>
      <c r="C131086" s="349">
        <v>2.0743237044383835E-2</v>
      </c>
      <c r="D131086" s="349">
        <f t="shared" si="8"/>
        <v>7.2846542568870451E-2</v>
      </c>
      <c r="E131086" s="349">
        <v>2.7846542568870453E-2</v>
      </c>
      <c r="F131086" s="349">
        <v>0.25</v>
      </c>
    </row>
    <row r="131087" spans="1:6" ht="16">
      <c r="A131087" s="347" t="s">
        <v>250</v>
      </c>
      <c r="B131087" s="348" t="s">
        <v>574</v>
      </c>
      <c r="C131087" s="349">
        <v>0</v>
      </c>
      <c r="D131087" s="349">
        <f t="shared" si="8"/>
        <v>4.4999999999999998E-2</v>
      </c>
      <c r="E131087" s="349">
        <v>0</v>
      </c>
      <c r="F131087" s="349">
        <v>0.3</v>
      </c>
    </row>
    <row r="131088" spans="1:6" ht="16">
      <c r="A131088" s="347" t="s">
        <v>251</v>
      </c>
      <c r="B131088" s="348" t="s">
        <v>575</v>
      </c>
      <c r="C131088" s="349">
        <v>4.3535188858583353E-3</v>
      </c>
      <c r="D131088" s="349">
        <f t="shared" si="8"/>
        <v>5.0844336094701202E-2</v>
      </c>
      <c r="E131088" s="349">
        <v>5.8443360947012038E-3</v>
      </c>
      <c r="F131088" s="349">
        <v>0.24</v>
      </c>
    </row>
    <row r="131089" spans="1:6" ht="16">
      <c r="A131089" s="347" t="s">
        <v>358</v>
      </c>
      <c r="B131089" s="348" t="s">
        <v>589</v>
      </c>
      <c r="C131089" s="349">
        <v>2.7273515373171343E-2</v>
      </c>
      <c r="D131089" s="349">
        <f t="shared" si="8"/>
        <v>8.161304671092226E-2</v>
      </c>
      <c r="E131089" s="349">
        <v>3.6613046710922262E-2</v>
      </c>
      <c r="F131089" s="349">
        <v>0.2</v>
      </c>
    </row>
    <row r="131090" spans="1:6" ht="16">
      <c r="A131090" s="347" t="s">
        <v>252</v>
      </c>
      <c r="B131090" s="348" t="s">
        <v>569</v>
      </c>
      <c r="C131090" s="349">
        <v>4.9041109802463012E-2</v>
      </c>
      <c r="D131090" s="349">
        <f t="shared" si="8"/>
        <v>0.11083472718442829</v>
      </c>
      <c r="E131090" s="349">
        <v>6.5834727184428288E-2</v>
      </c>
      <c r="F131090" s="349">
        <v>0</v>
      </c>
    </row>
    <row r="131091" spans="1:6" ht="16">
      <c r="A131091" s="347" t="s">
        <v>253</v>
      </c>
      <c r="B131091" s="348" t="s">
        <v>572</v>
      </c>
      <c r="C131091" s="349">
        <v>5.9924907017108855E-2</v>
      </c>
      <c r="D131091" s="349">
        <f t="shared" si="8"/>
        <v>0.12544556742118129</v>
      </c>
      <c r="E131091" s="349">
        <v>8.0445567421181294E-2</v>
      </c>
      <c r="F131091" s="349">
        <v>0</v>
      </c>
    </row>
    <row r="131092" spans="1:6" ht="16">
      <c r="A131092" s="347" t="s">
        <v>254</v>
      </c>
      <c r="B131092" s="348" t="s">
        <v>569</v>
      </c>
      <c r="C131092" s="349">
        <v>4.9041109802463012E-2</v>
      </c>
      <c r="D131092" s="349">
        <f t="shared" si="8"/>
        <v>0.11083472718442829</v>
      </c>
      <c r="E131092" s="349">
        <v>6.5834727184428288E-2</v>
      </c>
      <c r="F131092" s="349">
        <v>0.3</v>
      </c>
    </row>
    <row r="131093" spans="1:6" ht="16">
      <c r="A131093" s="347" t="s">
        <v>255</v>
      </c>
      <c r="B131093" s="348" t="s">
        <v>581</v>
      </c>
      <c r="C131093" s="349">
        <v>7.0808704231754685E-2</v>
      </c>
      <c r="D131093" s="349">
        <f t="shared" si="8"/>
        <v>0.14005640765793431</v>
      </c>
      <c r="E131093" s="349">
        <v>9.5056407657934314E-2</v>
      </c>
      <c r="F131093" s="349">
        <v>5.5E-2</v>
      </c>
    </row>
    <row r="131094" spans="1:6" ht="16">
      <c r="A131094" s="347" t="s">
        <v>256</v>
      </c>
      <c r="B131094" s="348" t="s">
        <v>615</v>
      </c>
      <c r="C131094" s="349">
        <v>0.17499999999999999</v>
      </c>
      <c r="D131094" s="349">
        <f t="shared" si="8"/>
        <v>0.27992692770782934</v>
      </c>
      <c r="E131094" s="349">
        <v>0.23492692770782936</v>
      </c>
      <c r="F131094" s="349">
        <v>0.18</v>
      </c>
    </row>
    <row r="131095" spans="1:6" ht="16">
      <c r="A131095" s="347" t="s">
        <v>257</v>
      </c>
      <c r="B131095" s="348" t="s">
        <v>580</v>
      </c>
      <c r="C131095" s="349">
        <v>6.5302783287875029E-3</v>
      </c>
      <c r="D131095" s="349">
        <f t="shared" si="8"/>
        <v>5.3766504142051808E-2</v>
      </c>
      <c r="E131095" s="349">
        <v>8.7665041420518092E-3</v>
      </c>
      <c r="F131095" s="349">
        <v>0.25</v>
      </c>
    </row>
    <row r="131096" spans="1:6" ht="16">
      <c r="A131096" s="347" t="s">
        <v>361</v>
      </c>
      <c r="B131096" s="348" t="s">
        <v>586</v>
      </c>
      <c r="C131096" s="349">
        <v>9.8082219604926024E-2</v>
      </c>
      <c r="D131096" s="349">
        <f t="shared" si="8"/>
        <v>0.17666945436885656</v>
      </c>
      <c r="E131096" s="349">
        <v>0.13166945436885658</v>
      </c>
      <c r="F131096" s="349">
        <v>0.2853</v>
      </c>
    </row>
    <row r="131097" spans="1:6" ht="16">
      <c r="A131097" s="347" t="s">
        <v>582</v>
      </c>
      <c r="B131097" s="348" t="s">
        <v>569</v>
      </c>
      <c r="C131097" s="349">
        <v>4.9041109802463012E-2</v>
      </c>
      <c r="D131097" s="349">
        <f t="shared" si="8"/>
        <v>0.11083472718442829</v>
      </c>
      <c r="E131097" s="349">
        <v>6.5834727184428288E-2</v>
      </c>
      <c r="F131097" s="349">
        <v>0.3</v>
      </c>
    </row>
    <row r="131098" spans="1:6" ht="16">
      <c r="A131098" s="347" t="s">
        <v>258</v>
      </c>
      <c r="B131098" s="348" t="s">
        <v>583</v>
      </c>
      <c r="C131098" s="349">
        <v>9.2192164641705932E-3</v>
      </c>
      <c r="D131098" s="349">
        <f t="shared" si="8"/>
        <v>5.73762411417202E-2</v>
      </c>
      <c r="E131098" s="349">
        <v>1.2376241141720201E-2</v>
      </c>
      <c r="F131098" s="349">
        <v>0</v>
      </c>
    </row>
    <row r="131099" spans="1:6" ht="16">
      <c r="A131099" s="347" t="s">
        <v>259</v>
      </c>
      <c r="B131099" s="348" t="s">
        <v>579</v>
      </c>
      <c r="C131099" s="349">
        <v>8.1692501446400528E-2</v>
      </c>
      <c r="D131099" s="349">
        <f t="shared" si="8"/>
        <v>0.15466724789468733</v>
      </c>
      <c r="E131099" s="349">
        <v>0.10966724789468733</v>
      </c>
      <c r="F131099" s="349">
        <v>0.25</v>
      </c>
    </row>
    <row r="131100" spans="1:6" ht="16">
      <c r="A131100" s="347" t="s">
        <v>260</v>
      </c>
      <c r="B131100" s="348" t="s">
        <v>581</v>
      </c>
      <c r="C131100" s="349">
        <v>7.0808704231754685E-2</v>
      </c>
      <c r="D131100" s="349">
        <f t="shared" si="8"/>
        <v>0.14005640765793431</v>
      </c>
      <c r="E131100" s="349">
        <v>9.5056407657934314E-2</v>
      </c>
      <c r="F131100" s="349">
        <v>0.1</v>
      </c>
    </row>
    <row r="131101" spans="1:6" ht="16">
      <c r="A131101" s="347" t="s">
        <v>261</v>
      </c>
      <c r="B131101" s="348" t="s">
        <v>587</v>
      </c>
      <c r="C131101" s="349">
        <v>1.3060556657575006E-2</v>
      </c>
      <c r="D131101" s="349">
        <f t="shared" si="8"/>
        <v>6.2533008284103617E-2</v>
      </c>
      <c r="E131101" s="349">
        <v>1.7533008284103618E-2</v>
      </c>
      <c r="F131101" s="349">
        <v>0.22</v>
      </c>
    </row>
    <row r="131102" spans="1:6" ht="16">
      <c r="A131102" s="347" t="s">
        <v>262</v>
      </c>
      <c r="B131102" s="348" t="s">
        <v>576</v>
      </c>
      <c r="C131102" s="349">
        <v>3.2779436317050999E-2</v>
      </c>
      <c r="D131102" s="349">
        <f t="shared" si="8"/>
        <v>8.9004412948338496E-2</v>
      </c>
      <c r="E131102" s="349">
        <v>4.4004412948338498E-2</v>
      </c>
      <c r="F131102" s="349">
        <v>0.34</v>
      </c>
    </row>
    <row r="131103" spans="1:6" ht="16">
      <c r="A131103" s="347" t="s">
        <v>850</v>
      </c>
      <c r="B131103" s="348" t="s">
        <v>576</v>
      </c>
      <c r="C131103" s="349">
        <v>3.2779436317050999E-2</v>
      </c>
      <c r="D131103" s="349">
        <f t="shared" si="8"/>
        <v>8.9004412948338496E-2</v>
      </c>
      <c r="E131103" s="349">
        <v>4.4004412948338498E-2</v>
      </c>
      <c r="F131103" s="349">
        <v>0.34</v>
      </c>
    </row>
    <row r="131104" spans="1:6" ht="16">
      <c r="A131104" s="351" t="s">
        <v>584</v>
      </c>
      <c r="B131104" s="348" t="s">
        <v>687</v>
      </c>
      <c r="C131104" s="349">
        <v>6.5302783287875029E-3</v>
      </c>
      <c r="D131104" s="349">
        <f t="shared" si="8"/>
        <v>5.3766504142051808E-2</v>
      </c>
      <c r="E131104" s="349">
        <v>8.7665041420518092E-3</v>
      </c>
      <c r="F131104" s="349">
        <v>0.185</v>
      </c>
    </row>
    <row r="131105" spans="1:6" ht="16">
      <c r="A131105" s="347" t="s">
        <v>263</v>
      </c>
      <c r="B131105" s="348" t="s">
        <v>573</v>
      </c>
      <c r="C131105" s="349">
        <v>1.7414075543433341E-2</v>
      </c>
      <c r="D131105" s="349">
        <f t="shared" si="8"/>
        <v>6.8377344378804827E-2</v>
      </c>
      <c r="E131105" s="349">
        <v>2.3377344378804829E-2</v>
      </c>
      <c r="F131105" s="349">
        <v>0.1</v>
      </c>
    </row>
    <row r="131106" spans="1:6" ht="16">
      <c r="A131106" s="347" t="s">
        <v>482</v>
      </c>
      <c r="B131106" s="348" t="s">
        <v>579</v>
      </c>
      <c r="C131106" s="349">
        <v>8.1692501446400528E-2</v>
      </c>
      <c r="D131106" s="349">
        <f t="shared" si="8"/>
        <v>0.15466724789468733</v>
      </c>
      <c r="E131106" s="349">
        <v>0.10966724789468733</v>
      </c>
      <c r="F131106" s="349">
        <v>0.28000000000000003</v>
      </c>
    </row>
    <row r="131107" spans="1:6" ht="16">
      <c r="A131107" s="347" t="s">
        <v>264</v>
      </c>
      <c r="B131107" s="348" t="s">
        <v>572</v>
      </c>
      <c r="C131107" s="349">
        <v>5.9924907017108855E-2</v>
      </c>
      <c r="D131107" s="349">
        <f t="shared" si="8"/>
        <v>0.12544556742118129</v>
      </c>
      <c r="E131107" s="349">
        <v>8.0445567421181294E-2</v>
      </c>
      <c r="F131107" s="349">
        <v>0.2</v>
      </c>
    </row>
    <row r="131108" spans="1:6" ht="16">
      <c r="A131108" s="347" t="s">
        <v>483</v>
      </c>
      <c r="B131108" s="348" t="s">
        <v>579</v>
      </c>
      <c r="C131108" s="349">
        <v>8.1692501446400528E-2</v>
      </c>
      <c r="D131108" s="349">
        <f t="shared" si="8"/>
        <v>0.15466724789468733</v>
      </c>
      <c r="E131108" s="349">
        <v>0.10966724789468733</v>
      </c>
      <c r="F131108" s="349">
        <v>0.33</v>
      </c>
    </row>
    <row r="131109" spans="1:6" ht="16">
      <c r="A131109" s="347" t="s">
        <v>265</v>
      </c>
      <c r="B131109" s="348" t="s">
        <v>574</v>
      </c>
      <c r="C131109" s="349">
        <v>0</v>
      </c>
      <c r="D131109" s="349">
        <f t="shared" si="8"/>
        <v>4.4999999999999998E-2</v>
      </c>
      <c r="E131109" s="349">
        <v>0</v>
      </c>
      <c r="F131109" s="349">
        <v>0.26500000000000001</v>
      </c>
    </row>
    <row r="131110" spans="1:6" ht="16">
      <c r="A131110" s="347" t="s">
        <v>484</v>
      </c>
      <c r="B131110" s="348" t="s">
        <v>581</v>
      </c>
      <c r="C131110" s="349">
        <v>7.0808704231754685E-2</v>
      </c>
      <c r="D131110" s="349">
        <f t="shared" si="8"/>
        <v>0.14005640765793431</v>
      </c>
      <c r="E131110" s="349">
        <v>9.5056407657934314E-2</v>
      </c>
      <c r="F131110" s="349">
        <v>0</v>
      </c>
    </row>
    <row r="131111" spans="1:6" ht="16">
      <c r="A131111" s="347" t="s">
        <v>266</v>
      </c>
      <c r="B131111" s="348" t="s">
        <v>580</v>
      </c>
      <c r="C131111" s="349">
        <v>6.5302783287875029E-3</v>
      </c>
      <c r="D131111" s="349">
        <f t="shared" si="8"/>
        <v>5.3766504142051808E-2</v>
      </c>
      <c r="E131111" s="349">
        <v>8.7665041420518092E-3</v>
      </c>
      <c r="F131111" s="349">
        <v>0</v>
      </c>
    </row>
    <row r="131112" spans="1:6" ht="16">
      <c r="A131112" s="347" t="s">
        <v>851</v>
      </c>
      <c r="B131112" s="154" t="s">
        <v>687</v>
      </c>
      <c r="C131112" s="277">
        <v>9.5882201472833571E-3</v>
      </c>
      <c r="D131112" s="349">
        <f t="shared" si="8"/>
        <v>0.10387160629364336</v>
      </c>
      <c r="E131112" s="277">
        <v>5.8871606293643367E-2</v>
      </c>
      <c r="F131112" s="277">
        <v>0.24707349543413576</v>
      </c>
    </row>
    <row r="131113" spans="1:6" ht="16">
      <c r="A131113" s="347" t="s">
        <v>267</v>
      </c>
      <c r="B131113" s="348" t="s">
        <v>583</v>
      </c>
      <c r="C131113" s="349">
        <v>9.2192164641705932E-3</v>
      </c>
      <c r="D131113" s="349">
        <f t="shared" si="8"/>
        <v>5.73762411417202E-2</v>
      </c>
      <c r="E131113" s="349">
        <v>1.2376241141720201E-2</v>
      </c>
      <c r="F131113" s="349">
        <v>0.27</v>
      </c>
    </row>
    <row r="131114" spans="1:6" ht="16">
      <c r="A131114" s="347" t="s">
        <v>268</v>
      </c>
      <c r="B131114" s="348" t="s">
        <v>585</v>
      </c>
      <c r="C131114" s="349">
        <v>7.6826803868088279E-3</v>
      </c>
      <c r="D131114" s="349">
        <f t="shared" si="8"/>
        <v>5.5313534284766833E-2</v>
      </c>
      <c r="E131114" s="349">
        <v>1.0313534284766834E-2</v>
      </c>
      <c r="F131114" s="349">
        <v>0.25</v>
      </c>
    </row>
    <row r="131115" spans="1:6" ht="16">
      <c r="A131115" s="347" t="s">
        <v>269</v>
      </c>
      <c r="B131115" s="348" t="s">
        <v>571</v>
      </c>
      <c r="C131115" s="349">
        <v>2.0743237044383835E-2</v>
      </c>
      <c r="D131115" s="349">
        <f t="shared" si="8"/>
        <v>7.2846542568870451E-2</v>
      </c>
      <c r="E131115" s="349">
        <v>2.7846542568870453E-2</v>
      </c>
      <c r="F131115" s="349">
        <v>0.35</v>
      </c>
    </row>
    <row r="131116" spans="1:6" ht="16">
      <c r="A131116" s="347" t="s">
        <v>500</v>
      </c>
      <c r="B131116" s="348" t="s">
        <v>581</v>
      </c>
      <c r="C131116" s="349">
        <v>7.0808704231754685E-2</v>
      </c>
      <c r="D131116" s="349">
        <f t="shared" si="8"/>
        <v>0.14005640765793431</v>
      </c>
      <c r="E131116" s="349">
        <v>9.5056407657934314E-2</v>
      </c>
      <c r="F131116" s="349">
        <v>0.3</v>
      </c>
    </row>
    <row r="131117" spans="1:6" ht="16">
      <c r="A131117" s="347" t="s">
        <v>501</v>
      </c>
      <c r="B131117" s="348" t="s">
        <v>586</v>
      </c>
      <c r="C131117" s="349">
        <v>9.8082219604926024E-2</v>
      </c>
      <c r="D131117" s="349">
        <f t="shared" si="8"/>
        <v>0.17666945436885656</v>
      </c>
      <c r="E131117" s="349">
        <v>0.13166945436885658</v>
      </c>
      <c r="F131117" s="349">
        <v>0.28000000000000003</v>
      </c>
    </row>
    <row r="131118" spans="1:6" ht="16">
      <c r="A131118" s="347" t="s">
        <v>485</v>
      </c>
      <c r="B131118" s="348" t="s">
        <v>569</v>
      </c>
      <c r="C131118" s="349">
        <v>4.9041109802463012E-2</v>
      </c>
      <c r="D131118" s="349">
        <f t="shared" si="8"/>
        <v>0.11083472718442829</v>
      </c>
      <c r="E131118" s="349">
        <v>6.5834727184428288E-2</v>
      </c>
      <c r="F131118" s="349">
        <v>0.2974</v>
      </c>
    </row>
    <row r="131119" spans="1:6" ht="16">
      <c r="A131119" s="347" t="s">
        <v>270</v>
      </c>
      <c r="B131119" s="348" t="s">
        <v>569</v>
      </c>
      <c r="C131119" s="349">
        <v>4.9041109802463012E-2</v>
      </c>
      <c r="D131119" s="349">
        <f t="shared" si="8"/>
        <v>0.11083472718442829</v>
      </c>
      <c r="E131119" s="349">
        <v>6.5834727184428288E-2</v>
      </c>
      <c r="F131119" s="349">
        <v>0.3</v>
      </c>
    </row>
    <row r="131120" spans="1:6" ht="16">
      <c r="A131120" s="347" t="s">
        <v>271</v>
      </c>
      <c r="B131120" s="348" t="s">
        <v>571</v>
      </c>
      <c r="C131120" s="349">
        <v>2.0743237044383835E-2</v>
      </c>
      <c r="D131120" s="349">
        <f t="shared" si="8"/>
        <v>7.2846542568870451E-2</v>
      </c>
      <c r="E131120" s="349">
        <v>2.7846542568870453E-2</v>
      </c>
      <c r="F131120" s="349">
        <v>0.18</v>
      </c>
    </row>
    <row r="131121" spans="1:6" ht="16">
      <c r="A131121" s="347" t="s">
        <v>363</v>
      </c>
      <c r="B131121" s="348" t="s">
        <v>688</v>
      </c>
      <c r="C131121" s="349">
        <v>0.13073361124886354</v>
      </c>
      <c r="D131121" s="349">
        <f t="shared" si="8"/>
        <v>0.22050197507911562</v>
      </c>
      <c r="E131121" s="349">
        <v>0.17550197507911564</v>
      </c>
      <c r="F131121" s="349">
        <v>0.2853</v>
      </c>
    </row>
    <row r="131122" spans="1:6" ht="16">
      <c r="A131122" s="352" t="s">
        <v>852</v>
      </c>
      <c r="B131122" s="348" t="s">
        <v>571</v>
      </c>
      <c r="C131122" s="349">
        <v>2.0743237044383835E-2</v>
      </c>
      <c r="D131122" s="349">
        <f t="shared" si="8"/>
        <v>7.2846542568870451E-2</v>
      </c>
      <c r="E131122" s="349">
        <v>2.7846542568870453E-2</v>
      </c>
      <c r="F131122" s="349">
        <v>0.22</v>
      </c>
    </row>
    <row r="131123" spans="1:6" ht="16">
      <c r="A131123" s="347" t="s">
        <v>272</v>
      </c>
      <c r="B131123" s="348" t="s">
        <v>571</v>
      </c>
      <c r="C131123" s="349">
        <v>2.0743237044383835E-2</v>
      </c>
      <c r="D131123" s="349">
        <f t="shared" si="8"/>
        <v>7.2846542568870451E-2</v>
      </c>
      <c r="E131123" s="349">
        <v>2.7846542568870453E-2</v>
      </c>
      <c r="F131123" s="349">
        <v>0.125</v>
      </c>
    </row>
    <row r="131124" spans="1:6" ht="16">
      <c r="A131124" s="347" t="s">
        <v>273</v>
      </c>
      <c r="B131124" s="348" t="s">
        <v>580</v>
      </c>
      <c r="C131124" s="349">
        <v>6.5302783287875029E-3</v>
      </c>
      <c r="D131124" s="349">
        <f t="shared" si="8"/>
        <v>5.3766504142051808E-2</v>
      </c>
      <c r="E131124" s="349">
        <v>8.7665041420518092E-3</v>
      </c>
      <c r="F131124" s="349">
        <v>0.19</v>
      </c>
    </row>
    <row r="131125" spans="1:6" ht="16">
      <c r="A131125" s="347" t="s">
        <v>274</v>
      </c>
      <c r="B131125" s="348" t="s">
        <v>574</v>
      </c>
      <c r="C131125" s="349">
        <v>0</v>
      </c>
      <c r="D131125" s="349">
        <f t="shared" si="8"/>
        <v>4.4999999999999998E-2</v>
      </c>
      <c r="E131125" s="349">
        <v>0</v>
      </c>
      <c r="F131125" s="349">
        <v>0.22</v>
      </c>
    </row>
    <row r="131126" spans="1:6" ht="16">
      <c r="A131126" s="347" t="s">
        <v>275</v>
      </c>
      <c r="B131126" s="348" t="s">
        <v>578</v>
      </c>
      <c r="C131126" s="349">
        <v>3.9181669972725021E-2</v>
      </c>
      <c r="D131126" s="349">
        <f t="shared" si="8"/>
        <v>9.7599024852310853E-2</v>
      </c>
      <c r="E131126" s="349">
        <v>5.2599024852310855E-2</v>
      </c>
      <c r="F131126" s="349">
        <v>0.27</v>
      </c>
    </row>
    <row r="131127" spans="1:6" ht="16">
      <c r="A131127" s="347" t="s">
        <v>276</v>
      </c>
      <c r="B131127" s="348" t="s">
        <v>689</v>
      </c>
      <c r="C131127" s="349">
        <v>0.10896601681957188</v>
      </c>
      <c r="D131127" s="349">
        <f t="shared" si="8"/>
        <v>0.19128029460560964</v>
      </c>
      <c r="E131127" s="349">
        <v>0.14628029460560965</v>
      </c>
      <c r="F131127" s="349">
        <v>0.25</v>
      </c>
    </row>
    <row r="131128" spans="1:6" ht="16">
      <c r="A131128" s="347" t="s">
        <v>277</v>
      </c>
      <c r="B131128" s="348" t="s">
        <v>579</v>
      </c>
      <c r="C131128" s="349">
        <v>8.1692501446400528E-2</v>
      </c>
      <c r="D131128" s="349">
        <f t="shared" si="8"/>
        <v>0.15466724789468733</v>
      </c>
      <c r="E131128" s="349">
        <v>0.10966724789468733</v>
      </c>
      <c r="F131128" s="349">
        <v>0.22500000000000001</v>
      </c>
    </row>
    <row r="131129" spans="1:6" ht="16">
      <c r="A131129" s="347" t="s">
        <v>364</v>
      </c>
      <c r="B131129" s="348" t="s">
        <v>689</v>
      </c>
      <c r="C131129" s="349">
        <v>0.10896601681957188</v>
      </c>
      <c r="D131129" s="349">
        <f t="shared" si="8"/>
        <v>0.19128029460560964</v>
      </c>
      <c r="E131129" s="349">
        <v>0.14628029460560965</v>
      </c>
      <c r="F131129" s="349">
        <v>0.3</v>
      </c>
    </row>
    <row r="131130" spans="1:6" ht="16">
      <c r="A131130" s="347" t="s">
        <v>278</v>
      </c>
      <c r="B131130" s="348" t="s">
        <v>585</v>
      </c>
      <c r="C131130" s="349">
        <v>7.6826803868088279E-3</v>
      </c>
      <c r="D131130" s="349">
        <f t="shared" si="8"/>
        <v>5.5313534284766833E-2</v>
      </c>
      <c r="E131130" s="349">
        <v>1.0313534284766834E-2</v>
      </c>
      <c r="F131130" s="349">
        <v>0.2</v>
      </c>
    </row>
    <row r="131131" spans="1:6" ht="16">
      <c r="A131131" s="347" t="s">
        <v>502</v>
      </c>
      <c r="B131131" s="348" t="s">
        <v>586</v>
      </c>
      <c r="C131131" s="349">
        <v>9.8082219604926024E-2</v>
      </c>
      <c r="D131131" s="349">
        <f t="shared" si="8"/>
        <v>0.17666945436885656</v>
      </c>
      <c r="E131131" s="349">
        <v>0.13166945436885658</v>
      </c>
      <c r="F131131" s="349">
        <v>0.3</v>
      </c>
    </row>
    <row r="131132" spans="1:6" ht="16">
      <c r="A131132" s="347" t="s">
        <v>853</v>
      </c>
      <c r="B131132" s="154" t="s">
        <v>687</v>
      </c>
      <c r="C131132" s="277">
        <v>4.2915086193622262E-2</v>
      </c>
      <c r="D131132" s="349">
        <f t="shared" si="8"/>
        <v>0.14861091058162493</v>
      </c>
      <c r="E131132" s="277">
        <v>0.10361091058162493</v>
      </c>
      <c r="F131132" s="277">
        <v>0.31595749426030023</v>
      </c>
    </row>
    <row r="131133" spans="1:6" ht="16">
      <c r="A131133" s="347" t="s">
        <v>279</v>
      </c>
      <c r="B131133" s="348" t="s">
        <v>569</v>
      </c>
      <c r="C131133" s="349">
        <v>4.9041109802463012E-2</v>
      </c>
      <c r="D131133" s="349">
        <f t="shared" si="8"/>
        <v>0.11083472718442829</v>
      </c>
      <c r="E131133" s="349">
        <v>6.5834727184428288E-2</v>
      </c>
      <c r="F131133" s="349">
        <v>0.2</v>
      </c>
    </row>
    <row r="131134" spans="1:6" ht="16">
      <c r="A131134" s="347" t="s">
        <v>280</v>
      </c>
      <c r="B131134" s="348" t="s">
        <v>575</v>
      </c>
      <c r="C131134" s="349">
        <v>4.3535188858583353E-3</v>
      </c>
      <c r="D131134" s="349">
        <f t="shared" si="8"/>
        <v>5.0844336094701202E-2</v>
      </c>
      <c r="E131134" s="349">
        <v>5.8443360947012038E-3</v>
      </c>
      <c r="F131134" s="349">
        <v>0.2</v>
      </c>
    </row>
    <row r="131135" spans="1:6" ht="16">
      <c r="A131135" s="347" t="s">
        <v>281</v>
      </c>
      <c r="B131135" s="348" t="s">
        <v>568</v>
      </c>
      <c r="C131135" s="349">
        <v>5.3778762707661788E-3</v>
      </c>
      <c r="D131135" s="349">
        <f t="shared" si="8"/>
        <v>5.2219473999336782E-2</v>
      </c>
      <c r="E131135" s="349">
        <v>7.219473999336784E-3</v>
      </c>
      <c r="F131135" s="349">
        <v>0.25</v>
      </c>
    </row>
    <row r="131136" spans="1:6" ht="16">
      <c r="A131136" s="347" t="s">
        <v>854</v>
      </c>
      <c r="B131136" s="154" t="s">
        <v>687</v>
      </c>
      <c r="C131136" s="277">
        <v>4.2915086193622262E-2</v>
      </c>
      <c r="D131136" s="349">
        <f t="shared" si="8"/>
        <v>0.14861091058162493</v>
      </c>
      <c r="E131136" s="277">
        <v>0.10361091058162493</v>
      </c>
      <c r="F131136" s="277">
        <v>0.31595749426030023</v>
      </c>
    </row>
    <row r="131137" spans="1:6" ht="16">
      <c r="A131137" s="347" t="s">
        <v>486</v>
      </c>
      <c r="B131137" s="348" t="s">
        <v>579</v>
      </c>
      <c r="C131137" s="349">
        <v>8.1692501446400528E-2</v>
      </c>
      <c r="D131137" s="349">
        <f t="shared" si="8"/>
        <v>0.15466724789468733</v>
      </c>
      <c r="E131137" s="349">
        <v>0.10966724789468733</v>
      </c>
      <c r="F131137" s="349">
        <v>0.3</v>
      </c>
    </row>
    <row r="131138" spans="1:6" ht="16">
      <c r="A131138" s="350" t="s">
        <v>588</v>
      </c>
      <c r="B131138" s="348" t="s">
        <v>687</v>
      </c>
      <c r="C131138" s="349">
        <v>4.9041109802463012E-2</v>
      </c>
      <c r="D131138" s="349">
        <f t="shared" si="8"/>
        <v>0.11083472718442829</v>
      </c>
      <c r="E131138" s="349">
        <v>6.5834727184428288E-2</v>
      </c>
      <c r="F131138" s="349">
        <v>0.31</v>
      </c>
    </row>
    <row r="131139" spans="1:6" ht="16">
      <c r="A131139" s="347" t="s">
        <v>365</v>
      </c>
      <c r="B131139" s="348" t="s">
        <v>576</v>
      </c>
      <c r="C131139" s="349">
        <v>3.2779436317050999E-2</v>
      </c>
      <c r="D131139" s="349">
        <f t="shared" si="8"/>
        <v>8.9004412948338496E-2</v>
      </c>
      <c r="E131139" s="349">
        <v>4.4004412948338498E-2</v>
      </c>
      <c r="F131139" s="349">
        <v>0.15</v>
      </c>
    </row>
    <row r="131140" spans="1:6" ht="16">
      <c r="A131140" s="347" t="s">
        <v>282</v>
      </c>
      <c r="B131140" s="348" t="s">
        <v>574</v>
      </c>
      <c r="C131140" s="349">
        <v>0</v>
      </c>
      <c r="D131140" s="349">
        <f t="shared" si="8"/>
        <v>4.4999999999999998E-2</v>
      </c>
      <c r="E131140" s="349">
        <v>0</v>
      </c>
      <c r="F131140" s="349">
        <v>0.3</v>
      </c>
    </row>
    <row r="131141" spans="1:6" ht="16">
      <c r="A131141" s="347" t="s">
        <v>487</v>
      </c>
      <c r="B131141" s="348" t="s">
        <v>689</v>
      </c>
      <c r="C131141" s="349">
        <v>0.10896601681957188</v>
      </c>
      <c r="D131141" s="349">
        <f t="shared" si="8"/>
        <v>0.19128029460560964</v>
      </c>
      <c r="E131141" s="349">
        <v>0.14628029460560965</v>
      </c>
      <c r="F131141" s="349">
        <v>0.25</v>
      </c>
    </row>
    <row r="131142" spans="1:6" ht="16">
      <c r="A131142" s="347" t="s">
        <v>855</v>
      </c>
      <c r="B131142" s="154" t="s">
        <v>687</v>
      </c>
      <c r="C131142" s="277">
        <v>9.5882201472833571E-3</v>
      </c>
      <c r="D131142" s="349">
        <f t="shared" ref="D131142:D131205" si="9">$B$1+E131142</f>
        <v>0.10387160629364336</v>
      </c>
      <c r="E131142" s="277">
        <v>5.8871606293643367E-2</v>
      </c>
      <c r="F131142" s="277">
        <v>0.24707349543413576</v>
      </c>
    </row>
    <row r="131143" spans="1:6" ht="16">
      <c r="A131143" s="347" t="s">
        <v>283</v>
      </c>
      <c r="B131143" s="348" t="s">
        <v>589</v>
      </c>
      <c r="C131143" s="349">
        <v>2.7273515373171343E-2</v>
      </c>
      <c r="D131143" s="349">
        <f t="shared" si="9"/>
        <v>8.161304671092226E-2</v>
      </c>
      <c r="E131143" s="349">
        <v>3.6613046710922262E-2</v>
      </c>
      <c r="F131143" s="349">
        <v>0.22</v>
      </c>
    </row>
    <row r="131144" spans="1:6" ht="16">
      <c r="A131144" s="347" t="s">
        <v>856</v>
      </c>
      <c r="B131144" s="154" t="s">
        <v>687</v>
      </c>
      <c r="C131144" s="277">
        <f>J131144</f>
        <v>0</v>
      </c>
      <c r="D131144" s="349">
        <f t="shared" si="9"/>
        <v>4.4999999999999998E-2</v>
      </c>
      <c r="E131144" s="277">
        <f>H131144</f>
        <v>0</v>
      </c>
      <c r="F131144" s="277">
        <f>K131144</f>
        <v>0</v>
      </c>
    </row>
    <row r="131145" spans="1:6" ht="16">
      <c r="A131145" s="347" t="s">
        <v>284</v>
      </c>
      <c r="B131145" s="348" t="s">
        <v>589</v>
      </c>
      <c r="C131145" s="349">
        <v>2.7273515373171343E-2</v>
      </c>
      <c r="D131145" s="349">
        <f t="shared" si="9"/>
        <v>8.161304671092226E-2</v>
      </c>
      <c r="E131145" s="349">
        <v>3.6613046710922262E-2</v>
      </c>
      <c r="F131145" s="349">
        <v>0.25</v>
      </c>
    </row>
    <row r="131146" spans="1:6" ht="16">
      <c r="A131146" s="347" t="s">
        <v>690</v>
      </c>
      <c r="B131146" s="348" t="s">
        <v>585</v>
      </c>
      <c r="C131146" s="349">
        <v>7.6826803868088279E-3</v>
      </c>
      <c r="D131146" s="349">
        <f t="shared" si="9"/>
        <v>5.5313534284766833E-2</v>
      </c>
      <c r="E131146" s="349">
        <v>1.0313534284766834E-2</v>
      </c>
      <c r="F131146" s="349">
        <v>0</v>
      </c>
    </row>
    <row r="131147" spans="1:6" ht="16">
      <c r="A131147" s="351" t="s">
        <v>590</v>
      </c>
      <c r="B131147" s="348" t="s">
        <v>687</v>
      </c>
      <c r="C131147" s="349">
        <v>9.8082219604926024E-2</v>
      </c>
      <c r="D131147" s="349">
        <f t="shared" si="9"/>
        <v>0.17666945436885656</v>
      </c>
      <c r="E131147" s="349">
        <v>0.13166945436885658</v>
      </c>
      <c r="F131147" s="349">
        <v>0.29149999999999998</v>
      </c>
    </row>
    <row r="131148" spans="1:6" ht="16">
      <c r="A131148" s="350" t="s">
        <v>591</v>
      </c>
      <c r="B131148" s="348" t="s">
        <v>687</v>
      </c>
      <c r="C131148" s="349">
        <v>5.9924907017108842E-2</v>
      </c>
      <c r="D131148" s="349">
        <f t="shared" si="9"/>
        <v>0.12544556742118129</v>
      </c>
      <c r="E131148" s="349">
        <v>8.0445567421181294E-2</v>
      </c>
      <c r="F131148" s="349">
        <v>0.29149999999999998</v>
      </c>
    </row>
    <row r="131149" spans="1:6" ht="16">
      <c r="A131149" s="351" t="s">
        <v>592</v>
      </c>
      <c r="B131149" s="348" t="s">
        <v>687</v>
      </c>
      <c r="C131149" s="349">
        <v>1.7414075543433345E-2</v>
      </c>
      <c r="D131149" s="349">
        <f t="shared" si="9"/>
        <v>6.8377344378804827E-2</v>
      </c>
      <c r="E131149" s="349">
        <v>2.3377344378804829E-2</v>
      </c>
      <c r="F131149" s="349">
        <v>0.18640000000000001</v>
      </c>
    </row>
    <row r="131150" spans="1:6" ht="16">
      <c r="A131150" s="350" t="s">
        <v>593</v>
      </c>
      <c r="B131150" s="348" t="s">
        <v>687</v>
      </c>
      <c r="C131150" s="349">
        <v>0.10896601681957191</v>
      </c>
      <c r="D131150" s="349">
        <f t="shared" si="9"/>
        <v>0.19128029460560964</v>
      </c>
      <c r="E131150" s="349">
        <v>0.14628029460560965</v>
      </c>
      <c r="F131150" s="349">
        <v>0.18640000000000001</v>
      </c>
    </row>
    <row r="131151" spans="1:6" ht="16">
      <c r="A131151" s="347" t="s">
        <v>285</v>
      </c>
      <c r="B131151" s="348" t="s">
        <v>569</v>
      </c>
      <c r="C131151" s="349">
        <v>4.9041109802463012E-2</v>
      </c>
      <c r="D131151" s="349">
        <f t="shared" si="9"/>
        <v>0.11083472718442829</v>
      </c>
      <c r="E131151" s="349">
        <v>6.5834727184428288E-2</v>
      </c>
      <c r="F131151" s="349">
        <v>0.25</v>
      </c>
    </row>
    <row r="131152" spans="1:6" ht="16">
      <c r="A131152" s="347" t="s">
        <v>286</v>
      </c>
      <c r="B131152" s="348" t="s">
        <v>580</v>
      </c>
      <c r="C131152" s="349">
        <v>6.5302783287875029E-3</v>
      </c>
      <c r="D131152" s="349">
        <f t="shared" si="9"/>
        <v>5.3766504142051808E-2</v>
      </c>
      <c r="E131152" s="349">
        <v>8.7665041420518092E-3</v>
      </c>
      <c r="F131152" s="349">
        <v>0.16500000000000001</v>
      </c>
    </row>
    <row r="131153" spans="1:6" ht="16">
      <c r="A131153" s="347" t="s">
        <v>287</v>
      </c>
      <c r="B131153" s="348" t="s">
        <v>571</v>
      </c>
      <c r="C131153" s="349">
        <v>2.0743237044383835E-2</v>
      </c>
      <c r="D131153" s="349">
        <f t="shared" si="9"/>
        <v>7.2846542568870451E-2</v>
      </c>
      <c r="E131153" s="349">
        <v>2.7846542568870453E-2</v>
      </c>
      <c r="F131153" s="349">
        <v>0.09</v>
      </c>
    </row>
    <row r="131154" spans="1:6" ht="16">
      <c r="A131154" s="347" t="s">
        <v>288</v>
      </c>
      <c r="B131154" s="348" t="s">
        <v>583</v>
      </c>
      <c r="C131154" s="349">
        <v>9.2192164641705932E-3</v>
      </c>
      <c r="D131154" s="349">
        <f t="shared" si="9"/>
        <v>5.73762411417202E-2</v>
      </c>
      <c r="E131154" s="349">
        <v>1.2376241141720201E-2</v>
      </c>
      <c r="F131154" s="349">
        <v>0.2</v>
      </c>
    </row>
    <row r="131155" spans="1:6" ht="16">
      <c r="A131155" s="347" t="s">
        <v>289</v>
      </c>
      <c r="B131155" s="348" t="s">
        <v>577</v>
      </c>
      <c r="C131155" s="349">
        <v>2.3944353872220846E-2</v>
      </c>
      <c r="D131155" s="349">
        <f t="shared" si="9"/>
        <v>7.7143848520856623E-2</v>
      </c>
      <c r="E131155" s="349">
        <v>3.2143848520856624E-2</v>
      </c>
      <c r="F131155" s="349">
        <v>0.3</v>
      </c>
    </row>
    <row r="131156" spans="1:6" ht="16">
      <c r="A131156" s="347" t="s">
        <v>290</v>
      </c>
      <c r="B131156" s="348" t="s">
        <v>571</v>
      </c>
      <c r="C131156" s="349">
        <v>2.0743237044383835E-2</v>
      </c>
      <c r="D131156" s="349">
        <f t="shared" si="9"/>
        <v>7.2846542568870451E-2</v>
      </c>
      <c r="E131156" s="349">
        <v>2.7846542568870453E-2</v>
      </c>
      <c r="F131156" s="349">
        <v>0.22</v>
      </c>
    </row>
    <row r="131157" spans="1:6" ht="16">
      <c r="A131157" s="351" t="s">
        <v>594</v>
      </c>
      <c r="B131157" s="348" t="s">
        <v>687</v>
      </c>
      <c r="C131157" s="349">
        <v>7.0808704231754685E-2</v>
      </c>
      <c r="D131157" s="349">
        <f t="shared" si="9"/>
        <v>0.14005640765793431</v>
      </c>
      <c r="E131157" s="349">
        <v>9.5056407657934314E-2</v>
      </c>
      <c r="F131157" s="349">
        <v>0.20230000000000001</v>
      </c>
    </row>
    <row r="131158" spans="1:6" ht="16">
      <c r="A131158" s="347" t="s">
        <v>559</v>
      </c>
      <c r="B131158" s="348" t="s">
        <v>579</v>
      </c>
      <c r="C131158" s="349">
        <v>8.1692501446400528E-2</v>
      </c>
      <c r="D131158" s="349">
        <f t="shared" si="9"/>
        <v>0.15466724789468733</v>
      </c>
      <c r="E131158" s="349">
        <v>0.10966724789468733</v>
      </c>
      <c r="F131158" s="349">
        <v>0.15</v>
      </c>
    </row>
    <row r="131159" spans="1:6" ht="16">
      <c r="A131159" s="347" t="s">
        <v>291</v>
      </c>
      <c r="B131159" s="348" t="s">
        <v>580</v>
      </c>
      <c r="C131159" s="349">
        <v>6.5302783287875029E-3</v>
      </c>
      <c r="D131159" s="349">
        <f t="shared" si="9"/>
        <v>5.3766504142051808E-2</v>
      </c>
      <c r="E131159" s="349">
        <v>8.7665041420518092E-3</v>
      </c>
      <c r="F131159" s="349">
        <v>0.125</v>
      </c>
    </row>
    <row r="131160" spans="1:6" ht="16">
      <c r="A131160" s="347" t="s">
        <v>292</v>
      </c>
      <c r="B131160" s="348" t="s">
        <v>580</v>
      </c>
      <c r="C131160" s="349">
        <v>6.5302783287875029E-3</v>
      </c>
      <c r="D131160" s="349">
        <f t="shared" si="9"/>
        <v>5.3766504142051808E-2</v>
      </c>
      <c r="E131160" s="349">
        <v>8.7665041420518092E-3</v>
      </c>
      <c r="F131160" s="349">
        <v>0</v>
      </c>
    </row>
    <row r="131161" spans="1:6" ht="16">
      <c r="A131161" s="347" t="s">
        <v>293</v>
      </c>
      <c r="B131161" s="348" t="s">
        <v>585</v>
      </c>
      <c r="C131161" s="349">
        <v>7.6826803868088279E-3</v>
      </c>
      <c r="D131161" s="349">
        <f t="shared" si="9"/>
        <v>5.5313534284766833E-2</v>
      </c>
      <c r="E131161" s="349">
        <v>1.0313534284766834E-2</v>
      </c>
      <c r="F131161" s="349">
        <v>0.23</v>
      </c>
    </row>
    <row r="131162" spans="1:6" ht="16">
      <c r="A131162" s="347" t="s">
        <v>294</v>
      </c>
      <c r="B131162" s="348" t="s">
        <v>577</v>
      </c>
      <c r="C131162" s="349">
        <v>2.3944353872220846E-2</v>
      </c>
      <c r="D131162" s="349">
        <f t="shared" si="9"/>
        <v>7.7143848520856623E-2</v>
      </c>
      <c r="E131162" s="349">
        <v>3.2143848520856624E-2</v>
      </c>
      <c r="F131162" s="349">
        <v>0.24</v>
      </c>
    </row>
    <row r="131163" spans="1:6" ht="16">
      <c r="A131163" s="347" t="s">
        <v>857</v>
      </c>
      <c r="B131163" s="348" t="s">
        <v>578</v>
      </c>
      <c r="C131163" s="349">
        <v>3.9181669972725021E-2</v>
      </c>
      <c r="D131163" s="349">
        <f t="shared" si="9"/>
        <v>9.7599024852310853E-2</v>
      </c>
      <c r="E131163" s="349">
        <v>5.2599024852310855E-2</v>
      </c>
      <c r="F131163" s="349">
        <v>0.25</v>
      </c>
    </row>
    <row r="131164" spans="1:6" ht="16">
      <c r="A131164" s="347" t="s">
        <v>295</v>
      </c>
      <c r="B131164" s="348" t="s">
        <v>569</v>
      </c>
      <c r="C131164" s="349">
        <v>4.9041109802463012E-2</v>
      </c>
      <c r="D131164" s="349">
        <f t="shared" si="9"/>
        <v>0.11083472718442829</v>
      </c>
      <c r="E131164" s="349">
        <v>6.5834727184428288E-2</v>
      </c>
      <c r="F131164" s="349">
        <v>0.25</v>
      </c>
    </row>
    <row r="131165" spans="1:6" ht="16">
      <c r="A131165" s="347" t="s">
        <v>296</v>
      </c>
      <c r="B131165" s="348" t="s">
        <v>585</v>
      </c>
      <c r="C131165" s="349">
        <v>7.6826803868088279E-3</v>
      </c>
      <c r="D131165" s="349">
        <f t="shared" si="9"/>
        <v>5.5313534284766833E-2</v>
      </c>
      <c r="E131165" s="349">
        <v>1.0313534284766834E-2</v>
      </c>
      <c r="F131165" s="349">
        <v>0.30620000000000003</v>
      </c>
    </row>
    <row r="131166" spans="1:6" ht="16">
      <c r="A131166" s="347" t="s">
        <v>691</v>
      </c>
      <c r="B131166" s="348" t="s">
        <v>580</v>
      </c>
      <c r="C131166" s="349">
        <v>6.5302783287875029E-3</v>
      </c>
      <c r="D131166" s="349">
        <f t="shared" si="9"/>
        <v>5.3766504142051808E-2</v>
      </c>
      <c r="E131166" s="349">
        <v>8.7665041420518092E-3</v>
      </c>
      <c r="F131166" s="349">
        <v>0</v>
      </c>
    </row>
    <row r="131167" spans="1:6" ht="16">
      <c r="A131167" s="347" t="s">
        <v>297</v>
      </c>
      <c r="B131167" s="348" t="s">
        <v>569</v>
      </c>
      <c r="C131167" s="349">
        <v>4.9041109802463012E-2</v>
      </c>
      <c r="D131167" s="349">
        <f t="shared" si="9"/>
        <v>0.11083472718442829</v>
      </c>
      <c r="E131167" s="349">
        <v>6.5834727184428288E-2</v>
      </c>
      <c r="F131167" s="349">
        <v>0.2</v>
      </c>
    </row>
    <row r="131168" spans="1:6" ht="16">
      <c r="A131168" s="347" t="s">
        <v>298</v>
      </c>
      <c r="B131168" s="348" t="s">
        <v>571</v>
      </c>
      <c r="C131168" s="349">
        <v>2.0743237044383835E-2</v>
      </c>
      <c r="D131168" s="349">
        <f t="shared" si="9"/>
        <v>7.2846542568870451E-2</v>
      </c>
      <c r="E131168" s="349">
        <v>2.7846542568870453E-2</v>
      </c>
      <c r="F131168" s="349">
        <v>0.2</v>
      </c>
    </row>
    <row r="131169" spans="1:6" ht="16">
      <c r="A131169" s="347" t="s">
        <v>429</v>
      </c>
      <c r="B131169" s="348" t="s">
        <v>581</v>
      </c>
      <c r="C131169" s="349">
        <v>7.0808704231754685E-2</v>
      </c>
      <c r="D131169" s="349">
        <f t="shared" si="9"/>
        <v>0.14005640765793431</v>
      </c>
      <c r="E131169" s="349">
        <v>9.5056407657934314E-2</v>
      </c>
      <c r="F131169" s="349">
        <v>0.3</v>
      </c>
    </row>
    <row r="131170" spans="1:6" ht="16">
      <c r="A131170" s="350" t="s">
        <v>595</v>
      </c>
      <c r="B131170" s="348" t="s">
        <v>687</v>
      </c>
      <c r="C131170" s="349">
        <v>0.17499999999999999</v>
      </c>
      <c r="D131170" s="349">
        <f t="shared" si="9"/>
        <v>0.27992692770782934</v>
      </c>
      <c r="E131170" s="349">
        <v>0.23492692770782936</v>
      </c>
      <c r="F131170" s="349">
        <v>0.23100000000000001</v>
      </c>
    </row>
    <row r="131171" spans="1:6" ht="16">
      <c r="A131171" s="347" t="s">
        <v>299</v>
      </c>
      <c r="B131171" s="348" t="s">
        <v>585</v>
      </c>
      <c r="C131171" s="349">
        <v>7.6826803868088279E-3</v>
      </c>
      <c r="D131171" s="349">
        <f t="shared" si="9"/>
        <v>5.5313534284766833E-2</v>
      </c>
      <c r="E131171" s="349">
        <v>1.0313534284766834E-2</v>
      </c>
      <c r="F131171" s="349">
        <v>0.15</v>
      </c>
    </row>
    <row r="131172" spans="1:6" ht="16">
      <c r="A131172" s="347" t="s">
        <v>488</v>
      </c>
      <c r="B131172" s="348" t="s">
        <v>581</v>
      </c>
      <c r="C131172" s="349">
        <v>7.0808704231754685E-2</v>
      </c>
      <c r="D131172" s="349">
        <f t="shared" si="9"/>
        <v>0.14005640765793431</v>
      </c>
      <c r="E131172" s="349">
        <v>9.5056407657934314E-2</v>
      </c>
      <c r="F131172" s="349">
        <v>0.1</v>
      </c>
    </row>
    <row r="131173" spans="1:6" ht="16">
      <c r="A131173" s="347" t="s">
        <v>622</v>
      </c>
      <c r="B131173" s="348" t="s">
        <v>689</v>
      </c>
      <c r="C131173" s="349">
        <v>0.10896601681957188</v>
      </c>
      <c r="D131173" s="349">
        <f t="shared" si="9"/>
        <v>0.19128029460560964</v>
      </c>
      <c r="E131173" s="349">
        <v>0.14628029460560965</v>
      </c>
      <c r="F131173" s="349">
        <v>0.26860000000000001</v>
      </c>
    </row>
    <row r="131174" spans="1:6" ht="16">
      <c r="A131174" s="347" t="s">
        <v>300</v>
      </c>
      <c r="B131174" s="348" t="s">
        <v>587</v>
      </c>
      <c r="C131174" s="349">
        <v>1.3060556657575006E-2</v>
      </c>
      <c r="D131174" s="349">
        <f t="shared" si="9"/>
        <v>6.2533008284103617E-2</v>
      </c>
      <c r="E131174" s="349">
        <v>1.7533008284103618E-2</v>
      </c>
      <c r="F131174" s="349">
        <v>0.2</v>
      </c>
    </row>
    <row r="131175" spans="1:6" ht="16">
      <c r="A131175" s="347" t="s">
        <v>366</v>
      </c>
      <c r="B131175" s="348" t="s">
        <v>615</v>
      </c>
      <c r="C131175" s="349">
        <v>0.17499999999999999</v>
      </c>
      <c r="D131175" s="349">
        <f t="shared" si="9"/>
        <v>0.27992692770782934</v>
      </c>
      <c r="E131175" s="349">
        <v>0.23492692770782936</v>
      </c>
      <c r="F131175" s="349">
        <v>0.17</v>
      </c>
    </row>
    <row r="131176" spans="1:6" ht="16">
      <c r="A131176" s="351" t="s">
        <v>596</v>
      </c>
      <c r="B131176" s="348" t="s">
        <v>687</v>
      </c>
      <c r="C131176" s="349">
        <v>0.13073361124886354</v>
      </c>
      <c r="D131176" s="349">
        <f t="shared" si="9"/>
        <v>0.22050197507911562</v>
      </c>
      <c r="E131176" s="349">
        <v>0.17550197507911564</v>
      </c>
      <c r="F131176" s="349">
        <v>0.29149999999999998</v>
      </c>
    </row>
    <row r="131177" spans="1:6" ht="16">
      <c r="A131177" s="350" t="s">
        <v>597</v>
      </c>
      <c r="B131177" s="348" t="s">
        <v>687</v>
      </c>
      <c r="C131177" s="349">
        <v>2.0743237044383835E-2</v>
      </c>
      <c r="D131177" s="349">
        <f t="shared" si="9"/>
        <v>7.2846542568870451E-2</v>
      </c>
      <c r="E131177" s="349">
        <v>2.7846542568870453E-2</v>
      </c>
      <c r="F131177" s="349">
        <v>0.2</v>
      </c>
    </row>
    <row r="131178" spans="1:6" ht="16">
      <c r="A131178" s="347" t="s">
        <v>301</v>
      </c>
      <c r="B131178" s="348" t="s">
        <v>574</v>
      </c>
      <c r="C131178" s="349">
        <v>0</v>
      </c>
      <c r="D131178" s="349">
        <f t="shared" si="9"/>
        <v>4.4999999999999998E-2</v>
      </c>
      <c r="E131178" s="349">
        <v>0</v>
      </c>
      <c r="F131178" s="349">
        <v>0.125</v>
      </c>
    </row>
    <row r="131179" spans="1:6" ht="16">
      <c r="A131179" s="347" t="s">
        <v>302</v>
      </c>
      <c r="B131179" s="348" t="s">
        <v>583</v>
      </c>
      <c r="C131179" s="349">
        <v>9.2192164641705932E-3</v>
      </c>
      <c r="D131179" s="349">
        <f t="shared" si="9"/>
        <v>5.73762411417202E-2</v>
      </c>
      <c r="E131179" s="349">
        <v>1.2376241141720201E-2</v>
      </c>
      <c r="F131179" s="349">
        <v>0.15</v>
      </c>
    </row>
    <row r="131180" spans="1:6" ht="16">
      <c r="A131180" s="347" t="s">
        <v>303</v>
      </c>
      <c r="B131180" s="348" t="s">
        <v>574</v>
      </c>
      <c r="C131180" s="349">
        <v>0</v>
      </c>
      <c r="D131180" s="349">
        <f t="shared" si="9"/>
        <v>4.4999999999999998E-2</v>
      </c>
      <c r="E131180" s="349">
        <v>0</v>
      </c>
      <c r="F131180" s="349">
        <v>0.24940000000000001</v>
      </c>
    </row>
    <row r="131181" spans="1:6" ht="16">
      <c r="A131181" s="347" t="s">
        <v>858</v>
      </c>
      <c r="B131181" s="348" t="s">
        <v>580</v>
      </c>
      <c r="C131181" s="349">
        <v>6.5302783287875029E-3</v>
      </c>
      <c r="D131181" s="349">
        <f t="shared" si="9"/>
        <v>5.3766504142051808E-2</v>
      </c>
      <c r="E131181" s="349">
        <v>8.7665041420518092E-3</v>
      </c>
      <c r="F131181" s="349">
        <v>0.26860000000000001</v>
      </c>
    </row>
    <row r="131182" spans="1:6" ht="16">
      <c r="A131182" s="347" t="s">
        <v>304</v>
      </c>
      <c r="B131182" s="348" t="s">
        <v>578</v>
      </c>
      <c r="C131182" s="349">
        <v>3.9181669972725021E-2</v>
      </c>
      <c r="D131182" s="349">
        <f t="shared" si="9"/>
        <v>9.7599024852310853E-2</v>
      </c>
      <c r="E131182" s="349">
        <v>5.2599024852310855E-2</v>
      </c>
      <c r="F131182" s="349">
        <v>0.1</v>
      </c>
    </row>
    <row r="131183" spans="1:6" ht="16">
      <c r="A131183" s="351" t="s">
        <v>598</v>
      </c>
      <c r="B131183" s="348" t="s">
        <v>687</v>
      </c>
      <c r="C131183" s="349">
        <v>7.0808704231754685E-2</v>
      </c>
      <c r="D131183" s="349">
        <f t="shared" si="9"/>
        <v>0.14005640765793431</v>
      </c>
      <c r="E131183" s="349">
        <v>9.5056407657934314E-2</v>
      </c>
      <c r="F131183" s="349">
        <v>0.2</v>
      </c>
    </row>
    <row r="131184" spans="1:6" ht="16">
      <c r="A131184" s="350" t="s">
        <v>599</v>
      </c>
      <c r="B131184" s="348" t="s">
        <v>687</v>
      </c>
      <c r="C131184" s="349">
        <v>0.13073361124886354</v>
      </c>
      <c r="D131184" s="349">
        <f t="shared" si="9"/>
        <v>0.22050197507911562</v>
      </c>
      <c r="E131184" s="349">
        <v>0.17550197507911564</v>
      </c>
      <c r="F131184" s="349">
        <v>0.3</v>
      </c>
    </row>
    <row r="131185" spans="1:6" ht="16">
      <c r="A131185" s="347" t="s">
        <v>305</v>
      </c>
      <c r="B131185" s="348" t="s">
        <v>587</v>
      </c>
      <c r="C131185" s="349">
        <v>1.3060556657575006E-2</v>
      </c>
      <c r="D131185" s="349">
        <f t="shared" si="9"/>
        <v>6.2533008284103617E-2</v>
      </c>
      <c r="E131185" s="349">
        <v>1.7533008284103618E-2</v>
      </c>
      <c r="F131185" s="349">
        <v>0.24</v>
      </c>
    </row>
    <row r="131186" spans="1:6" ht="16">
      <c r="A131186" s="347" t="s">
        <v>692</v>
      </c>
      <c r="B131186" s="348" t="s">
        <v>579</v>
      </c>
      <c r="C131186" s="349">
        <v>8.1692501446400528E-2</v>
      </c>
      <c r="D131186" s="349">
        <f t="shared" si="9"/>
        <v>0.15466724789468733</v>
      </c>
      <c r="E131186" s="349">
        <v>0.10966724789468733</v>
      </c>
      <c r="F131186" s="349">
        <v>0.26860000000000001</v>
      </c>
    </row>
    <row r="131187" spans="1:6" ht="16">
      <c r="A131187" s="347" t="s">
        <v>600</v>
      </c>
      <c r="B131187" s="348" t="s">
        <v>586</v>
      </c>
      <c r="C131187" s="349">
        <v>9.8082219604926024E-2</v>
      </c>
      <c r="D131187" s="349">
        <f t="shared" si="9"/>
        <v>0.17666945436885656</v>
      </c>
      <c r="E131187" s="349">
        <v>0.13166945436885658</v>
      </c>
      <c r="F131187" s="349">
        <v>0.26860000000000001</v>
      </c>
    </row>
    <row r="131188" spans="1:6" ht="16">
      <c r="A131188" s="347" t="s">
        <v>306</v>
      </c>
      <c r="B131188" s="348" t="s">
        <v>583</v>
      </c>
      <c r="C131188" s="349">
        <v>9.2192164641705932E-3</v>
      </c>
      <c r="D131188" s="349">
        <f t="shared" si="9"/>
        <v>5.73762411417202E-2</v>
      </c>
      <c r="E131188" s="349">
        <v>1.2376241141720201E-2</v>
      </c>
      <c r="F131188" s="349">
        <v>0.35</v>
      </c>
    </row>
    <row r="131189" spans="1:6" ht="16">
      <c r="A131189" s="347" t="s">
        <v>859</v>
      </c>
      <c r="B131189" s="154" t="s">
        <v>687</v>
      </c>
      <c r="C131189" s="277">
        <f>J131189</f>
        <v>0</v>
      </c>
      <c r="D131189" s="349">
        <f t="shared" si="9"/>
        <v>4.4999999999999998E-2</v>
      </c>
      <c r="E131189" s="277">
        <f>H131189</f>
        <v>0</v>
      </c>
      <c r="F131189" s="277">
        <f>K131189</f>
        <v>0</v>
      </c>
    </row>
    <row r="131190" spans="1:6" ht="16">
      <c r="A131190" s="347" t="s">
        <v>307</v>
      </c>
      <c r="B131190" s="348" t="s">
        <v>577</v>
      </c>
      <c r="C131190" s="349">
        <v>2.3944353872220846E-2</v>
      </c>
      <c r="D131190" s="349">
        <f t="shared" si="9"/>
        <v>7.7143848520856623E-2</v>
      </c>
      <c r="E131190" s="349">
        <v>3.2143848520856624E-2</v>
      </c>
      <c r="F131190" s="349">
        <v>0.15</v>
      </c>
    </row>
    <row r="131191" spans="1:6" ht="16">
      <c r="A131191" s="347" t="s">
        <v>308</v>
      </c>
      <c r="B131191" s="348" t="s">
        <v>571</v>
      </c>
      <c r="C131191" s="349">
        <v>2.0743237044383835E-2</v>
      </c>
      <c r="D131191" s="349">
        <f t="shared" si="9"/>
        <v>7.2846542568870451E-2</v>
      </c>
      <c r="E131191" s="349">
        <v>2.7846542568870453E-2</v>
      </c>
      <c r="F131191" s="349">
        <v>0.3</v>
      </c>
    </row>
    <row r="131192" spans="1:6" ht="16">
      <c r="A131192" s="347" t="s">
        <v>860</v>
      </c>
      <c r="B131192" s="154" t="s">
        <v>687</v>
      </c>
      <c r="C131192" s="277">
        <v>9.5882201472833571E-3</v>
      </c>
      <c r="D131192" s="349">
        <f t="shared" si="9"/>
        <v>0.10387160629364336</v>
      </c>
      <c r="E131192" s="277">
        <v>5.8871606293643367E-2</v>
      </c>
      <c r="F131192" s="277">
        <v>0.24707349543413576</v>
      </c>
    </row>
    <row r="131193" spans="1:6" ht="16">
      <c r="A131193" s="347" t="s">
        <v>367</v>
      </c>
      <c r="B131193" s="348" t="s">
        <v>581</v>
      </c>
      <c r="C131193" s="349">
        <v>7.0808704231754685E-2</v>
      </c>
      <c r="D131193" s="349">
        <f t="shared" si="9"/>
        <v>0.14005640765793431</v>
      </c>
      <c r="E131193" s="349">
        <v>9.5056407657934314E-2</v>
      </c>
      <c r="F131193" s="349">
        <v>0.12</v>
      </c>
    </row>
    <row r="131194" spans="1:6" ht="16">
      <c r="A131194" s="347" t="s">
        <v>368</v>
      </c>
      <c r="B131194" s="348" t="s">
        <v>581</v>
      </c>
      <c r="C131194" s="349">
        <v>7.0808704231754685E-2</v>
      </c>
      <c r="D131194" s="349">
        <f t="shared" si="9"/>
        <v>0.14005640765793431</v>
      </c>
      <c r="E131194" s="349">
        <v>9.5056407657934314E-2</v>
      </c>
      <c r="F131194" s="349">
        <v>0.25</v>
      </c>
    </row>
    <row r="131195" spans="1:6" ht="16">
      <c r="A131195" s="347" t="s">
        <v>309</v>
      </c>
      <c r="B131195" s="348" t="s">
        <v>569</v>
      </c>
      <c r="C131195" s="349">
        <v>4.9041109802463012E-2</v>
      </c>
      <c r="D131195" s="349">
        <f t="shared" si="9"/>
        <v>0.11083472718442829</v>
      </c>
      <c r="E131195" s="349">
        <v>6.5834727184428288E-2</v>
      </c>
      <c r="F131195" s="349">
        <v>0.15</v>
      </c>
    </row>
    <row r="131196" spans="1:6" ht="16">
      <c r="A131196" s="347" t="s">
        <v>489</v>
      </c>
      <c r="B131196" s="348" t="s">
        <v>577</v>
      </c>
      <c r="C131196" s="349">
        <v>2.3944353872220846E-2</v>
      </c>
      <c r="D131196" s="349">
        <f t="shared" si="9"/>
        <v>7.7143848520856623E-2</v>
      </c>
      <c r="E131196" s="349">
        <v>3.2143848520856624E-2</v>
      </c>
      <c r="F131196" s="349">
        <v>0.2853</v>
      </c>
    </row>
    <row r="131197" spans="1:6" ht="16">
      <c r="A131197" s="347" t="s">
        <v>369</v>
      </c>
      <c r="B131197" s="348" t="s">
        <v>589</v>
      </c>
      <c r="C131197" s="349">
        <v>2.7273515373171343E-2</v>
      </c>
      <c r="D131197" s="349">
        <f t="shared" si="9"/>
        <v>8.161304671092226E-2</v>
      </c>
      <c r="E131197" s="349">
        <v>3.6613046710922262E-2</v>
      </c>
      <c r="F131197" s="349">
        <v>0.32</v>
      </c>
    </row>
    <row r="131198" spans="1:6" ht="16">
      <c r="A131198" s="347" t="s">
        <v>310</v>
      </c>
      <c r="B131198" s="348" t="s">
        <v>586</v>
      </c>
      <c r="C131198" s="349">
        <v>9.8082219604926024E-2</v>
      </c>
      <c r="D131198" s="349">
        <f t="shared" si="9"/>
        <v>0.17666945436885656</v>
      </c>
      <c r="E131198" s="349">
        <v>0.13166945436885658</v>
      </c>
      <c r="F131198" s="349">
        <v>0.32</v>
      </c>
    </row>
    <row r="131199" spans="1:6" ht="16">
      <c r="A131199" s="351" t="s">
        <v>601</v>
      </c>
      <c r="B131199" s="348" t="s">
        <v>687</v>
      </c>
      <c r="C131199" s="349">
        <v>0.10896601681957191</v>
      </c>
      <c r="D131199" s="349">
        <f t="shared" si="9"/>
        <v>0.19128029460560964</v>
      </c>
      <c r="E131199" s="349">
        <v>0.14628029460560965</v>
      </c>
      <c r="F131199" s="349">
        <v>0.25</v>
      </c>
    </row>
    <row r="131200" spans="1:6" ht="16">
      <c r="A131200" s="347" t="s">
        <v>311</v>
      </c>
      <c r="B131200" s="348" t="s">
        <v>569</v>
      </c>
      <c r="C131200" s="349">
        <v>4.9041109802463012E-2</v>
      </c>
      <c r="D131200" s="349">
        <f t="shared" si="9"/>
        <v>0.11083472718442829</v>
      </c>
      <c r="E131200" s="349">
        <v>6.5834727184428288E-2</v>
      </c>
      <c r="F131200" s="349">
        <v>0.32</v>
      </c>
    </row>
    <row r="131201" spans="1:6" ht="16">
      <c r="A131201" s="347" t="s">
        <v>312</v>
      </c>
      <c r="B131201" s="348" t="s">
        <v>574</v>
      </c>
      <c r="C131201" s="349">
        <v>0</v>
      </c>
      <c r="D131201" s="349">
        <f t="shared" si="9"/>
        <v>4.4999999999999998E-2</v>
      </c>
      <c r="E131201" s="349">
        <v>0</v>
      </c>
      <c r="F131201" s="349">
        <v>0.25800000000000001</v>
      </c>
    </row>
    <row r="131202" spans="1:6" ht="16">
      <c r="A131202" s="347" t="s">
        <v>861</v>
      </c>
      <c r="B131202" s="154" t="s">
        <v>687</v>
      </c>
      <c r="C131202" s="277">
        <v>0.1054310997313879</v>
      </c>
      <c r="D131202" s="349">
        <f t="shared" si="9"/>
        <v>0.23253488197001548</v>
      </c>
      <c r="E131202" s="277">
        <v>0.1875348819700155</v>
      </c>
      <c r="F131202" s="277">
        <v>0.2724561140242252</v>
      </c>
    </row>
    <row r="131203" spans="1:6" ht="16">
      <c r="A131203" s="347" t="s">
        <v>313</v>
      </c>
      <c r="B131203" s="348" t="s">
        <v>574</v>
      </c>
      <c r="C131203" s="349">
        <v>0</v>
      </c>
      <c r="D131203" s="349">
        <f t="shared" si="9"/>
        <v>4.4999999999999998E-2</v>
      </c>
      <c r="E131203" s="349">
        <v>0</v>
      </c>
      <c r="F131203" s="349">
        <v>0.28000000000000003</v>
      </c>
    </row>
    <row r="131204" spans="1:6" ht="16">
      <c r="A131204" s="347" t="s">
        <v>370</v>
      </c>
      <c r="B131204" s="348" t="s">
        <v>581</v>
      </c>
      <c r="C131204" s="349">
        <v>7.0808704231754685E-2</v>
      </c>
      <c r="D131204" s="349">
        <f t="shared" si="9"/>
        <v>0.14005640765793431</v>
      </c>
      <c r="E131204" s="349">
        <v>9.5056407657934314E-2</v>
      </c>
      <c r="F131204" s="349">
        <v>0.3</v>
      </c>
    </row>
    <row r="131205" spans="1:6" ht="16">
      <c r="A131205" s="347" t="s">
        <v>602</v>
      </c>
      <c r="B131205" s="348" t="s">
        <v>586</v>
      </c>
      <c r="C131205" s="349">
        <v>9.8082219604926024E-2</v>
      </c>
      <c r="D131205" s="349">
        <f t="shared" si="9"/>
        <v>0.17666945436885656</v>
      </c>
      <c r="E131205" s="349">
        <v>0.13166945436885658</v>
      </c>
      <c r="F131205" s="349">
        <v>0.26860000000000001</v>
      </c>
    </row>
    <row r="131206" spans="1:6" ht="16">
      <c r="A131206" s="347" t="s">
        <v>314</v>
      </c>
      <c r="B131206" s="348" t="s">
        <v>579</v>
      </c>
      <c r="C131206" s="349">
        <v>8.1692501446400528E-2</v>
      </c>
      <c r="D131206" s="349">
        <f t="shared" ref="D131206:D131267" si="10">$B$1+E131206</f>
        <v>0.15466724789468733</v>
      </c>
      <c r="E131206" s="349">
        <v>0.10966724789468733</v>
      </c>
      <c r="F131206" s="349">
        <v>0.3</v>
      </c>
    </row>
    <row r="131207" spans="1:6" ht="16">
      <c r="A131207" s="347" t="s">
        <v>315</v>
      </c>
      <c r="B131207" s="348" t="s">
        <v>574</v>
      </c>
      <c r="C131207" s="349">
        <v>0</v>
      </c>
      <c r="D131207" s="349">
        <f t="shared" si="10"/>
        <v>4.4999999999999998E-2</v>
      </c>
      <c r="E131207" s="349">
        <v>0</v>
      </c>
      <c r="F131207" s="349">
        <v>0.22</v>
      </c>
    </row>
    <row r="131208" spans="1:6" ht="16">
      <c r="A131208" s="347" t="s">
        <v>316</v>
      </c>
      <c r="B131208" s="348" t="s">
        <v>589</v>
      </c>
      <c r="C131208" s="349">
        <v>2.7273515373171343E-2</v>
      </c>
      <c r="D131208" s="349">
        <f t="shared" si="10"/>
        <v>8.161304671092226E-2</v>
      </c>
      <c r="E131208" s="349">
        <v>3.6613046710922262E-2</v>
      </c>
      <c r="F131208" s="349">
        <v>0.15</v>
      </c>
    </row>
    <row r="131209" spans="1:6" ht="16">
      <c r="A131209" s="347" t="s">
        <v>317</v>
      </c>
      <c r="B131209" s="348" t="s">
        <v>689</v>
      </c>
      <c r="C131209" s="349">
        <v>0.10896601681957188</v>
      </c>
      <c r="D131209" s="349">
        <f t="shared" si="10"/>
        <v>0.19128029460560964</v>
      </c>
      <c r="E131209" s="349">
        <v>0.14628029460560965</v>
      </c>
      <c r="F131209" s="349">
        <v>0.28999999999999998</v>
      </c>
    </row>
    <row r="131210" spans="1:6" ht="16">
      <c r="A131210" s="347" t="s">
        <v>862</v>
      </c>
      <c r="B131210" s="154" t="s">
        <v>687</v>
      </c>
      <c r="C131210" s="277">
        <v>1.6082653627874467E-2</v>
      </c>
      <c r="D131210" s="349">
        <f t="shared" si="10"/>
        <v>0.11258999089248985</v>
      </c>
      <c r="E131210" s="277">
        <v>6.7589990892489848E-2</v>
      </c>
      <c r="F131210" s="277">
        <v>0.18760152153615242</v>
      </c>
    </row>
    <row r="131211" spans="1:6" ht="16">
      <c r="A131211" s="347" t="s">
        <v>318</v>
      </c>
      <c r="B131211" s="348" t="s">
        <v>571</v>
      </c>
      <c r="C131211" s="349">
        <v>2.0743237044383835E-2</v>
      </c>
      <c r="D131211" s="349">
        <f t="shared" si="10"/>
        <v>7.2846542568870451E-2</v>
      </c>
      <c r="E131211" s="349">
        <v>2.7846542568870453E-2</v>
      </c>
      <c r="F131211" s="349">
        <v>0.25</v>
      </c>
    </row>
    <row r="131212" spans="1:6" ht="16">
      <c r="A131212" s="347" t="s">
        <v>319</v>
      </c>
      <c r="B131212" s="348" t="s">
        <v>572</v>
      </c>
      <c r="C131212" s="349">
        <v>5.9924907017108855E-2</v>
      </c>
      <c r="D131212" s="349">
        <f t="shared" si="10"/>
        <v>0.12544556742118129</v>
      </c>
      <c r="E131212" s="349">
        <v>8.0445567421181294E-2</v>
      </c>
      <c r="F131212" s="349">
        <v>0.3</v>
      </c>
    </row>
    <row r="131213" spans="1:6" ht="16">
      <c r="A131213" s="347" t="s">
        <v>320</v>
      </c>
      <c r="B131213" s="348" t="s">
        <v>589</v>
      </c>
      <c r="C131213" s="349">
        <v>2.7273515373171343E-2</v>
      </c>
      <c r="D131213" s="349">
        <f t="shared" si="10"/>
        <v>8.161304671092226E-2</v>
      </c>
      <c r="E131213" s="349">
        <v>3.6613046710922262E-2</v>
      </c>
      <c r="F131213" s="349">
        <v>0.1</v>
      </c>
    </row>
    <row r="131214" spans="1:6" ht="16">
      <c r="A131214" s="347" t="s">
        <v>321</v>
      </c>
      <c r="B131214" s="348" t="s">
        <v>573</v>
      </c>
      <c r="C131214" s="349">
        <v>1.7414075543433341E-2</v>
      </c>
      <c r="D131214" s="349">
        <f t="shared" si="10"/>
        <v>6.8377344378804827E-2</v>
      </c>
      <c r="E131214" s="349">
        <v>2.3377344378804829E-2</v>
      </c>
      <c r="F131214" s="349">
        <v>0.29499999999999998</v>
      </c>
    </row>
    <row r="131215" spans="1:6" ht="16">
      <c r="A131215" s="347" t="s">
        <v>322</v>
      </c>
      <c r="B131215" s="348" t="s">
        <v>571</v>
      </c>
      <c r="C131215" s="349">
        <v>2.0743237044383835E-2</v>
      </c>
      <c r="D131215" s="349">
        <f t="shared" si="10"/>
        <v>7.2846542568870451E-2</v>
      </c>
      <c r="E131215" s="349">
        <v>2.7846542568870453E-2</v>
      </c>
      <c r="F131215" s="349">
        <v>0.25</v>
      </c>
    </row>
    <row r="131216" spans="1:6" ht="16">
      <c r="A131216" s="347" t="s">
        <v>323</v>
      </c>
      <c r="B131216" s="348" t="s">
        <v>583</v>
      </c>
      <c r="C131216" s="349">
        <v>9.2192164641705932E-3</v>
      </c>
      <c r="D131216" s="349">
        <f t="shared" si="10"/>
        <v>5.73762411417202E-2</v>
      </c>
      <c r="E131216" s="349">
        <v>1.2376241141720201E-2</v>
      </c>
      <c r="F131216" s="349">
        <v>0.19</v>
      </c>
    </row>
    <row r="131217" spans="1:6" ht="16">
      <c r="A131217" s="347" t="s">
        <v>324</v>
      </c>
      <c r="B131217" s="348" t="s">
        <v>587</v>
      </c>
      <c r="C131217" s="349">
        <v>1.3060556657575006E-2</v>
      </c>
      <c r="D131217" s="349">
        <f t="shared" si="10"/>
        <v>6.2533008284103617E-2</v>
      </c>
      <c r="E131217" s="349">
        <v>1.7533008284103618E-2</v>
      </c>
      <c r="F131217" s="349">
        <v>0.21</v>
      </c>
    </row>
    <row r="131218" spans="1:6" ht="16">
      <c r="A131218" s="347" t="s">
        <v>325</v>
      </c>
      <c r="B131218" s="348" t="s">
        <v>580</v>
      </c>
      <c r="C131218" s="349">
        <v>6.5302783287875029E-3</v>
      </c>
      <c r="D131218" s="349">
        <f t="shared" si="10"/>
        <v>5.3766504142051808E-2</v>
      </c>
      <c r="E131218" s="349">
        <v>8.7665041420518092E-3</v>
      </c>
      <c r="F131218" s="349">
        <v>0.1</v>
      </c>
    </row>
    <row r="131219" spans="1:6" ht="16">
      <c r="A131219" s="347" t="s">
        <v>503</v>
      </c>
      <c r="B131219" s="348" t="s">
        <v>587</v>
      </c>
      <c r="C131219" s="349">
        <v>1.3060556657575006E-2</v>
      </c>
      <c r="D131219" s="349">
        <f t="shared" si="10"/>
        <v>6.2533008284103617E-2</v>
      </c>
      <c r="E131219" s="349">
        <v>1.7533008284103618E-2</v>
      </c>
      <c r="F131219" s="349">
        <v>0</v>
      </c>
    </row>
    <row r="131220" spans="1:6" ht="16">
      <c r="A131220" s="347" t="s">
        <v>863</v>
      </c>
      <c r="B131220" s="154" t="s">
        <v>687</v>
      </c>
      <c r="C131220" s="277">
        <v>1.2518555898193178E-2</v>
      </c>
      <c r="D131220" s="349">
        <f t="shared" si="10"/>
        <v>0.10780540500857855</v>
      </c>
      <c r="E131220" s="277">
        <v>6.2805405008578549E-2</v>
      </c>
      <c r="F131220" s="277">
        <v>0.2576437502455447</v>
      </c>
    </row>
    <row r="131221" spans="1:6" ht="16">
      <c r="A131221" s="347" t="s">
        <v>326</v>
      </c>
      <c r="B131221" s="348" t="s">
        <v>577</v>
      </c>
      <c r="C131221" s="349">
        <v>2.3944353872220846E-2</v>
      </c>
      <c r="D131221" s="349">
        <f t="shared" si="10"/>
        <v>7.7143848520856623E-2</v>
      </c>
      <c r="E131221" s="349">
        <v>3.2143848520856624E-2</v>
      </c>
      <c r="F131221" s="349">
        <v>0.16</v>
      </c>
    </row>
    <row r="131222" spans="1:6" ht="16">
      <c r="A131222" s="347" t="s">
        <v>327</v>
      </c>
      <c r="B131222" s="348" t="s">
        <v>687</v>
      </c>
      <c r="C131222" s="349">
        <v>4.9041109802463012E-2</v>
      </c>
      <c r="D131222" s="349">
        <f t="shared" si="10"/>
        <v>0.11083472718442829</v>
      </c>
      <c r="E131222" s="349">
        <v>6.5834727184428288E-2</v>
      </c>
      <c r="F131222" s="349">
        <v>0.25</v>
      </c>
    </row>
    <row r="131223" spans="1:6" ht="16">
      <c r="A131223" s="347" t="s">
        <v>490</v>
      </c>
      <c r="B131223" s="348" t="s">
        <v>572</v>
      </c>
      <c r="C131223" s="349">
        <v>5.9924907017108855E-2</v>
      </c>
      <c r="D131223" s="349">
        <f t="shared" si="10"/>
        <v>0.12544556742118129</v>
      </c>
      <c r="E131223" s="349">
        <v>8.0445567421181294E-2</v>
      </c>
      <c r="F131223" s="349">
        <v>0.3</v>
      </c>
    </row>
    <row r="131224" spans="1:6" ht="16">
      <c r="A131224" s="347" t="s">
        <v>864</v>
      </c>
      <c r="B131224" s="154" t="s">
        <v>687</v>
      </c>
      <c r="C131224" s="277">
        <v>0.1054310997313879</v>
      </c>
      <c r="D131224" s="349">
        <f t="shared" si="10"/>
        <v>0.23253488197001548</v>
      </c>
      <c r="E131224" s="277">
        <v>0.1875348819700155</v>
      </c>
      <c r="F131224" s="277">
        <v>0.2724561140242252</v>
      </c>
    </row>
    <row r="131225" spans="1:6" ht="16">
      <c r="A131225" s="347" t="s">
        <v>328</v>
      </c>
      <c r="B131225" s="348" t="s">
        <v>585</v>
      </c>
      <c r="C131225" s="349">
        <v>7.6826803868088279E-3</v>
      </c>
      <c r="D131225" s="349">
        <f t="shared" si="10"/>
        <v>5.5313534284766833E-2</v>
      </c>
      <c r="E131225" s="349">
        <v>1.0313534284766834E-2</v>
      </c>
      <c r="F131225" s="349">
        <v>0.2</v>
      </c>
    </row>
    <row r="131226" spans="1:6" ht="16">
      <c r="A131226" s="347" t="s">
        <v>371</v>
      </c>
      <c r="B131226" s="348" t="s">
        <v>578</v>
      </c>
      <c r="C131226" s="349">
        <v>3.9181669972725021E-2</v>
      </c>
      <c r="D131226" s="349">
        <f t="shared" si="10"/>
        <v>9.7599024852310853E-2</v>
      </c>
      <c r="E131226" s="349">
        <v>5.2599024852310855E-2</v>
      </c>
      <c r="F131226" s="349">
        <v>0.3</v>
      </c>
    </row>
    <row r="131227" spans="1:6" ht="16">
      <c r="A131227" s="347" t="s">
        <v>329</v>
      </c>
      <c r="B131227" s="348" t="s">
        <v>576</v>
      </c>
      <c r="C131227" s="349">
        <v>3.2779436317050999E-2</v>
      </c>
      <c r="D131227" s="349">
        <f t="shared" si="10"/>
        <v>8.9004412948338496E-2</v>
      </c>
      <c r="E131227" s="349">
        <v>4.4004412948338498E-2</v>
      </c>
      <c r="F131227" s="349">
        <v>0.15</v>
      </c>
    </row>
    <row r="131228" spans="1:6" ht="16">
      <c r="A131228" s="347" t="s">
        <v>504</v>
      </c>
      <c r="B131228" s="348" t="s">
        <v>589</v>
      </c>
      <c r="C131228" s="349">
        <v>2.7273515373171343E-2</v>
      </c>
      <c r="D131228" s="349">
        <f t="shared" si="10"/>
        <v>8.161304671092226E-2</v>
      </c>
      <c r="E131228" s="349">
        <v>3.6613046710922262E-2</v>
      </c>
      <c r="F131228" s="349">
        <v>0</v>
      </c>
    </row>
    <row r="131229" spans="1:6" ht="16">
      <c r="A131229" s="350" t="s">
        <v>603</v>
      </c>
      <c r="B131229" s="348" t="s">
        <v>687</v>
      </c>
      <c r="C131229" s="349">
        <v>0.10896601681957191</v>
      </c>
      <c r="D131229" s="349">
        <f t="shared" si="10"/>
        <v>0.19128029460560964</v>
      </c>
      <c r="E131229" s="349">
        <v>0.14628029460560965</v>
      </c>
      <c r="F131229" s="349">
        <v>0.3</v>
      </c>
    </row>
    <row r="131230" spans="1:6" ht="16">
      <c r="A131230" s="347" t="s">
        <v>330</v>
      </c>
      <c r="B131230" s="348" t="s">
        <v>574</v>
      </c>
      <c r="C131230" s="349">
        <v>0</v>
      </c>
      <c r="D131230" s="349">
        <f t="shared" si="10"/>
        <v>4.4999999999999998E-2</v>
      </c>
      <c r="E131230" s="349">
        <v>0</v>
      </c>
      <c r="F131230" s="349">
        <v>0.17</v>
      </c>
    </row>
    <row r="131231" spans="1:6" ht="16">
      <c r="A131231" s="347" t="s">
        <v>372</v>
      </c>
      <c r="B131231" s="348" t="s">
        <v>583</v>
      </c>
      <c r="C131231" s="349">
        <v>9.2192164641705932E-3</v>
      </c>
      <c r="D131231" s="349">
        <f t="shared" si="10"/>
        <v>5.73762411417202E-2</v>
      </c>
      <c r="E131231" s="349">
        <v>1.2376241141720201E-2</v>
      </c>
      <c r="F131231" s="349">
        <v>0.21</v>
      </c>
    </row>
    <row r="131232" spans="1:6" ht="16">
      <c r="A131232" s="347" t="s">
        <v>331</v>
      </c>
      <c r="B131232" s="348" t="s">
        <v>587</v>
      </c>
      <c r="C131232" s="349">
        <v>1.3060556657575006E-2</v>
      </c>
      <c r="D131232" s="349">
        <f t="shared" si="10"/>
        <v>6.2533008284103617E-2</v>
      </c>
      <c r="E131232" s="349">
        <v>1.7533008284103618E-2</v>
      </c>
      <c r="F131232" s="349">
        <v>0.19</v>
      </c>
    </row>
    <row r="131233" spans="1:6" ht="16">
      <c r="A131233" s="347" t="s">
        <v>604</v>
      </c>
      <c r="B131233" s="348" t="s">
        <v>579</v>
      </c>
      <c r="C131233" s="349">
        <v>8.1692501446400528E-2</v>
      </c>
      <c r="D131233" s="349">
        <f t="shared" si="10"/>
        <v>0.15466724789468733</v>
      </c>
      <c r="E131233" s="349">
        <v>0.10966724789468733</v>
      </c>
      <c r="F131233" s="349">
        <v>0.3</v>
      </c>
    </row>
    <row r="131234" spans="1:6" ht="16">
      <c r="A131234" s="351" t="s">
        <v>605</v>
      </c>
      <c r="B131234" s="348" t="s">
        <v>687</v>
      </c>
      <c r="C131234" s="349">
        <v>0.13073361124886354</v>
      </c>
      <c r="D131234" s="349">
        <f t="shared" si="10"/>
        <v>0.22050197507911562</v>
      </c>
      <c r="E131234" s="349">
        <v>0.17550197507911564</v>
      </c>
      <c r="F131234" s="349">
        <v>0.29149999999999998</v>
      </c>
    </row>
    <row r="131235" spans="1:6" ht="16">
      <c r="A131235" s="347" t="s">
        <v>332</v>
      </c>
      <c r="B131235" s="348" t="s">
        <v>576</v>
      </c>
      <c r="C131235" s="349">
        <v>3.2779436317050999E-2</v>
      </c>
      <c r="D131235" s="349">
        <f t="shared" si="10"/>
        <v>8.9004412948338496E-2</v>
      </c>
      <c r="E131235" s="349">
        <v>4.4004412948338498E-2</v>
      </c>
      <c r="F131235" s="349">
        <v>0.27</v>
      </c>
    </row>
    <row r="131236" spans="1:6" ht="16">
      <c r="A131236" s="347" t="s">
        <v>865</v>
      </c>
      <c r="B131236" s="348" t="s">
        <v>568</v>
      </c>
      <c r="C131236" s="349">
        <v>5.3778762707661788E-3</v>
      </c>
      <c r="D131236" s="349">
        <f t="shared" si="10"/>
        <v>5.2219473999336782E-2</v>
      </c>
      <c r="E131236" s="349">
        <v>7.219473999336784E-3</v>
      </c>
      <c r="F131236" s="349">
        <v>0.25</v>
      </c>
    </row>
    <row r="131237" spans="1:6" ht="16">
      <c r="A131237" s="347" t="s">
        <v>333</v>
      </c>
      <c r="B131237" s="348" t="s">
        <v>573</v>
      </c>
      <c r="C131237" s="349">
        <v>1.7414075543433341E-2</v>
      </c>
      <c r="D131237" s="349">
        <f t="shared" si="10"/>
        <v>6.8377344378804827E-2</v>
      </c>
      <c r="E131237" s="349">
        <v>2.3377344378804829E-2</v>
      </c>
      <c r="F131237" s="349">
        <v>0.25</v>
      </c>
    </row>
    <row r="131238" spans="1:6" ht="16">
      <c r="A131238" s="347" t="s">
        <v>334</v>
      </c>
      <c r="B131238" s="348" t="s">
        <v>688</v>
      </c>
      <c r="C131238" s="349">
        <v>0.13073361124886354</v>
      </c>
      <c r="D131238" s="349">
        <f t="shared" si="10"/>
        <v>0.22050197507911562</v>
      </c>
      <c r="E131238" s="349">
        <v>0.17550197507911564</v>
      </c>
      <c r="F131238" s="349">
        <v>0.24</v>
      </c>
    </row>
    <row r="131239" spans="1:6" ht="16">
      <c r="A131239" s="347" t="s">
        <v>430</v>
      </c>
      <c r="B131239" s="348" t="s">
        <v>576</v>
      </c>
      <c r="C131239" s="349">
        <v>3.2779436317050999E-2</v>
      </c>
      <c r="D131239" s="349">
        <f t="shared" si="10"/>
        <v>8.9004412948338496E-2</v>
      </c>
      <c r="E131239" s="349">
        <v>4.4004412948338498E-2</v>
      </c>
      <c r="F131239" s="349">
        <v>0.2853</v>
      </c>
    </row>
    <row r="131240" spans="1:6" ht="16">
      <c r="A131240" s="347" t="s">
        <v>373</v>
      </c>
      <c r="B131240" s="348" t="s">
        <v>581</v>
      </c>
      <c r="C131240" s="349">
        <v>7.0808704231754685E-2</v>
      </c>
      <c r="D131240" s="349">
        <f t="shared" si="10"/>
        <v>0.14005640765793431</v>
      </c>
      <c r="E131240" s="349">
        <v>9.5056407657934314E-2</v>
      </c>
      <c r="F131240" s="349">
        <v>0.2853</v>
      </c>
    </row>
    <row r="131241" spans="1:6" ht="16">
      <c r="A131241" s="350" t="s">
        <v>606</v>
      </c>
      <c r="B131241" s="348" t="s">
        <v>687</v>
      </c>
      <c r="C131241" s="349">
        <v>0.17499999999999999</v>
      </c>
      <c r="D131241" s="349">
        <f t="shared" si="10"/>
        <v>0.27992692770782934</v>
      </c>
      <c r="E131241" s="349">
        <v>0.23492692770782936</v>
      </c>
      <c r="F131241" s="349">
        <v>0.35</v>
      </c>
    </row>
    <row r="131242" spans="1:6" ht="16">
      <c r="A131242" s="347" t="s">
        <v>374</v>
      </c>
      <c r="B131242" s="348" t="s">
        <v>689</v>
      </c>
      <c r="C131242" s="349">
        <v>0.10896601681957188</v>
      </c>
      <c r="D131242" s="349">
        <f t="shared" si="10"/>
        <v>0.19128029460560964</v>
      </c>
      <c r="E131242" s="349">
        <v>0.14628029460560965</v>
      </c>
      <c r="F131242" s="349">
        <v>0.36</v>
      </c>
    </row>
    <row r="131243" spans="1:6" ht="16">
      <c r="A131243" s="347" t="s">
        <v>607</v>
      </c>
      <c r="B131243" s="348" t="s">
        <v>581</v>
      </c>
      <c r="C131243" s="349">
        <v>7.0808704231754685E-2</v>
      </c>
      <c r="D131243" s="349">
        <f t="shared" si="10"/>
        <v>0.14005640765793431</v>
      </c>
      <c r="E131243" s="349">
        <v>9.5056407657934314E-2</v>
      </c>
      <c r="F131243" s="349">
        <v>0.27500000000000002</v>
      </c>
    </row>
    <row r="131244" spans="1:6" ht="16">
      <c r="A131244" s="347" t="s">
        <v>335</v>
      </c>
      <c r="B131244" s="348" t="s">
        <v>574</v>
      </c>
      <c r="C131244" s="349">
        <v>0</v>
      </c>
      <c r="D131244" s="349">
        <f t="shared" si="10"/>
        <v>4.4999999999999998E-2</v>
      </c>
      <c r="E131244" s="349">
        <v>0</v>
      </c>
      <c r="F131244" s="349">
        <v>0.20600000000000002</v>
      </c>
    </row>
    <row r="131245" spans="1:6" ht="16">
      <c r="A131245" s="347" t="s">
        <v>336</v>
      </c>
      <c r="B131245" s="348" t="s">
        <v>574</v>
      </c>
      <c r="C131245" s="349">
        <v>0</v>
      </c>
      <c r="D131245" s="349">
        <f t="shared" si="10"/>
        <v>4.4999999999999998E-2</v>
      </c>
      <c r="E131245" s="349">
        <v>0</v>
      </c>
      <c r="F131245" s="349">
        <v>0.14599999999999999</v>
      </c>
    </row>
    <row r="131246" spans="1:6" ht="16">
      <c r="A131246" s="351" t="s">
        <v>608</v>
      </c>
      <c r="B131246" s="348" t="s">
        <v>687</v>
      </c>
      <c r="C131246" s="349">
        <v>0.17499999999999999</v>
      </c>
      <c r="D131246" s="349">
        <f t="shared" si="10"/>
        <v>0.27992692770782934</v>
      </c>
      <c r="E131246" s="349">
        <v>0.23492692770782936</v>
      </c>
      <c r="F131246" s="349">
        <v>0.28000000000000003</v>
      </c>
    </row>
    <row r="131247" spans="1:6" ht="16">
      <c r="A131247" s="347" t="s">
        <v>337</v>
      </c>
      <c r="B131247" s="348" t="s">
        <v>580</v>
      </c>
      <c r="C131247" s="349">
        <v>6.5302783287875029E-3</v>
      </c>
      <c r="D131247" s="349">
        <f t="shared" si="10"/>
        <v>5.3766504142051808E-2</v>
      </c>
      <c r="E131247" s="349">
        <v>8.7665041420518092E-3</v>
      </c>
      <c r="F131247" s="349">
        <v>0.2</v>
      </c>
    </row>
    <row r="131248" spans="1:6" ht="16">
      <c r="A131248" s="347" t="s">
        <v>609</v>
      </c>
      <c r="B131248" s="348" t="s">
        <v>581</v>
      </c>
      <c r="C131248" s="349">
        <v>7.0808704231754685E-2</v>
      </c>
      <c r="D131248" s="349">
        <f t="shared" si="10"/>
        <v>0.14005640765793431</v>
      </c>
      <c r="E131248" s="349">
        <v>9.5056407657934314E-2</v>
      </c>
      <c r="F131248" s="349">
        <v>0.18</v>
      </c>
    </row>
    <row r="131249" spans="1:6" ht="16">
      <c r="A131249" s="347" t="s">
        <v>610</v>
      </c>
      <c r="B131249" s="348" t="s">
        <v>572</v>
      </c>
      <c r="C131249" s="349">
        <v>5.9924907017108855E-2</v>
      </c>
      <c r="D131249" s="349">
        <f t="shared" si="10"/>
        <v>0.12544556742118129</v>
      </c>
      <c r="E131249" s="349">
        <v>8.0445567421181294E-2</v>
      </c>
      <c r="F131249" s="349">
        <v>0.3</v>
      </c>
    </row>
    <row r="131250" spans="1:6" ht="16">
      <c r="A131250" s="347" t="s">
        <v>338</v>
      </c>
      <c r="B131250" s="348" t="s">
        <v>573</v>
      </c>
      <c r="C131250" s="349">
        <v>1.7414075543433341E-2</v>
      </c>
      <c r="D131250" s="349">
        <f t="shared" si="10"/>
        <v>6.8377344378804827E-2</v>
      </c>
      <c r="E131250" s="349">
        <v>2.3377344378804829E-2</v>
      </c>
      <c r="F131250" s="349">
        <v>0.2</v>
      </c>
    </row>
    <row r="131251" spans="1:6" ht="16">
      <c r="A131251" s="347" t="s">
        <v>611</v>
      </c>
      <c r="B131251" s="348" t="s">
        <v>581</v>
      </c>
      <c r="C131251" s="349">
        <v>7.0808704231754685E-2</v>
      </c>
      <c r="D131251" s="349">
        <f t="shared" si="10"/>
        <v>0.14005640765793431</v>
      </c>
      <c r="E131251" s="349">
        <v>9.5056407657934314E-2</v>
      </c>
      <c r="F131251" s="349">
        <v>0.26860000000000001</v>
      </c>
    </row>
    <row r="131252" spans="1:6" ht="16">
      <c r="A131252" s="347" t="s">
        <v>866</v>
      </c>
      <c r="B131252" s="348" t="s">
        <v>576</v>
      </c>
      <c r="C131252" s="349">
        <v>3.2779436317050999E-2</v>
      </c>
      <c r="D131252" s="349">
        <f t="shared" si="10"/>
        <v>8.9004412948338496E-2</v>
      </c>
      <c r="E131252" s="349">
        <v>4.4004412948338498E-2</v>
      </c>
      <c r="F131252" s="349">
        <v>0.3</v>
      </c>
    </row>
    <row r="131253" spans="1:6" ht="16">
      <c r="A131253" s="347" t="s">
        <v>339</v>
      </c>
      <c r="B131253" s="348" t="s">
        <v>586</v>
      </c>
      <c r="C131253" s="349">
        <v>9.8082219604926024E-2</v>
      </c>
      <c r="D131253" s="349">
        <f t="shared" si="10"/>
        <v>0.17666945436885656</v>
      </c>
      <c r="E131253" s="349">
        <v>0.13166945436885658</v>
      </c>
      <c r="F131253" s="349">
        <v>0.15</v>
      </c>
    </row>
    <row r="131254" spans="1:6" ht="16">
      <c r="A131254" s="347" t="s">
        <v>340</v>
      </c>
      <c r="B131254" s="348" t="s">
        <v>581</v>
      </c>
      <c r="C131254" s="349">
        <v>7.0808704231754685E-2</v>
      </c>
      <c r="D131254" s="349">
        <f t="shared" si="10"/>
        <v>0.14005640765793431</v>
      </c>
      <c r="E131254" s="349">
        <v>9.5056407657934314E-2</v>
      </c>
      <c r="F131254" s="349">
        <v>0.25</v>
      </c>
    </row>
    <row r="131255" spans="1:6" ht="16">
      <c r="A131255" s="353" t="s">
        <v>867</v>
      </c>
      <c r="B131255" s="348" t="s">
        <v>573</v>
      </c>
      <c r="C131255" s="349">
        <v>1.7414075543433341E-2</v>
      </c>
      <c r="D131255" s="349">
        <f t="shared" si="10"/>
        <v>6.8377344378804827E-2</v>
      </c>
      <c r="E131255" s="349">
        <v>2.3377344378804829E-2</v>
      </c>
      <c r="F131255" s="349">
        <v>0</v>
      </c>
    </row>
    <row r="131256" spans="1:6" ht="16">
      <c r="A131256" s="347" t="s">
        <v>431</v>
      </c>
      <c r="B131256" s="348" t="s">
        <v>572</v>
      </c>
      <c r="C131256" s="349">
        <v>5.9924907017108855E-2</v>
      </c>
      <c r="D131256" s="349">
        <f t="shared" si="10"/>
        <v>0.12544556742118129</v>
      </c>
      <c r="E131256" s="349">
        <v>8.0445567421181294E-2</v>
      </c>
      <c r="F131256" s="349">
        <v>0.3</v>
      </c>
    </row>
    <row r="131257" spans="1:6" ht="16">
      <c r="A131257" s="347" t="s">
        <v>341</v>
      </c>
      <c r="B131257" s="348" t="s">
        <v>688</v>
      </c>
      <c r="C131257" s="349">
        <v>0.13073361124886354</v>
      </c>
      <c r="D131257" s="349">
        <f t="shared" si="10"/>
        <v>0.22050197507911562</v>
      </c>
      <c r="E131257" s="349">
        <v>0.17550197507911564</v>
      </c>
      <c r="F131257" s="349">
        <v>0.18</v>
      </c>
    </row>
    <row r="131258" spans="1:6" ht="16">
      <c r="A131258" s="347" t="s">
        <v>342</v>
      </c>
      <c r="B131258" s="348" t="s">
        <v>568</v>
      </c>
      <c r="C131258" s="349">
        <v>5.3778762707661788E-3</v>
      </c>
      <c r="D131258" s="349">
        <f t="shared" si="10"/>
        <v>5.2219473999336782E-2</v>
      </c>
      <c r="E131258" s="349">
        <v>7.219473999336784E-3</v>
      </c>
      <c r="F131258" s="349">
        <v>0.25</v>
      </c>
    </row>
    <row r="131259" spans="1:6" ht="16">
      <c r="A131259" s="347" t="s">
        <v>343</v>
      </c>
      <c r="B131259" s="348" t="s">
        <v>580</v>
      </c>
      <c r="C131259" s="349">
        <v>6.5302783287875029E-3</v>
      </c>
      <c r="D131259" s="349">
        <f t="shared" si="10"/>
        <v>5.3766504142051808E-2</v>
      </c>
      <c r="E131259" s="349">
        <v>8.7665041420518092E-3</v>
      </c>
      <c r="F131259" s="349">
        <v>0.25</v>
      </c>
    </row>
    <row r="131260" spans="1:6" ht="16">
      <c r="A131260" s="347" t="s">
        <v>344</v>
      </c>
      <c r="B131260" s="348" t="s">
        <v>574</v>
      </c>
      <c r="C131260" s="349">
        <v>0</v>
      </c>
      <c r="D131260" s="349">
        <f t="shared" si="10"/>
        <v>4.4999999999999998E-2</v>
      </c>
      <c r="E131260" s="349">
        <v>0</v>
      </c>
      <c r="F131260" s="349">
        <v>0.25</v>
      </c>
    </row>
    <row r="131261" spans="1:6" ht="16">
      <c r="A131261" s="347" t="s">
        <v>345</v>
      </c>
      <c r="B131261" s="348" t="s">
        <v>571</v>
      </c>
      <c r="C131261" s="349">
        <v>2.0743237044383835E-2</v>
      </c>
      <c r="D131261" s="349">
        <f t="shared" si="10"/>
        <v>7.2846542568870451E-2</v>
      </c>
      <c r="E131261" s="349">
        <v>2.7846542568870453E-2</v>
      </c>
      <c r="F131261" s="349">
        <v>0.25</v>
      </c>
    </row>
    <row r="131262" spans="1:6" ht="16">
      <c r="A131262" s="347" t="s">
        <v>693</v>
      </c>
      <c r="B131262" s="348" t="s">
        <v>578</v>
      </c>
      <c r="C131262" s="349">
        <v>3.9181669972725021E-2</v>
      </c>
      <c r="D131262" s="349">
        <f t="shared" si="10"/>
        <v>9.7599024852310853E-2</v>
      </c>
      <c r="E131262" s="349">
        <v>5.2599024852310855E-2</v>
      </c>
      <c r="F131262" s="349">
        <v>0.15</v>
      </c>
    </row>
    <row r="131263" spans="1:6" ht="16">
      <c r="A131263" s="347" t="s">
        <v>346</v>
      </c>
      <c r="B131263" s="348" t="s">
        <v>615</v>
      </c>
      <c r="C131263" s="349">
        <v>0.17499999999999999</v>
      </c>
      <c r="D131263" s="349">
        <f t="shared" si="10"/>
        <v>0.27992692770782934</v>
      </c>
      <c r="E131263" s="349">
        <v>0.23492692770782936</v>
      </c>
      <c r="F131263" s="349">
        <v>0.34</v>
      </c>
    </row>
    <row r="131264" spans="1:6" ht="16">
      <c r="A131264" s="347" t="s">
        <v>347</v>
      </c>
      <c r="B131264" s="348" t="s">
        <v>576</v>
      </c>
      <c r="C131264" s="349">
        <v>3.2779436317050999E-2</v>
      </c>
      <c r="D131264" s="349">
        <f t="shared" si="10"/>
        <v>8.9004412948338496E-2</v>
      </c>
      <c r="E131264" s="349">
        <v>4.4004412948338498E-2</v>
      </c>
      <c r="F131264" s="349">
        <v>0.2</v>
      </c>
    </row>
    <row r="131265" spans="1:6" ht="16">
      <c r="A131265" s="350" t="s">
        <v>868</v>
      </c>
      <c r="B131265" s="348" t="s">
        <v>687</v>
      </c>
      <c r="C131265" s="349">
        <v>0.10896601681957191</v>
      </c>
      <c r="D131265" s="349">
        <f t="shared" si="10"/>
        <v>0.19128029460560964</v>
      </c>
      <c r="E131265" s="349">
        <v>0.14628029460560965</v>
      </c>
      <c r="F131265" s="349">
        <v>0.2</v>
      </c>
    </row>
    <row r="131266" spans="1:6" ht="16">
      <c r="A131266" s="347" t="s">
        <v>348</v>
      </c>
      <c r="B131266" s="348" t="s">
        <v>689</v>
      </c>
      <c r="C131266" s="349">
        <v>0.10896601681957188</v>
      </c>
      <c r="D131266" s="349">
        <f t="shared" si="10"/>
        <v>0.19128029460560964</v>
      </c>
      <c r="E131266" s="349">
        <v>0.14628029460560965</v>
      </c>
      <c r="F131266" s="349">
        <v>0.35</v>
      </c>
    </row>
    <row r="131267" spans="1:6" ht="16">
      <c r="A131267" s="351" t="s">
        <v>612</v>
      </c>
      <c r="B131267" s="348" t="s">
        <v>687</v>
      </c>
      <c r="C131267" s="349">
        <v>9.8082219604926024E-2</v>
      </c>
      <c r="D131267" s="349">
        <f t="shared" si="10"/>
        <v>0.17666945436885656</v>
      </c>
      <c r="E131267" s="349">
        <v>0.13166945436885658</v>
      </c>
      <c r="F131267" s="349">
        <v>0.25</v>
      </c>
    </row>
    <row r="131272" spans="1:6">
      <c r="A131272" s="354" t="s">
        <v>352</v>
      </c>
      <c r="B131272" s="355" t="s">
        <v>376</v>
      </c>
      <c r="C131272" s="355" t="s">
        <v>869</v>
      </c>
      <c r="D131272" s="355" t="s">
        <v>694</v>
      </c>
      <c r="E131272" s="355" t="s">
        <v>870</v>
      </c>
    </row>
    <row r="131273" spans="1:6">
      <c r="A131273" s="356" t="s">
        <v>355</v>
      </c>
      <c r="B131273" s="357">
        <f>$B$1+E131273</f>
        <v>0.13663852306889546</v>
      </c>
      <c r="C131273" s="357">
        <v>6.8262679351091926E-2</v>
      </c>
      <c r="D131273" s="357">
        <v>0.27302836489005694</v>
      </c>
      <c r="E131273" s="357">
        <v>9.1638523068895444E-2</v>
      </c>
    </row>
    <row r="131274" spans="1:6">
      <c r="A131274" s="356" t="s">
        <v>428</v>
      </c>
      <c r="B131274" s="357">
        <f t="shared" ref="B131274:B131282" si="11">$B$1+E131274</f>
        <v>6.1805405008578562E-2</v>
      </c>
      <c r="C131274" s="357">
        <v>1.2518555898193178E-2</v>
      </c>
      <c r="D131274" s="357">
        <v>0.2576437502455447</v>
      </c>
      <c r="E131274" s="357">
        <v>1.6805405008578567E-2</v>
      </c>
    </row>
    <row r="131275" spans="1:6">
      <c r="A131275" s="356" t="s">
        <v>357</v>
      </c>
      <c r="B131275" s="357">
        <f t="shared" si="11"/>
        <v>4.5047923618641933E-2</v>
      </c>
      <c r="C131275" s="357">
        <v>3.5698901544265913E-5</v>
      </c>
      <c r="D131275" s="357">
        <v>0.29744361328762281</v>
      </c>
      <c r="E131275" s="357">
        <v>4.7923618641935289E-5</v>
      </c>
    </row>
    <row r="131276" spans="1:6">
      <c r="A131276" s="356" t="s">
        <v>359</v>
      </c>
      <c r="B131276" s="357">
        <f t="shared" si="11"/>
        <v>0.1865348819700155</v>
      </c>
      <c r="C131276" s="357">
        <v>0.1054310997313879</v>
      </c>
      <c r="D131276" s="357">
        <v>0.2724561140242252</v>
      </c>
      <c r="E131276" s="357">
        <v>0.14153488197001549</v>
      </c>
    </row>
    <row r="131277" spans="1:6">
      <c r="A131277" s="356" t="s">
        <v>356</v>
      </c>
      <c r="B131277" s="357">
        <f t="shared" si="11"/>
        <v>0.10261091058162494</v>
      </c>
      <c r="C131277" s="357">
        <v>4.2915086193622262E-2</v>
      </c>
      <c r="D131277" s="357">
        <v>0.31595749426030023</v>
      </c>
      <c r="E131277" s="357">
        <v>5.7610910581624951E-2</v>
      </c>
    </row>
    <row r="131278" spans="1:6">
      <c r="A131278" s="356" t="s">
        <v>354</v>
      </c>
      <c r="B131278" s="357">
        <f t="shared" si="11"/>
        <v>9.5579383477192262E-2</v>
      </c>
      <c r="C131278" s="357">
        <v>3.7670398345457844E-2</v>
      </c>
      <c r="D131278" s="357">
        <v>0.18485819102180306</v>
      </c>
      <c r="E131278" s="357">
        <v>5.0579383477192263E-2</v>
      </c>
    </row>
    <row r="131279" spans="1:6">
      <c r="A131279" s="356" t="s">
        <v>360</v>
      </c>
      <c r="B131279" s="357">
        <f t="shared" si="11"/>
        <v>6.6589990892489848E-2</v>
      </c>
      <c r="C131279" s="357">
        <v>1.6082653627874467E-2</v>
      </c>
      <c r="D131279" s="357">
        <v>0.18760152153615242</v>
      </c>
      <c r="E131279" s="357">
        <v>2.1589990892489853E-2</v>
      </c>
    </row>
    <row r="131280" spans="1:6">
      <c r="A131280" s="356" t="s">
        <v>362</v>
      </c>
      <c r="B131280" s="357">
        <f t="shared" si="11"/>
        <v>4.4999999999999998E-2</v>
      </c>
      <c r="C131280" s="357">
        <v>0</v>
      </c>
      <c r="D131280" s="357">
        <v>0.25116286561170831</v>
      </c>
      <c r="E131280" s="357">
        <v>0</v>
      </c>
    </row>
    <row r="131281" spans="1:5">
      <c r="A131281" s="356" t="s">
        <v>353</v>
      </c>
      <c r="B131281" s="357">
        <f t="shared" si="11"/>
        <v>5.7871606293643366E-2</v>
      </c>
      <c r="C131281" s="357">
        <v>9.5882201472833571E-3</v>
      </c>
      <c r="D131281" s="357">
        <v>0.24707349543413576</v>
      </c>
      <c r="E131281" s="357">
        <v>1.2871606293643371E-2</v>
      </c>
    </row>
    <row r="131282" spans="1:5">
      <c r="A131282" s="356" t="s">
        <v>491</v>
      </c>
      <c r="B131282" s="357">
        <f t="shared" si="11"/>
        <v>6.3100000000000003E-2</v>
      </c>
      <c r="C131282" s="357">
        <v>1.35E-2</v>
      </c>
      <c r="D131282" s="357">
        <v>0.25225942509764748</v>
      </c>
      <c r="E131282" s="357">
        <v>1.8100000000000002E-2</v>
      </c>
    </row>
    <row r="196609" spans="1:6">
      <c r="A196609" t="s">
        <v>613</v>
      </c>
      <c r="B196609" s="242">
        <v>4.5999999999999999E-2</v>
      </c>
      <c r="C196609" t="s">
        <v>847</v>
      </c>
    </row>
    <row r="196610" spans="1:6" ht="14">
      <c r="A196610" s="275" t="s">
        <v>686</v>
      </c>
      <c r="B196610" s="275"/>
      <c r="C196610" s="275"/>
      <c r="D196610" s="275"/>
      <c r="E196610" s="275"/>
      <c r="F196610" s="275"/>
    </row>
    <row r="196612" spans="1:6" ht="16">
      <c r="A196612" s="344" t="s">
        <v>349</v>
      </c>
      <c r="B196612" s="345" t="s">
        <v>566</v>
      </c>
      <c r="C196612" s="346" t="s">
        <v>350</v>
      </c>
      <c r="D196612" s="346" t="s">
        <v>567</v>
      </c>
      <c r="E196612" s="346" t="s">
        <v>351</v>
      </c>
      <c r="F196612" s="346" t="s">
        <v>519</v>
      </c>
    </row>
    <row r="196613" spans="1:6" ht="16">
      <c r="A196613" s="347" t="s">
        <v>481</v>
      </c>
      <c r="B196613" s="348" t="s">
        <v>568</v>
      </c>
      <c r="C196613" s="349">
        <v>5.3778762707661788E-3</v>
      </c>
      <c r="D196613" s="349">
        <f>$B$1+E196613</f>
        <v>5.2219473999336782E-2</v>
      </c>
      <c r="E196613" s="349">
        <v>7.219473999336784E-3</v>
      </c>
      <c r="F196613" s="349">
        <v>0.15</v>
      </c>
    </row>
    <row r="196614" spans="1:6" ht="16">
      <c r="A196614" s="347" t="s">
        <v>245</v>
      </c>
      <c r="B196614" s="348" t="s">
        <v>569</v>
      </c>
      <c r="C196614" s="349">
        <v>4.9041109802463012E-2</v>
      </c>
      <c r="D196614" s="349">
        <f t="shared" ref="D196614:D196677" si="12">$B$1+E196614</f>
        <v>0.11083472718442829</v>
      </c>
      <c r="E196614" s="349">
        <v>6.5834727184428288E-2</v>
      </c>
      <c r="F196614" s="349">
        <v>0.15</v>
      </c>
    </row>
    <row r="196615" spans="1:6" ht="16">
      <c r="A196615" s="350" t="s">
        <v>570</v>
      </c>
      <c r="B196615" s="348" t="s">
        <v>687</v>
      </c>
      <c r="C196615" s="349">
        <v>4.9041109802463012E-2</v>
      </c>
      <c r="D196615" s="349">
        <f t="shared" si="12"/>
        <v>0.11083472718442829</v>
      </c>
      <c r="E196615" s="349">
        <v>6.5834727184428288E-2</v>
      </c>
      <c r="F196615" s="349">
        <v>0.26</v>
      </c>
    </row>
    <row r="196616" spans="1:6" ht="16">
      <c r="A196616" s="347" t="s">
        <v>499</v>
      </c>
      <c r="B196616" s="348" t="s">
        <v>571</v>
      </c>
      <c r="C196616" s="349">
        <v>2.0743237044383835E-2</v>
      </c>
      <c r="D196616" s="349">
        <f t="shared" si="12"/>
        <v>7.2846542568870451E-2</v>
      </c>
      <c r="E196616" s="349">
        <v>2.7846542568870453E-2</v>
      </c>
      <c r="F196616" s="349">
        <v>0.1898</v>
      </c>
    </row>
    <row r="196617" spans="1:6" ht="16">
      <c r="A196617" s="347" t="s">
        <v>246</v>
      </c>
      <c r="B196617" s="348" t="s">
        <v>581</v>
      </c>
      <c r="C196617" s="349">
        <v>7.0808704231754685E-2</v>
      </c>
      <c r="D196617" s="349">
        <f t="shared" si="12"/>
        <v>0.14005640765793431</v>
      </c>
      <c r="E196617" s="349">
        <v>9.5056407657934314E-2</v>
      </c>
      <c r="F196617" s="349">
        <v>0.25</v>
      </c>
    </row>
    <row r="196618" spans="1:6" ht="16">
      <c r="A196618" s="347" t="s">
        <v>848</v>
      </c>
      <c r="B196618" s="154" t="s">
        <v>687</v>
      </c>
      <c r="C196618" s="277">
        <v>0.1054310997313879</v>
      </c>
      <c r="D196618" s="349">
        <f t="shared" si="12"/>
        <v>0.23253488197001548</v>
      </c>
      <c r="E196618" s="277">
        <v>0.1875348819700155</v>
      </c>
      <c r="F196618" s="277">
        <v>0.2724561140242252</v>
      </c>
    </row>
    <row r="196619" spans="1:6" ht="16">
      <c r="A196619" s="347" t="s">
        <v>849</v>
      </c>
      <c r="B196619" s="154" t="s">
        <v>687</v>
      </c>
      <c r="C196619" s="277">
        <v>0.1054310997313879</v>
      </c>
      <c r="D196619" s="349">
        <f t="shared" si="12"/>
        <v>0.23253488197001548</v>
      </c>
      <c r="E196619" s="277">
        <v>0.1875348819700155</v>
      </c>
      <c r="F196619" s="277">
        <v>0.2724561140242252</v>
      </c>
    </row>
    <row r="196620" spans="1:6" ht="16">
      <c r="A196620" s="347" t="s">
        <v>247</v>
      </c>
      <c r="B196620" s="348" t="s">
        <v>688</v>
      </c>
      <c r="C196620" s="349">
        <v>0.13073361124886354</v>
      </c>
      <c r="D196620" s="349">
        <f t="shared" si="12"/>
        <v>0.22050197507911562</v>
      </c>
      <c r="E196620" s="349">
        <v>0.17550197507911564</v>
      </c>
      <c r="F196620" s="349">
        <v>0.35</v>
      </c>
    </row>
    <row r="196621" spans="1:6" ht="16">
      <c r="A196621" s="347" t="s">
        <v>248</v>
      </c>
      <c r="B196621" s="348" t="s">
        <v>578</v>
      </c>
      <c r="C196621" s="349">
        <v>3.9181669972725021E-2</v>
      </c>
      <c r="D196621" s="349">
        <f t="shared" si="12"/>
        <v>9.7599024852310853E-2</v>
      </c>
      <c r="E196621" s="349">
        <v>5.2599024852310855E-2</v>
      </c>
      <c r="F196621" s="349">
        <v>0.18</v>
      </c>
    </row>
    <row r="196622" spans="1:6" ht="16">
      <c r="A196622" s="347" t="s">
        <v>249</v>
      </c>
      <c r="B196622" s="348" t="s">
        <v>571</v>
      </c>
      <c r="C196622" s="349">
        <v>2.0743237044383835E-2</v>
      </c>
      <c r="D196622" s="349">
        <f t="shared" si="12"/>
        <v>7.2846542568870451E-2</v>
      </c>
      <c r="E196622" s="349">
        <v>2.7846542568870453E-2</v>
      </c>
      <c r="F196622" s="349">
        <v>0.25</v>
      </c>
    </row>
    <row r="196623" spans="1:6" ht="16">
      <c r="A196623" s="347" t="s">
        <v>250</v>
      </c>
      <c r="B196623" s="348" t="s">
        <v>574</v>
      </c>
      <c r="C196623" s="349">
        <v>0</v>
      </c>
      <c r="D196623" s="349">
        <f t="shared" si="12"/>
        <v>4.4999999999999998E-2</v>
      </c>
      <c r="E196623" s="349">
        <v>0</v>
      </c>
      <c r="F196623" s="349">
        <v>0.3</v>
      </c>
    </row>
    <row r="196624" spans="1:6" ht="16">
      <c r="A196624" s="347" t="s">
        <v>251</v>
      </c>
      <c r="B196624" s="348" t="s">
        <v>575</v>
      </c>
      <c r="C196624" s="349">
        <v>4.3535188858583353E-3</v>
      </c>
      <c r="D196624" s="349">
        <f t="shared" si="12"/>
        <v>5.0844336094701202E-2</v>
      </c>
      <c r="E196624" s="349">
        <v>5.8443360947012038E-3</v>
      </c>
      <c r="F196624" s="349">
        <v>0.24</v>
      </c>
    </row>
    <row r="196625" spans="1:6" ht="16">
      <c r="A196625" s="347" t="s">
        <v>358</v>
      </c>
      <c r="B196625" s="348" t="s">
        <v>589</v>
      </c>
      <c r="C196625" s="349">
        <v>2.7273515373171343E-2</v>
      </c>
      <c r="D196625" s="349">
        <f t="shared" si="12"/>
        <v>8.161304671092226E-2</v>
      </c>
      <c r="E196625" s="349">
        <v>3.6613046710922262E-2</v>
      </c>
      <c r="F196625" s="349">
        <v>0.2</v>
      </c>
    </row>
    <row r="196626" spans="1:6" ht="16">
      <c r="A196626" s="347" t="s">
        <v>252</v>
      </c>
      <c r="B196626" s="348" t="s">
        <v>569</v>
      </c>
      <c r="C196626" s="349">
        <v>4.9041109802463012E-2</v>
      </c>
      <c r="D196626" s="349">
        <f t="shared" si="12"/>
        <v>0.11083472718442829</v>
      </c>
      <c r="E196626" s="349">
        <v>6.5834727184428288E-2</v>
      </c>
      <c r="F196626" s="349">
        <v>0</v>
      </c>
    </row>
    <row r="196627" spans="1:6" ht="16">
      <c r="A196627" s="347" t="s">
        <v>253</v>
      </c>
      <c r="B196627" s="348" t="s">
        <v>572</v>
      </c>
      <c r="C196627" s="349">
        <v>5.9924907017108855E-2</v>
      </c>
      <c r="D196627" s="349">
        <f t="shared" si="12"/>
        <v>0.12544556742118129</v>
      </c>
      <c r="E196627" s="349">
        <v>8.0445567421181294E-2</v>
      </c>
      <c r="F196627" s="349">
        <v>0</v>
      </c>
    </row>
    <row r="196628" spans="1:6" ht="16">
      <c r="A196628" s="347" t="s">
        <v>254</v>
      </c>
      <c r="B196628" s="348" t="s">
        <v>569</v>
      </c>
      <c r="C196628" s="349">
        <v>4.9041109802463012E-2</v>
      </c>
      <c r="D196628" s="349">
        <f t="shared" si="12"/>
        <v>0.11083472718442829</v>
      </c>
      <c r="E196628" s="349">
        <v>6.5834727184428288E-2</v>
      </c>
      <c r="F196628" s="349">
        <v>0.3</v>
      </c>
    </row>
    <row r="196629" spans="1:6" ht="16">
      <c r="A196629" s="347" t="s">
        <v>255</v>
      </c>
      <c r="B196629" s="348" t="s">
        <v>581</v>
      </c>
      <c r="C196629" s="349">
        <v>7.0808704231754685E-2</v>
      </c>
      <c r="D196629" s="349">
        <f t="shared" si="12"/>
        <v>0.14005640765793431</v>
      </c>
      <c r="E196629" s="349">
        <v>9.5056407657934314E-2</v>
      </c>
      <c r="F196629" s="349">
        <v>5.5E-2</v>
      </c>
    </row>
    <row r="196630" spans="1:6" ht="16">
      <c r="A196630" s="347" t="s">
        <v>256</v>
      </c>
      <c r="B196630" s="348" t="s">
        <v>615</v>
      </c>
      <c r="C196630" s="349">
        <v>0.17499999999999999</v>
      </c>
      <c r="D196630" s="349">
        <f t="shared" si="12"/>
        <v>0.27992692770782934</v>
      </c>
      <c r="E196630" s="349">
        <v>0.23492692770782936</v>
      </c>
      <c r="F196630" s="349">
        <v>0.18</v>
      </c>
    </row>
    <row r="196631" spans="1:6" ht="16">
      <c r="A196631" s="347" t="s">
        <v>257</v>
      </c>
      <c r="B196631" s="348" t="s">
        <v>580</v>
      </c>
      <c r="C196631" s="349">
        <v>6.5302783287875029E-3</v>
      </c>
      <c r="D196631" s="349">
        <f t="shared" si="12"/>
        <v>5.3766504142051808E-2</v>
      </c>
      <c r="E196631" s="349">
        <v>8.7665041420518092E-3</v>
      </c>
      <c r="F196631" s="349">
        <v>0.25</v>
      </c>
    </row>
    <row r="196632" spans="1:6" ht="16">
      <c r="A196632" s="347" t="s">
        <v>361</v>
      </c>
      <c r="B196632" s="348" t="s">
        <v>586</v>
      </c>
      <c r="C196632" s="349">
        <v>9.8082219604926024E-2</v>
      </c>
      <c r="D196632" s="349">
        <f t="shared" si="12"/>
        <v>0.17666945436885656</v>
      </c>
      <c r="E196632" s="349">
        <v>0.13166945436885658</v>
      </c>
      <c r="F196632" s="349">
        <v>0.2853</v>
      </c>
    </row>
    <row r="196633" spans="1:6" ht="16">
      <c r="A196633" s="347" t="s">
        <v>582</v>
      </c>
      <c r="B196633" s="348" t="s">
        <v>569</v>
      </c>
      <c r="C196633" s="349">
        <v>4.9041109802463012E-2</v>
      </c>
      <c r="D196633" s="349">
        <f t="shared" si="12"/>
        <v>0.11083472718442829</v>
      </c>
      <c r="E196633" s="349">
        <v>6.5834727184428288E-2</v>
      </c>
      <c r="F196633" s="349">
        <v>0.3</v>
      </c>
    </row>
    <row r="196634" spans="1:6" ht="16">
      <c r="A196634" s="347" t="s">
        <v>258</v>
      </c>
      <c r="B196634" s="348" t="s">
        <v>583</v>
      </c>
      <c r="C196634" s="349">
        <v>9.2192164641705932E-3</v>
      </c>
      <c r="D196634" s="349">
        <f t="shared" si="12"/>
        <v>5.73762411417202E-2</v>
      </c>
      <c r="E196634" s="349">
        <v>1.2376241141720201E-2</v>
      </c>
      <c r="F196634" s="349">
        <v>0</v>
      </c>
    </row>
    <row r="196635" spans="1:6" ht="16">
      <c r="A196635" s="347" t="s">
        <v>259</v>
      </c>
      <c r="B196635" s="348" t="s">
        <v>579</v>
      </c>
      <c r="C196635" s="349">
        <v>8.1692501446400528E-2</v>
      </c>
      <c r="D196635" s="349">
        <f t="shared" si="12"/>
        <v>0.15466724789468733</v>
      </c>
      <c r="E196635" s="349">
        <v>0.10966724789468733</v>
      </c>
      <c r="F196635" s="349">
        <v>0.25</v>
      </c>
    </row>
    <row r="196636" spans="1:6" ht="16">
      <c r="A196636" s="347" t="s">
        <v>260</v>
      </c>
      <c r="B196636" s="348" t="s">
        <v>581</v>
      </c>
      <c r="C196636" s="349">
        <v>7.0808704231754685E-2</v>
      </c>
      <c r="D196636" s="349">
        <f t="shared" si="12"/>
        <v>0.14005640765793431</v>
      </c>
      <c r="E196636" s="349">
        <v>9.5056407657934314E-2</v>
      </c>
      <c r="F196636" s="349">
        <v>0.1</v>
      </c>
    </row>
    <row r="196637" spans="1:6" ht="16">
      <c r="A196637" s="347" t="s">
        <v>261</v>
      </c>
      <c r="B196637" s="348" t="s">
        <v>587</v>
      </c>
      <c r="C196637" s="349">
        <v>1.3060556657575006E-2</v>
      </c>
      <c r="D196637" s="349">
        <f t="shared" si="12"/>
        <v>6.2533008284103617E-2</v>
      </c>
      <c r="E196637" s="349">
        <v>1.7533008284103618E-2</v>
      </c>
      <c r="F196637" s="349">
        <v>0.22</v>
      </c>
    </row>
    <row r="196638" spans="1:6" ht="16">
      <c r="A196638" s="347" t="s">
        <v>262</v>
      </c>
      <c r="B196638" s="348" t="s">
        <v>576</v>
      </c>
      <c r="C196638" s="349">
        <v>3.2779436317050999E-2</v>
      </c>
      <c r="D196638" s="349">
        <f t="shared" si="12"/>
        <v>8.9004412948338496E-2</v>
      </c>
      <c r="E196638" s="349">
        <v>4.4004412948338498E-2</v>
      </c>
      <c r="F196638" s="349">
        <v>0.34</v>
      </c>
    </row>
    <row r="196639" spans="1:6" ht="16">
      <c r="A196639" s="347" t="s">
        <v>850</v>
      </c>
      <c r="B196639" s="348" t="s">
        <v>576</v>
      </c>
      <c r="C196639" s="349">
        <v>3.2779436317050999E-2</v>
      </c>
      <c r="D196639" s="349">
        <f t="shared" si="12"/>
        <v>8.9004412948338496E-2</v>
      </c>
      <c r="E196639" s="349">
        <v>4.4004412948338498E-2</v>
      </c>
      <c r="F196639" s="349">
        <v>0.34</v>
      </c>
    </row>
    <row r="196640" spans="1:6" ht="16">
      <c r="A196640" s="351" t="s">
        <v>584</v>
      </c>
      <c r="B196640" s="348" t="s">
        <v>687</v>
      </c>
      <c r="C196640" s="349">
        <v>6.5302783287875029E-3</v>
      </c>
      <c r="D196640" s="349">
        <f t="shared" si="12"/>
        <v>5.3766504142051808E-2</v>
      </c>
      <c r="E196640" s="349">
        <v>8.7665041420518092E-3</v>
      </c>
      <c r="F196640" s="349">
        <v>0.185</v>
      </c>
    </row>
    <row r="196641" spans="1:6" ht="16">
      <c r="A196641" s="347" t="s">
        <v>263</v>
      </c>
      <c r="B196641" s="348" t="s">
        <v>573</v>
      </c>
      <c r="C196641" s="349">
        <v>1.7414075543433341E-2</v>
      </c>
      <c r="D196641" s="349">
        <f t="shared" si="12"/>
        <v>6.8377344378804827E-2</v>
      </c>
      <c r="E196641" s="349">
        <v>2.3377344378804829E-2</v>
      </c>
      <c r="F196641" s="349">
        <v>0.1</v>
      </c>
    </row>
    <row r="196642" spans="1:6" ht="16">
      <c r="A196642" s="347" t="s">
        <v>482</v>
      </c>
      <c r="B196642" s="348" t="s">
        <v>579</v>
      </c>
      <c r="C196642" s="349">
        <v>8.1692501446400528E-2</v>
      </c>
      <c r="D196642" s="349">
        <f t="shared" si="12"/>
        <v>0.15466724789468733</v>
      </c>
      <c r="E196642" s="349">
        <v>0.10966724789468733</v>
      </c>
      <c r="F196642" s="349">
        <v>0.28000000000000003</v>
      </c>
    </row>
    <row r="196643" spans="1:6" ht="16">
      <c r="A196643" s="347" t="s">
        <v>264</v>
      </c>
      <c r="B196643" s="348" t="s">
        <v>572</v>
      </c>
      <c r="C196643" s="349">
        <v>5.9924907017108855E-2</v>
      </c>
      <c r="D196643" s="349">
        <f t="shared" si="12"/>
        <v>0.12544556742118129</v>
      </c>
      <c r="E196643" s="349">
        <v>8.0445567421181294E-2</v>
      </c>
      <c r="F196643" s="349">
        <v>0.2</v>
      </c>
    </row>
    <row r="196644" spans="1:6" ht="16">
      <c r="A196644" s="347" t="s">
        <v>483</v>
      </c>
      <c r="B196644" s="348" t="s">
        <v>579</v>
      </c>
      <c r="C196644" s="349">
        <v>8.1692501446400528E-2</v>
      </c>
      <c r="D196644" s="349">
        <f t="shared" si="12"/>
        <v>0.15466724789468733</v>
      </c>
      <c r="E196644" s="349">
        <v>0.10966724789468733</v>
      </c>
      <c r="F196644" s="349">
        <v>0.33</v>
      </c>
    </row>
    <row r="196645" spans="1:6" ht="16">
      <c r="A196645" s="347" t="s">
        <v>265</v>
      </c>
      <c r="B196645" s="348" t="s">
        <v>574</v>
      </c>
      <c r="C196645" s="349">
        <v>0</v>
      </c>
      <c r="D196645" s="349">
        <f t="shared" si="12"/>
        <v>4.4999999999999998E-2</v>
      </c>
      <c r="E196645" s="349">
        <v>0</v>
      </c>
      <c r="F196645" s="349">
        <v>0.26500000000000001</v>
      </c>
    </row>
    <row r="196646" spans="1:6" ht="16">
      <c r="A196646" s="347" t="s">
        <v>484</v>
      </c>
      <c r="B196646" s="348" t="s">
        <v>581</v>
      </c>
      <c r="C196646" s="349">
        <v>7.0808704231754685E-2</v>
      </c>
      <c r="D196646" s="349">
        <f t="shared" si="12"/>
        <v>0.14005640765793431</v>
      </c>
      <c r="E196646" s="349">
        <v>9.5056407657934314E-2</v>
      </c>
      <c r="F196646" s="349">
        <v>0</v>
      </c>
    </row>
    <row r="196647" spans="1:6" ht="16">
      <c r="A196647" s="347" t="s">
        <v>266</v>
      </c>
      <c r="B196647" s="348" t="s">
        <v>580</v>
      </c>
      <c r="C196647" s="349">
        <v>6.5302783287875029E-3</v>
      </c>
      <c r="D196647" s="349">
        <f t="shared" si="12"/>
        <v>5.3766504142051808E-2</v>
      </c>
      <c r="E196647" s="349">
        <v>8.7665041420518092E-3</v>
      </c>
      <c r="F196647" s="349">
        <v>0</v>
      </c>
    </row>
    <row r="196648" spans="1:6" ht="16">
      <c r="A196648" s="347" t="s">
        <v>851</v>
      </c>
      <c r="B196648" s="154" t="s">
        <v>687</v>
      </c>
      <c r="C196648" s="277">
        <v>9.5882201472833571E-3</v>
      </c>
      <c r="D196648" s="349">
        <f t="shared" si="12"/>
        <v>0.10387160629364336</v>
      </c>
      <c r="E196648" s="277">
        <v>5.8871606293643367E-2</v>
      </c>
      <c r="F196648" s="277">
        <v>0.24707349543413576</v>
      </c>
    </row>
    <row r="196649" spans="1:6" ht="16">
      <c r="A196649" s="347" t="s">
        <v>267</v>
      </c>
      <c r="B196649" s="348" t="s">
        <v>583</v>
      </c>
      <c r="C196649" s="349">
        <v>9.2192164641705932E-3</v>
      </c>
      <c r="D196649" s="349">
        <f t="shared" si="12"/>
        <v>5.73762411417202E-2</v>
      </c>
      <c r="E196649" s="349">
        <v>1.2376241141720201E-2</v>
      </c>
      <c r="F196649" s="349">
        <v>0.27</v>
      </c>
    </row>
    <row r="196650" spans="1:6" ht="16">
      <c r="A196650" s="347" t="s">
        <v>268</v>
      </c>
      <c r="B196650" s="348" t="s">
        <v>585</v>
      </c>
      <c r="C196650" s="349">
        <v>7.6826803868088279E-3</v>
      </c>
      <c r="D196650" s="349">
        <f t="shared" si="12"/>
        <v>5.5313534284766833E-2</v>
      </c>
      <c r="E196650" s="349">
        <v>1.0313534284766834E-2</v>
      </c>
      <c r="F196650" s="349">
        <v>0.25</v>
      </c>
    </row>
    <row r="196651" spans="1:6" ht="16">
      <c r="A196651" s="347" t="s">
        <v>269</v>
      </c>
      <c r="B196651" s="348" t="s">
        <v>571</v>
      </c>
      <c r="C196651" s="349">
        <v>2.0743237044383835E-2</v>
      </c>
      <c r="D196651" s="349">
        <f t="shared" si="12"/>
        <v>7.2846542568870451E-2</v>
      </c>
      <c r="E196651" s="349">
        <v>2.7846542568870453E-2</v>
      </c>
      <c r="F196651" s="349">
        <v>0.35</v>
      </c>
    </row>
    <row r="196652" spans="1:6" ht="16">
      <c r="A196652" s="347" t="s">
        <v>500</v>
      </c>
      <c r="B196652" s="348" t="s">
        <v>581</v>
      </c>
      <c r="C196652" s="349">
        <v>7.0808704231754685E-2</v>
      </c>
      <c r="D196652" s="349">
        <f t="shared" si="12"/>
        <v>0.14005640765793431</v>
      </c>
      <c r="E196652" s="349">
        <v>9.5056407657934314E-2</v>
      </c>
      <c r="F196652" s="349">
        <v>0.3</v>
      </c>
    </row>
    <row r="196653" spans="1:6" ht="16">
      <c r="A196653" s="347" t="s">
        <v>501</v>
      </c>
      <c r="B196653" s="348" t="s">
        <v>586</v>
      </c>
      <c r="C196653" s="349">
        <v>9.8082219604926024E-2</v>
      </c>
      <c r="D196653" s="349">
        <f t="shared" si="12"/>
        <v>0.17666945436885656</v>
      </c>
      <c r="E196653" s="349">
        <v>0.13166945436885658</v>
      </c>
      <c r="F196653" s="349">
        <v>0.28000000000000003</v>
      </c>
    </row>
    <row r="196654" spans="1:6" ht="16">
      <c r="A196654" s="347" t="s">
        <v>485</v>
      </c>
      <c r="B196654" s="348" t="s">
        <v>569</v>
      </c>
      <c r="C196654" s="349">
        <v>4.9041109802463012E-2</v>
      </c>
      <c r="D196654" s="349">
        <f t="shared" si="12"/>
        <v>0.11083472718442829</v>
      </c>
      <c r="E196654" s="349">
        <v>6.5834727184428288E-2</v>
      </c>
      <c r="F196654" s="349">
        <v>0.2974</v>
      </c>
    </row>
    <row r="196655" spans="1:6" ht="16">
      <c r="A196655" s="347" t="s">
        <v>270</v>
      </c>
      <c r="B196655" s="348" t="s">
        <v>569</v>
      </c>
      <c r="C196655" s="349">
        <v>4.9041109802463012E-2</v>
      </c>
      <c r="D196655" s="349">
        <f t="shared" si="12"/>
        <v>0.11083472718442829</v>
      </c>
      <c r="E196655" s="349">
        <v>6.5834727184428288E-2</v>
      </c>
      <c r="F196655" s="349">
        <v>0.3</v>
      </c>
    </row>
    <row r="196656" spans="1:6" ht="16">
      <c r="A196656" s="347" t="s">
        <v>271</v>
      </c>
      <c r="B196656" s="348" t="s">
        <v>571</v>
      </c>
      <c r="C196656" s="349">
        <v>2.0743237044383835E-2</v>
      </c>
      <c r="D196656" s="349">
        <f t="shared" si="12"/>
        <v>7.2846542568870451E-2</v>
      </c>
      <c r="E196656" s="349">
        <v>2.7846542568870453E-2</v>
      </c>
      <c r="F196656" s="349">
        <v>0.18</v>
      </c>
    </row>
    <row r="196657" spans="1:6" ht="16">
      <c r="A196657" s="347" t="s">
        <v>363</v>
      </c>
      <c r="B196657" s="348" t="s">
        <v>688</v>
      </c>
      <c r="C196657" s="349">
        <v>0.13073361124886354</v>
      </c>
      <c r="D196657" s="349">
        <f t="shared" si="12"/>
        <v>0.22050197507911562</v>
      </c>
      <c r="E196657" s="349">
        <v>0.17550197507911564</v>
      </c>
      <c r="F196657" s="349">
        <v>0.2853</v>
      </c>
    </row>
    <row r="196658" spans="1:6" ht="16">
      <c r="A196658" s="352" t="s">
        <v>852</v>
      </c>
      <c r="B196658" s="348" t="s">
        <v>571</v>
      </c>
      <c r="C196658" s="349">
        <v>2.0743237044383835E-2</v>
      </c>
      <c r="D196658" s="349">
        <f t="shared" si="12"/>
        <v>7.2846542568870451E-2</v>
      </c>
      <c r="E196658" s="349">
        <v>2.7846542568870453E-2</v>
      </c>
      <c r="F196658" s="349">
        <v>0.22</v>
      </c>
    </row>
    <row r="196659" spans="1:6" ht="16">
      <c r="A196659" s="347" t="s">
        <v>272</v>
      </c>
      <c r="B196659" s="348" t="s">
        <v>571</v>
      </c>
      <c r="C196659" s="349">
        <v>2.0743237044383835E-2</v>
      </c>
      <c r="D196659" s="349">
        <f t="shared" si="12"/>
        <v>7.2846542568870451E-2</v>
      </c>
      <c r="E196659" s="349">
        <v>2.7846542568870453E-2</v>
      </c>
      <c r="F196659" s="349">
        <v>0.125</v>
      </c>
    </row>
    <row r="196660" spans="1:6" ht="16">
      <c r="A196660" s="347" t="s">
        <v>273</v>
      </c>
      <c r="B196660" s="348" t="s">
        <v>580</v>
      </c>
      <c r="C196660" s="349">
        <v>6.5302783287875029E-3</v>
      </c>
      <c r="D196660" s="349">
        <f t="shared" si="12"/>
        <v>5.3766504142051808E-2</v>
      </c>
      <c r="E196660" s="349">
        <v>8.7665041420518092E-3</v>
      </c>
      <c r="F196660" s="349">
        <v>0.19</v>
      </c>
    </row>
    <row r="196661" spans="1:6" ht="16">
      <c r="A196661" s="347" t="s">
        <v>274</v>
      </c>
      <c r="B196661" s="348" t="s">
        <v>574</v>
      </c>
      <c r="C196661" s="349">
        <v>0</v>
      </c>
      <c r="D196661" s="349">
        <f t="shared" si="12"/>
        <v>4.4999999999999998E-2</v>
      </c>
      <c r="E196661" s="349">
        <v>0</v>
      </c>
      <c r="F196661" s="349">
        <v>0.22</v>
      </c>
    </row>
    <row r="196662" spans="1:6" ht="16">
      <c r="A196662" s="347" t="s">
        <v>275</v>
      </c>
      <c r="B196662" s="348" t="s">
        <v>578</v>
      </c>
      <c r="C196662" s="349">
        <v>3.9181669972725021E-2</v>
      </c>
      <c r="D196662" s="349">
        <f t="shared" si="12"/>
        <v>9.7599024852310853E-2</v>
      </c>
      <c r="E196662" s="349">
        <v>5.2599024852310855E-2</v>
      </c>
      <c r="F196662" s="349">
        <v>0.27</v>
      </c>
    </row>
    <row r="196663" spans="1:6" ht="16">
      <c r="A196663" s="347" t="s">
        <v>276</v>
      </c>
      <c r="B196663" s="348" t="s">
        <v>689</v>
      </c>
      <c r="C196663" s="349">
        <v>0.10896601681957188</v>
      </c>
      <c r="D196663" s="349">
        <f t="shared" si="12"/>
        <v>0.19128029460560964</v>
      </c>
      <c r="E196663" s="349">
        <v>0.14628029460560965</v>
      </c>
      <c r="F196663" s="349">
        <v>0.25</v>
      </c>
    </row>
    <row r="196664" spans="1:6" ht="16">
      <c r="A196664" s="347" t="s">
        <v>277</v>
      </c>
      <c r="B196664" s="348" t="s">
        <v>579</v>
      </c>
      <c r="C196664" s="349">
        <v>8.1692501446400528E-2</v>
      </c>
      <c r="D196664" s="349">
        <f t="shared" si="12"/>
        <v>0.15466724789468733</v>
      </c>
      <c r="E196664" s="349">
        <v>0.10966724789468733</v>
      </c>
      <c r="F196664" s="349">
        <v>0.22500000000000001</v>
      </c>
    </row>
    <row r="196665" spans="1:6" ht="16">
      <c r="A196665" s="347" t="s">
        <v>364</v>
      </c>
      <c r="B196665" s="348" t="s">
        <v>689</v>
      </c>
      <c r="C196665" s="349">
        <v>0.10896601681957188</v>
      </c>
      <c r="D196665" s="349">
        <f t="shared" si="12"/>
        <v>0.19128029460560964</v>
      </c>
      <c r="E196665" s="349">
        <v>0.14628029460560965</v>
      </c>
      <c r="F196665" s="349">
        <v>0.3</v>
      </c>
    </row>
    <row r="196666" spans="1:6" ht="16">
      <c r="A196666" s="347" t="s">
        <v>278</v>
      </c>
      <c r="B196666" s="348" t="s">
        <v>585</v>
      </c>
      <c r="C196666" s="349">
        <v>7.6826803868088279E-3</v>
      </c>
      <c r="D196666" s="349">
        <f t="shared" si="12"/>
        <v>5.5313534284766833E-2</v>
      </c>
      <c r="E196666" s="349">
        <v>1.0313534284766834E-2</v>
      </c>
      <c r="F196666" s="349">
        <v>0.2</v>
      </c>
    </row>
    <row r="196667" spans="1:6" ht="16">
      <c r="A196667" s="347" t="s">
        <v>502</v>
      </c>
      <c r="B196667" s="348" t="s">
        <v>586</v>
      </c>
      <c r="C196667" s="349">
        <v>9.8082219604926024E-2</v>
      </c>
      <c r="D196667" s="349">
        <f t="shared" si="12"/>
        <v>0.17666945436885656</v>
      </c>
      <c r="E196667" s="349">
        <v>0.13166945436885658</v>
      </c>
      <c r="F196667" s="349">
        <v>0.3</v>
      </c>
    </row>
    <row r="196668" spans="1:6" ht="16">
      <c r="A196668" s="347" t="s">
        <v>853</v>
      </c>
      <c r="B196668" s="154" t="s">
        <v>687</v>
      </c>
      <c r="C196668" s="277">
        <v>4.2915086193622262E-2</v>
      </c>
      <c r="D196668" s="349">
        <f t="shared" si="12"/>
        <v>0.14861091058162493</v>
      </c>
      <c r="E196668" s="277">
        <v>0.10361091058162493</v>
      </c>
      <c r="F196668" s="277">
        <v>0.31595749426030023</v>
      </c>
    </row>
    <row r="196669" spans="1:6" ht="16">
      <c r="A196669" s="347" t="s">
        <v>279</v>
      </c>
      <c r="B196669" s="348" t="s">
        <v>569</v>
      </c>
      <c r="C196669" s="349">
        <v>4.9041109802463012E-2</v>
      </c>
      <c r="D196669" s="349">
        <f t="shared" si="12"/>
        <v>0.11083472718442829</v>
      </c>
      <c r="E196669" s="349">
        <v>6.5834727184428288E-2</v>
      </c>
      <c r="F196669" s="349">
        <v>0.2</v>
      </c>
    </row>
    <row r="196670" spans="1:6" ht="16">
      <c r="A196670" s="347" t="s">
        <v>280</v>
      </c>
      <c r="B196670" s="348" t="s">
        <v>575</v>
      </c>
      <c r="C196670" s="349">
        <v>4.3535188858583353E-3</v>
      </c>
      <c r="D196670" s="349">
        <f t="shared" si="12"/>
        <v>5.0844336094701202E-2</v>
      </c>
      <c r="E196670" s="349">
        <v>5.8443360947012038E-3</v>
      </c>
      <c r="F196670" s="349">
        <v>0.2</v>
      </c>
    </row>
    <row r="196671" spans="1:6" ht="16">
      <c r="A196671" s="347" t="s">
        <v>281</v>
      </c>
      <c r="B196671" s="348" t="s">
        <v>568</v>
      </c>
      <c r="C196671" s="349">
        <v>5.3778762707661788E-3</v>
      </c>
      <c r="D196671" s="349">
        <f t="shared" si="12"/>
        <v>5.2219473999336782E-2</v>
      </c>
      <c r="E196671" s="349">
        <v>7.219473999336784E-3</v>
      </c>
      <c r="F196671" s="349">
        <v>0.25</v>
      </c>
    </row>
    <row r="196672" spans="1:6" ht="16">
      <c r="A196672" s="347" t="s">
        <v>854</v>
      </c>
      <c r="B196672" s="154" t="s">
        <v>687</v>
      </c>
      <c r="C196672" s="277">
        <v>4.2915086193622262E-2</v>
      </c>
      <c r="D196672" s="349">
        <f t="shared" si="12"/>
        <v>0.14861091058162493</v>
      </c>
      <c r="E196672" s="277">
        <v>0.10361091058162493</v>
      </c>
      <c r="F196672" s="277">
        <v>0.31595749426030023</v>
      </c>
    </row>
    <row r="196673" spans="1:6" ht="16">
      <c r="A196673" s="347" t="s">
        <v>486</v>
      </c>
      <c r="B196673" s="348" t="s">
        <v>579</v>
      </c>
      <c r="C196673" s="349">
        <v>8.1692501446400528E-2</v>
      </c>
      <c r="D196673" s="349">
        <f t="shared" si="12"/>
        <v>0.15466724789468733</v>
      </c>
      <c r="E196673" s="349">
        <v>0.10966724789468733</v>
      </c>
      <c r="F196673" s="349">
        <v>0.3</v>
      </c>
    </row>
    <row r="196674" spans="1:6" ht="16">
      <c r="A196674" s="350" t="s">
        <v>588</v>
      </c>
      <c r="B196674" s="348" t="s">
        <v>687</v>
      </c>
      <c r="C196674" s="349">
        <v>4.9041109802463012E-2</v>
      </c>
      <c r="D196674" s="349">
        <f t="shared" si="12"/>
        <v>0.11083472718442829</v>
      </c>
      <c r="E196674" s="349">
        <v>6.5834727184428288E-2</v>
      </c>
      <c r="F196674" s="349">
        <v>0.31</v>
      </c>
    </row>
    <row r="196675" spans="1:6" ht="16">
      <c r="A196675" s="347" t="s">
        <v>365</v>
      </c>
      <c r="B196675" s="348" t="s">
        <v>576</v>
      </c>
      <c r="C196675" s="349">
        <v>3.2779436317050999E-2</v>
      </c>
      <c r="D196675" s="349">
        <f t="shared" si="12"/>
        <v>8.9004412948338496E-2</v>
      </c>
      <c r="E196675" s="349">
        <v>4.4004412948338498E-2</v>
      </c>
      <c r="F196675" s="349">
        <v>0.15</v>
      </c>
    </row>
    <row r="196676" spans="1:6" ht="16">
      <c r="A196676" s="347" t="s">
        <v>282</v>
      </c>
      <c r="B196676" s="348" t="s">
        <v>574</v>
      </c>
      <c r="C196676" s="349">
        <v>0</v>
      </c>
      <c r="D196676" s="349">
        <f t="shared" si="12"/>
        <v>4.4999999999999998E-2</v>
      </c>
      <c r="E196676" s="349">
        <v>0</v>
      </c>
      <c r="F196676" s="349">
        <v>0.3</v>
      </c>
    </row>
    <row r="196677" spans="1:6" ht="16">
      <c r="A196677" s="347" t="s">
        <v>487</v>
      </c>
      <c r="B196677" s="348" t="s">
        <v>689</v>
      </c>
      <c r="C196677" s="349">
        <v>0.10896601681957188</v>
      </c>
      <c r="D196677" s="349">
        <f t="shared" si="12"/>
        <v>0.19128029460560964</v>
      </c>
      <c r="E196677" s="349">
        <v>0.14628029460560965</v>
      </c>
      <c r="F196677" s="349">
        <v>0.25</v>
      </c>
    </row>
    <row r="196678" spans="1:6" ht="16">
      <c r="A196678" s="347" t="s">
        <v>855</v>
      </c>
      <c r="B196678" s="154" t="s">
        <v>687</v>
      </c>
      <c r="C196678" s="277">
        <v>9.5882201472833571E-3</v>
      </c>
      <c r="D196678" s="349">
        <f t="shared" ref="D196678:D196741" si="13">$B$1+E196678</f>
        <v>0.10387160629364336</v>
      </c>
      <c r="E196678" s="277">
        <v>5.8871606293643367E-2</v>
      </c>
      <c r="F196678" s="277">
        <v>0.24707349543413576</v>
      </c>
    </row>
    <row r="196679" spans="1:6" ht="16">
      <c r="A196679" s="347" t="s">
        <v>283</v>
      </c>
      <c r="B196679" s="348" t="s">
        <v>589</v>
      </c>
      <c r="C196679" s="349">
        <v>2.7273515373171343E-2</v>
      </c>
      <c r="D196679" s="349">
        <f t="shared" si="13"/>
        <v>8.161304671092226E-2</v>
      </c>
      <c r="E196679" s="349">
        <v>3.6613046710922262E-2</v>
      </c>
      <c r="F196679" s="349">
        <v>0.22</v>
      </c>
    </row>
    <row r="196680" spans="1:6" ht="16">
      <c r="A196680" s="347" t="s">
        <v>856</v>
      </c>
      <c r="B196680" s="154" t="s">
        <v>687</v>
      </c>
      <c r="C196680" s="277">
        <f>J196680</f>
        <v>0</v>
      </c>
      <c r="D196680" s="349">
        <f t="shared" si="13"/>
        <v>4.4999999999999998E-2</v>
      </c>
      <c r="E196680" s="277">
        <f>H196680</f>
        <v>0</v>
      </c>
      <c r="F196680" s="277">
        <f>K196680</f>
        <v>0</v>
      </c>
    </row>
    <row r="196681" spans="1:6" ht="16">
      <c r="A196681" s="347" t="s">
        <v>284</v>
      </c>
      <c r="B196681" s="348" t="s">
        <v>589</v>
      </c>
      <c r="C196681" s="349">
        <v>2.7273515373171343E-2</v>
      </c>
      <c r="D196681" s="349">
        <f t="shared" si="13"/>
        <v>8.161304671092226E-2</v>
      </c>
      <c r="E196681" s="349">
        <v>3.6613046710922262E-2</v>
      </c>
      <c r="F196681" s="349">
        <v>0.25</v>
      </c>
    </row>
    <row r="196682" spans="1:6" ht="16">
      <c r="A196682" s="347" t="s">
        <v>690</v>
      </c>
      <c r="B196682" s="348" t="s">
        <v>585</v>
      </c>
      <c r="C196682" s="349">
        <v>7.6826803868088279E-3</v>
      </c>
      <c r="D196682" s="349">
        <f t="shared" si="13"/>
        <v>5.5313534284766833E-2</v>
      </c>
      <c r="E196682" s="349">
        <v>1.0313534284766834E-2</v>
      </c>
      <c r="F196682" s="349">
        <v>0</v>
      </c>
    </row>
    <row r="196683" spans="1:6" ht="16">
      <c r="A196683" s="351" t="s">
        <v>590</v>
      </c>
      <c r="B196683" s="348" t="s">
        <v>687</v>
      </c>
      <c r="C196683" s="349">
        <v>9.8082219604926024E-2</v>
      </c>
      <c r="D196683" s="349">
        <f t="shared" si="13"/>
        <v>0.17666945436885656</v>
      </c>
      <c r="E196683" s="349">
        <v>0.13166945436885658</v>
      </c>
      <c r="F196683" s="349">
        <v>0.29149999999999998</v>
      </c>
    </row>
    <row r="196684" spans="1:6" ht="16">
      <c r="A196684" s="350" t="s">
        <v>591</v>
      </c>
      <c r="B196684" s="348" t="s">
        <v>687</v>
      </c>
      <c r="C196684" s="349">
        <v>5.9924907017108842E-2</v>
      </c>
      <c r="D196684" s="349">
        <f t="shared" si="13"/>
        <v>0.12544556742118129</v>
      </c>
      <c r="E196684" s="349">
        <v>8.0445567421181294E-2</v>
      </c>
      <c r="F196684" s="349">
        <v>0.29149999999999998</v>
      </c>
    </row>
    <row r="196685" spans="1:6" ht="16">
      <c r="A196685" s="351" t="s">
        <v>592</v>
      </c>
      <c r="B196685" s="348" t="s">
        <v>687</v>
      </c>
      <c r="C196685" s="349">
        <v>1.7414075543433345E-2</v>
      </c>
      <c r="D196685" s="349">
        <f t="shared" si="13"/>
        <v>6.8377344378804827E-2</v>
      </c>
      <c r="E196685" s="349">
        <v>2.3377344378804829E-2</v>
      </c>
      <c r="F196685" s="349">
        <v>0.18640000000000001</v>
      </c>
    </row>
    <row r="196686" spans="1:6" ht="16">
      <c r="A196686" s="350" t="s">
        <v>593</v>
      </c>
      <c r="B196686" s="348" t="s">
        <v>687</v>
      </c>
      <c r="C196686" s="349">
        <v>0.10896601681957191</v>
      </c>
      <c r="D196686" s="349">
        <f t="shared" si="13"/>
        <v>0.19128029460560964</v>
      </c>
      <c r="E196686" s="349">
        <v>0.14628029460560965</v>
      </c>
      <c r="F196686" s="349">
        <v>0.18640000000000001</v>
      </c>
    </row>
    <row r="196687" spans="1:6" ht="16">
      <c r="A196687" s="347" t="s">
        <v>285</v>
      </c>
      <c r="B196687" s="348" t="s">
        <v>569</v>
      </c>
      <c r="C196687" s="349">
        <v>4.9041109802463012E-2</v>
      </c>
      <c r="D196687" s="349">
        <f t="shared" si="13"/>
        <v>0.11083472718442829</v>
      </c>
      <c r="E196687" s="349">
        <v>6.5834727184428288E-2</v>
      </c>
      <c r="F196687" s="349">
        <v>0.25</v>
      </c>
    </row>
    <row r="196688" spans="1:6" ht="16">
      <c r="A196688" s="347" t="s">
        <v>286</v>
      </c>
      <c r="B196688" s="348" t="s">
        <v>580</v>
      </c>
      <c r="C196688" s="349">
        <v>6.5302783287875029E-3</v>
      </c>
      <c r="D196688" s="349">
        <f t="shared" si="13"/>
        <v>5.3766504142051808E-2</v>
      </c>
      <c r="E196688" s="349">
        <v>8.7665041420518092E-3</v>
      </c>
      <c r="F196688" s="349">
        <v>0.16500000000000001</v>
      </c>
    </row>
    <row r="196689" spans="1:6" ht="16">
      <c r="A196689" s="347" t="s">
        <v>287</v>
      </c>
      <c r="B196689" s="348" t="s">
        <v>571</v>
      </c>
      <c r="C196689" s="349">
        <v>2.0743237044383835E-2</v>
      </c>
      <c r="D196689" s="349">
        <f t="shared" si="13"/>
        <v>7.2846542568870451E-2</v>
      </c>
      <c r="E196689" s="349">
        <v>2.7846542568870453E-2</v>
      </c>
      <c r="F196689" s="349">
        <v>0.09</v>
      </c>
    </row>
    <row r="196690" spans="1:6" ht="16">
      <c r="A196690" s="347" t="s">
        <v>288</v>
      </c>
      <c r="B196690" s="348" t="s">
        <v>583</v>
      </c>
      <c r="C196690" s="349">
        <v>9.2192164641705932E-3</v>
      </c>
      <c r="D196690" s="349">
        <f t="shared" si="13"/>
        <v>5.73762411417202E-2</v>
      </c>
      <c r="E196690" s="349">
        <v>1.2376241141720201E-2</v>
      </c>
      <c r="F196690" s="349">
        <v>0.2</v>
      </c>
    </row>
    <row r="196691" spans="1:6" ht="16">
      <c r="A196691" s="347" t="s">
        <v>289</v>
      </c>
      <c r="B196691" s="348" t="s">
        <v>577</v>
      </c>
      <c r="C196691" s="349">
        <v>2.3944353872220846E-2</v>
      </c>
      <c r="D196691" s="349">
        <f t="shared" si="13"/>
        <v>7.7143848520856623E-2</v>
      </c>
      <c r="E196691" s="349">
        <v>3.2143848520856624E-2</v>
      </c>
      <c r="F196691" s="349">
        <v>0.3</v>
      </c>
    </row>
    <row r="196692" spans="1:6" ht="16">
      <c r="A196692" s="347" t="s">
        <v>290</v>
      </c>
      <c r="B196692" s="348" t="s">
        <v>571</v>
      </c>
      <c r="C196692" s="349">
        <v>2.0743237044383835E-2</v>
      </c>
      <c r="D196692" s="349">
        <f t="shared" si="13"/>
        <v>7.2846542568870451E-2</v>
      </c>
      <c r="E196692" s="349">
        <v>2.7846542568870453E-2</v>
      </c>
      <c r="F196692" s="349">
        <v>0.22</v>
      </c>
    </row>
    <row r="196693" spans="1:6" ht="16">
      <c r="A196693" s="351" t="s">
        <v>594</v>
      </c>
      <c r="B196693" s="348" t="s">
        <v>687</v>
      </c>
      <c r="C196693" s="349">
        <v>7.0808704231754685E-2</v>
      </c>
      <c r="D196693" s="349">
        <f t="shared" si="13"/>
        <v>0.14005640765793431</v>
      </c>
      <c r="E196693" s="349">
        <v>9.5056407657934314E-2</v>
      </c>
      <c r="F196693" s="349">
        <v>0.20230000000000001</v>
      </c>
    </row>
    <row r="196694" spans="1:6" ht="16">
      <c r="A196694" s="347" t="s">
        <v>559</v>
      </c>
      <c r="B196694" s="348" t="s">
        <v>579</v>
      </c>
      <c r="C196694" s="349">
        <v>8.1692501446400528E-2</v>
      </c>
      <c r="D196694" s="349">
        <f t="shared" si="13"/>
        <v>0.15466724789468733</v>
      </c>
      <c r="E196694" s="349">
        <v>0.10966724789468733</v>
      </c>
      <c r="F196694" s="349">
        <v>0.15</v>
      </c>
    </row>
    <row r="196695" spans="1:6" ht="16">
      <c r="A196695" s="347" t="s">
        <v>291</v>
      </c>
      <c r="B196695" s="348" t="s">
        <v>580</v>
      </c>
      <c r="C196695" s="349">
        <v>6.5302783287875029E-3</v>
      </c>
      <c r="D196695" s="349">
        <f t="shared" si="13"/>
        <v>5.3766504142051808E-2</v>
      </c>
      <c r="E196695" s="349">
        <v>8.7665041420518092E-3</v>
      </c>
      <c r="F196695" s="349">
        <v>0.125</v>
      </c>
    </row>
    <row r="196696" spans="1:6" ht="16">
      <c r="A196696" s="347" t="s">
        <v>292</v>
      </c>
      <c r="B196696" s="348" t="s">
        <v>580</v>
      </c>
      <c r="C196696" s="349">
        <v>6.5302783287875029E-3</v>
      </c>
      <c r="D196696" s="349">
        <f t="shared" si="13"/>
        <v>5.3766504142051808E-2</v>
      </c>
      <c r="E196696" s="349">
        <v>8.7665041420518092E-3</v>
      </c>
      <c r="F196696" s="349">
        <v>0</v>
      </c>
    </row>
    <row r="196697" spans="1:6" ht="16">
      <c r="A196697" s="347" t="s">
        <v>293</v>
      </c>
      <c r="B196697" s="348" t="s">
        <v>585</v>
      </c>
      <c r="C196697" s="349">
        <v>7.6826803868088279E-3</v>
      </c>
      <c r="D196697" s="349">
        <f t="shared" si="13"/>
        <v>5.5313534284766833E-2</v>
      </c>
      <c r="E196697" s="349">
        <v>1.0313534284766834E-2</v>
      </c>
      <c r="F196697" s="349">
        <v>0.23</v>
      </c>
    </row>
    <row r="196698" spans="1:6" ht="16">
      <c r="A196698" s="347" t="s">
        <v>294</v>
      </c>
      <c r="B196698" s="348" t="s">
        <v>577</v>
      </c>
      <c r="C196698" s="349">
        <v>2.3944353872220846E-2</v>
      </c>
      <c r="D196698" s="349">
        <f t="shared" si="13"/>
        <v>7.7143848520856623E-2</v>
      </c>
      <c r="E196698" s="349">
        <v>3.2143848520856624E-2</v>
      </c>
      <c r="F196698" s="349">
        <v>0.24</v>
      </c>
    </row>
    <row r="196699" spans="1:6" ht="16">
      <c r="A196699" s="347" t="s">
        <v>857</v>
      </c>
      <c r="B196699" s="348" t="s">
        <v>578</v>
      </c>
      <c r="C196699" s="349">
        <v>3.9181669972725021E-2</v>
      </c>
      <c r="D196699" s="349">
        <f t="shared" si="13"/>
        <v>9.7599024852310853E-2</v>
      </c>
      <c r="E196699" s="349">
        <v>5.2599024852310855E-2</v>
      </c>
      <c r="F196699" s="349">
        <v>0.25</v>
      </c>
    </row>
    <row r="196700" spans="1:6" ht="16">
      <c r="A196700" s="347" t="s">
        <v>295</v>
      </c>
      <c r="B196700" s="348" t="s">
        <v>569</v>
      </c>
      <c r="C196700" s="349">
        <v>4.9041109802463012E-2</v>
      </c>
      <c r="D196700" s="349">
        <f t="shared" si="13"/>
        <v>0.11083472718442829</v>
      </c>
      <c r="E196700" s="349">
        <v>6.5834727184428288E-2</v>
      </c>
      <c r="F196700" s="349">
        <v>0.25</v>
      </c>
    </row>
    <row r="196701" spans="1:6" ht="16">
      <c r="A196701" s="347" t="s">
        <v>296</v>
      </c>
      <c r="B196701" s="348" t="s">
        <v>585</v>
      </c>
      <c r="C196701" s="349">
        <v>7.6826803868088279E-3</v>
      </c>
      <c r="D196701" s="349">
        <f t="shared" si="13"/>
        <v>5.5313534284766833E-2</v>
      </c>
      <c r="E196701" s="349">
        <v>1.0313534284766834E-2</v>
      </c>
      <c r="F196701" s="349">
        <v>0.30620000000000003</v>
      </c>
    </row>
    <row r="196702" spans="1:6" ht="16">
      <c r="A196702" s="347" t="s">
        <v>691</v>
      </c>
      <c r="B196702" s="348" t="s">
        <v>580</v>
      </c>
      <c r="C196702" s="349">
        <v>6.5302783287875029E-3</v>
      </c>
      <c r="D196702" s="349">
        <f t="shared" si="13"/>
        <v>5.3766504142051808E-2</v>
      </c>
      <c r="E196702" s="349">
        <v>8.7665041420518092E-3</v>
      </c>
      <c r="F196702" s="349">
        <v>0</v>
      </c>
    </row>
    <row r="196703" spans="1:6" ht="16">
      <c r="A196703" s="347" t="s">
        <v>297</v>
      </c>
      <c r="B196703" s="348" t="s">
        <v>569</v>
      </c>
      <c r="C196703" s="349">
        <v>4.9041109802463012E-2</v>
      </c>
      <c r="D196703" s="349">
        <f t="shared" si="13"/>
        <v>0.11083472718442829</v>
      </c>
      <c r="E196703" s="349">
        <v>6.5834727184428288E-2</v>
      </c>
      <c r="F196703" s="349">
        <v>0.2</v>
      </c>
    </row>
    <row r="196704" spans="1:6" ht="16">
      <c r="A196704" s="347" t="s">
        <v>298</v>
      </c>
      <c r="B196704" s="348" t="s">
        <v>571</v>
      </c>
      <c r="C196704" s="349">
        <v>2.0743237044383835E-2</v>
      </c>
      <c r="D196704" s="349">
        <f t="shared" si="13"/>
        <v>7.2846542568870451E-2</v>
      </c>
      <c r="E196704" s="349">
        <v>2.7846542568870453E-2</v>
      </c>
      <c r="F196704" s="349">
        <v>0.2</v>
      </c>
    </row>
    <row r="196705" spans="1:6" ht="16">
      <c r="A196705" s="347" t="s">
        <v>429</v>
      </c>
      <c r="B196705" s="348" t="s">
        <v>581</v>
      </c>
      <c r="C196705" s="349">
        <v>7.0808704231754685E-2</v>
      </c>
      <c r="D196705" s="349">
        <f t="shared" si="13"/>
        <v>0.14005640765793431</v>
      </c>
      <c r="E196705" s="349">
        <v>9.5056407657934314E-2</v>
      </c>
      <c r="F196705" s="349">
        <v>0.3</v>
      </c>
    </row>
    <row r="196706" spans="1:6" ht="16">
      <c r="A196706" s="350" t="s">
        <v>595</v>
      </c>
      <c r="B196706" s="348" t="s">
        <v>687</v>
      </c>
      <c r="C196706" s="349">
        <v>0.17499999999999999</v>
      </c>
      <c r="D196706" s="349">
        <f t="shared" si="13"/>
        <v>0.27992692770782934</v>
      </c>
      <c r="E196706" s="349">
        <v>0.23492692770782936</v>
      </c>
      <c r="F196706" s="349">
        <v>0.23100000000000001</v>
      </c>
    </row>
    <row r="196707" spans="1:6" ht="16">
      <c r="A196707" s="347" t="s">
        <v>299</v>
      </c>
      <c r="B196707" s="348" t="s">
        <v>585</v>
      </c>
      <c r="C196707" s="349">
        <v>7.6826803868088279E-3</v>
      </c>
      <c r="D196707" s="349">
        <f t="shared" si="13"/>
        <v>5.5313534284766833E-2</v>
      </c>
      <c r="E196707" s="349">
        <v>1.0313534284766834E-2</v>
      </c>
      <c r="F196707" s="349">
        <v>0.15</v>
      </c>
    </row>
    <row r="196708" spans="1:6" ht="16">
      <c r="A196708" s="347" t="s">
        <v>488</v>
      </c>
      <c r="B196708" s="348" t="s">
        <v>581</v>
      </c>
      <c r="C196708" s="349">
        <v>7.0808704231754685E-2</v>
      </c>
      <c r="D196708" s="349">
        <f t="shared" si="13"/>
        <v>0.14005640765793431</v>
      </c>
      <c r="E196708" s="349">
        <v>9.5056407657934314E-2</v>
      </c>
      <c r="F196708" s="349">
        <v>0.1</v>
      </c>
    </row>
    <row r="196709" spans="1:6" ht="16">
      <c r="A196709" s="347" t="s">
        <v>622</v>
      </c>
      <c r="B196709" s="348" t="s">
        <v>689</v>
      </c>
      <c r="C196709" s="349">
        <v>0.10896601681957188</v>
      </c>
      <c r="D196709" s="349">
        <f t="shared" si="13"/>
        <v>0.19128029460560964</v>
      </c>
      <c r="E196709" s="349">
        <v>0.14628029460560965</v>
      </c>
      <c r="F196709" s="349">
        <v>0.26860000000000001</v>
      </c>
    </row>
    <row r="196710" spans="1:6" ht="16">
      <c r="A196710" s="347" t="s">
        <v>300</v>
      </c>
      <c r="B196710" s="348" t="s">
        <v>587</v>
      </c>
      <c r="C196710" s="349">
        <v>1.3060556657575006E-2</v>
      </c>
      <c r="D196710" s="349">
        <f t="shared" si="13"/>
        <v>6.2533008284103617E-2</v>
      </c>
      <c r="E196710" s="349">
        <v>1.7533008284103618E-2</v>
      </c>
      <c r="F196710" s="349">
        <v>0.2</v>
      </c>
    </row>
    <row r="196711" spans="1:6" ht="16">
      <c r="A196711" s="347" t="s">
        <v>366</v>
      </c>
      <c r="B196711" s="348" t="s">
        <v>615</v>
      </c>
      <c r="C196711" s="349">
        <v>0.17499999999999999</v>
      </c>
      <c r="D196711" s="349">
        <f t="shared" si="13"/>
        <v>0.27992692770782934</v>
      </c>
      <c r="E196711" s="349">
        <v>0.23492692770782936</v>
      </c>
      <c r="F196711" s="349">
        <v>0.17</v>
      </c>
    </row>
    <row r="196712" spans="1:6" ht="16">
      <c r="A196712" s="351" t="s">
        <v>596</v>
      </c>
      <c r="B196712" s="348" t="s">
        <v>687</v>
      </c>
      <c r="C196712" s="349">
        <v>0.13073361124886354</v>
      </c>
      <c r="D196712" s="349">
        <f t="shared" si="13"/>
        <v>0.22050197507911562</v>
      </c>
      <c r="E196712" s="349">
        <v>0.17550197507911564</v>
      </c>
      <c r="F196712" s="349">
        <v>0.29149999999999998</v>
      </c>
    </row>
    <row r="196713" spans="1:6" ht="16">
      <c r="A196713" s="350" t="s">
        <v>597</v>
      </c>
      <c r="B196713" s="348" t="s">
        <v>687</v>
      </c>
      <c r="C196713" s="349">
        <v>2.0743237044383835E-2</v>
      </c>
      <c r="D196713" s="349">
        <f t="shared" si="13"/>
        <v>7.2846542568870451E-2</v>
      </c>
      <c r="E196713" s="349">
        <v>2.7846542568870453E-2</v>
      </c>
      <c r="F196713" s="349">
        <v>0.2</v>
      </c>
    </row>
    <row r="196714" spans="1:6" ht="16">
      <c r="A196714" s="347" t="s">
        <v>301</v>
      </c>
      <c r="B196714" s="348" t="s">
        <v>574</v>
      </c>
      <c r="C196714" s="349">
        <v>0</v>
      </c>
      <c r="D196714" s="349">
        <f t="shared" si="13"/>
        <v>4.4999999999999998E-2</v>
      </c>
      <c r="E196714" s="349">
        <v>0</v>
      </c>
      <c r="F196714" s="349">
        <v>0.125</v>
      </c>
    </row>
    <row r="196715" spans="1:6" ht="16">
      <c r="A196715" s="347" t="s">
        <v>302</v>
      </c>
      <c r="B196715" s="348" t="s">
        <v>583</v>
      </c>
      <c r="C196715" s="349">
        <v>9.2192164641705932E-3</v>
      </c>
      <c r="D196715" s="349">
        <f t="shared" si="13"/>
        <v>5.73762411417202E-2</v>
      </c>
      <c r="E196715" s="349">
        <v>1.2376241141720201E-2</v>
      </c>
      <c r="F196715" s="349">
        <v>0.15</v>
      </c>
    </row>
    <row r="196716" spans="1:6" ht="16">
      <c r="A196716" s="347" t="s">
        <v>303</v>
      </c>
      <c r="B196716" s="348" t="s">
        <v>574</v>
      </c>
      <c r="C196716" s="349">
        <v>0</v>
      </c>
      <c r="D196716" s="349">
        <f t="shared" si="13"/>
        <v>4.4999999999999998E-2</v>
      </c>
      <c r="E196716" s="349">
        <v>0</v>
      </c>
      <c r="F196716" s="349">
        <v>0.24940000000000001</v>
      </c>
    </row>
    <row r="196717" spans="1:6" ht="16">
      <c r="A196717" s="347" t="s">
        <v>858</v>
      </c>
      <c r="B196717" s="348" t="s">
        <v>580</v>
      </c>
      <c r="C196717" s="349">
        <v>6.5302783287875029E-3</v>
      </c>
      <c r="D196717" s="349">
        <f t="shared" si="13"/>
        <v>5.3766504142051808E-2</v>
      </c>
      <c r="E196717" s="349">
        <v>8.7665041420518092E-3</v>
      </c>
      <c r="F196717" s="349">
        <v>0.26860000000000001</v>
      </c>
    </row>
    <row r="196718" spans="1:6" ht="16">
      <c r="A196718" s="347" t="s">
        <v>304</v>
      </c>
      <c r="B196718" s="348" t="s">
        <v>578</v>
      </c>
      <c r="C196718" s="349">
        <v>3.9181669972725021E-2</v>
      </c>
      <c r="D196718" s="349">
        <f t="shared" si="13"/>
        <v>9.7599024852310853E-2</v>
      </c>
      <c r="E196718" s="349">
        <v>5.2599024852310855E-2</v>
      </c>
      <c r="F196718" s="349">
        <v>0.1</v>
      </c>
    </row>
    <row r="196719" spans="1:6" ht="16">
      <c r="A196719" s="351" t="s">
        <v>598</v>
      </c>
      <c r="B196719" s="348" t="s">
        <v>687</v>
      </c>
      <c r="C196719" s="349">
        <v>7.0808704231754685E-2</v>
      </c>
      <c r="D196719" s="349">
        <f t="shared" si="13"/>
        <v>0.14005640765793431</v>
      </c>
      <c r="E196719" s="349">
        <v>9.5056407657934314E-2</v>
      </c>
      <c r="F196719" s="349">
        <v>0.2</v>
      </c>
    </row>
    <row r="196720" spans="1:6" ht="16">
      <c r="A196720" s="350" t="s">
        <v>599</v>
      </c>
      <c r="B196720" s="348" t="s">
        <v>687</v>
      </c>
      <c r="C196720" s="349">
        <v>0.13073361124886354</v>
      </c>
      <c r="D196720" s="349">
        <f t="shared" si="13"/>
        <v>0.22050197507911562</v>
      </c>
      <c r="E196720" s="349">
        <v>0.17550197507911564</v>
      </c>
      <c r="F196720" s="349">
        <v>0.3</v>
      </c>
    </row>
    <row r="196721" spans="1:6" ht="16">
      <c r="A196721" s="347" t="s">
        <v>305</v>
      </c>
      <c r="B196721" s="348" t="s">
        <v>587</v>
      </c>
      <c r="C196721" s="349">
        <v>1.3060556657575006E-2</v>
      </c>
      <c r="D196721" s="349">
        <f t="shared" si="13"/>
        <v>6.2533008284103617E-2</v>
      </c>
      <c r="E196721" s="349">
        <v>1.7533008284103618E-2</v>
      </c>
      <c r="F196721" s="349">
        <v>0.24</v>
      </c>
    </row>
    <row r="196722" spans="1:6" ht="16">
      <c r="A196722" s="347" t="s">
        <v>692</v>
      </c>
      <c r="B196722" s="348" t="s">
        <v>579</v>
      </c>
      <c r="C196722" s="349">
        <v>8.1692501446400528E-2</v>
      </c>
      <c r="D196722" s="349">
        <f t="shared" si="13"/>
        <v>0.15466724789468733</v>
      </c>
      <c r="E196722" s="349">
        <v>0.10966724789468733</v>
      </c>
      <c r="F196722" s="349">
        <v>0.26860000000000001</v>
      </c>
    </row>
    <row r="196723" spans="1:6" ht="16">
      <c r="A196723" s="347" t="s">
        <v>600</v>
      </c>
      <c r="B196723" s="348" t="s">
        <v>586</v>
      </c>
      <c r="C196723" s="349">
        <v>9.8082219604926024E-2</v>
      </c>
      <c r="D196723" s="349">
        <f t="shared" si="13"/>
        <v>0.17666945436885656</v>
      </c>
      <c r="E196723" s="349">
        <v>0.13166945436885658</v>
      </c>
      <c r="F196723" s="349">
        <v>0.26860000000000001</v>
      </c>
    </row>
    <row r="196724" spans="1:6" ht="16">
      <c r="A196724" s="347" t="s">
        <v>306</v>
      </c>
      <c r="B196724" s="348" t="s">
        <v>583</v>
      </c>
      <c r="C196724" s="349">
        <v>9.2192164641705932E-3</v>
      </c>
      <c r="D196724" s="349">
        <f t="shared" si="13"/>
        <v>5.73762411417202E-2</v>
      </c>
      <c r="E196724" s="349">
        <v>1.2376241141720201E-2</v>
      </c>
      <c r="F196724" s="349">
        <v>0.35</v>
      </c>
    </row>
    <row r="196725" spans="1:6" ht="16">
      <c r="A196725" s="347" t="s">
        <v>859</v>
      </c>
      <c r="B196725" s="154" t="s">
        <v>687</v>
      </c>
      <c r="C196725" s="277">
        <f>J196725</f>
        <v>0</v>
      </c>
      <c r="D196725" s="349">
        <f t="shared" si="13"/>
        <v>4.4999999999999998E-2</v>
      </c>
      <c r="E196725" s="277">
        <f>H196725</f>
        <v>0</v>
      </c>
      <c r="F196725" s="277">
        <f>K196725</f>
        <v>0</v>
      </c>
    </row>
    <row r="196726" spans="1:6" ht="16">
      <c r="A196726" s="347" t="s">
        <v>307</v>
      </c>
      <c r="B196726" s="348" t="s">
        <v>577</v>
      </c>
      <c r="C196726" s="349">
        <v>2.3944353872220846E-2</v>
      </c>
      <c r="D196726" s="349">
        <f t="shared" si="13"/>
        <v>7.7143848520856623E-2</v>
      </c>
      <c r="E196726" s="349">
        <v>3.2143848520856624E-2</v>
      </c>
      <c r="F196726" s="349">
        <v>0.15</v>
      </c>
    </row>
    <row r="196727" spans="1:6" ht="16">
      <c r="A196727" s="347" t="s">
        <v>308</v>
      </c>
      <c r="B196727" s="348" t="s">
        <v>571</v>
      </c>
      <c r="C196727" s="349">
        <v>2.0743237044383835E-2</v>
      </c>
      <c r="D196727" s="349">
        <f t="shared" si="13"/>
        <v>7.2846542568870451E-2</v>
      </c>
      <c r="E196727" s="349">
        <v>2.7846542568870453E-2</v>
      </c>
      <c r="F196727" s="349">
        <v>0.3</v>
      </c>
    </row>
    <row r="196728" spans="1:6" ht="16">
      <c r="A196728" s="347" t="s">
        <v>860</v>
      </c>
      <c r="B196728" s="154" t="s">
        <v>687</v>
      </c>
      <c r="C196728" s="277">
        <v>9.5882201472833571E-3</v>
      </c>
      <c r="D196728" s="349">
        <f t="shared" si="13"/>
        <v>0.10387160629364336</v>
      </c>
      <c r="E196728" s="277">
        <v>5.8871606293643367E-2</v>
      </c>
      <c r="F196728" s="277">
        <v>0.24707349543413576</v>
      </c>
    </row>
    <row r="196729" spans="1:6" ht="16">
      <c r="A196729" s="347" t="s">
        <v>367</v>
      </c>
      <c r="B196729" s="348" t="s">
        <v>581</v>
      </c>
      <c r="C196729" s="349">
        <v>7.0808704231754685E-2</v>
      </c>
      <c r="D196729" s="349">
        <f t="shared" si="13"/>
        <v>0.14005640765793431</v>
      </c>
      <c r="E196729" s="349">
        <v>9.5056407657934314E-2</v>
      </c>
      <c r="F196729" s="349">
        <v>0.12</v>
      </c>
    </row>
    <row r="196730" spans="1:6" ht="16">
      <c r="A196730" s="347" t="s">
        <v>368</v>
      </c>
      <c r="B196730" s="348" t="s">
        <v>581</v>
      </c>
      <c r="C196730" s="349">
        <v>7.0808704231754685E-2</v>
      </c>
      <c r="D196730" s="349">
        <f t="shared" si="13"/>
        <v>0.14005640765793431</v>
      </c>
      <c r="E196730" s="349">
        <v>9.5056407657934314E-2</v>
      </c>
      <c r="F196730" s="349">
        <v>0.25</v>
      </c>
    </row>
    <row r="196731" spans="1:6" ht="16">
      <c r="A196731" s="347" t="s">
        <v>309</v>
      </c>
      <c r="B196731" s="348" t="s">
        <v>569</v>
      </c>
      <c r="C196731" s="349">
        <v>4.9041109802463012E-2</v>
      </c>
      <c r="D196731" s="349">
        <f t="shared" si="13"/>
        <v>0.11083472718442829</v>
      </c>
      <c r="E196731" s="349">
        <v>6.5834727184428288E-2</v>
      </c>
      <c r="F196731" s="349">
        <v>0.15</v>
      </c>
    </row>
    <row r="196732" spans="1:6" ht="16">
      <c r="A196732" s="347" t="s">
        <v>489</v>
      </c>
      <c r="B196732" s="348" t="s">
        <v>577</v>
      </c>
      <c r="C196732" s="349">
        <v>2.3944353872220846E-2</v>
      </c>
      <c r="D196732" s="349">
        <f t="shared" si="13"/>
        <v>7.7143848520856623E-2</v>
      </c>
      <c r="E196732" s="349">
        <v>3.2143848520856624E-2</v>
      </c>
      <c r="F196732" s="349">
        <v>0.2853</v>
      </c>
    </row>
    <row r="196733" spans="1:6" ht="16">
      <c r="A196733" s="347" t="s">
        <v>369</v>
      </c>
      <c r="B196733" s="348" t="s">
        <v>589</v>
      </c>
      <c r="C196733" s="349">
        <v>2.7273515373171343E-2</v>
      </c>
      <c r="D196733" s="349">
        <f t="shared" si="13"/>
        <v>8.161304671092226E-2</v>
      </c>
      <c r="E196733" s="349">
        <v>3.6613046710922262E-2</v>
      </c>
      <c r="F196733" s="349">
        <v>0.32</v>
      </c>
    </row>
    <row r="196734" spans="1:6" ht="16">
      <c r="A196734" s="347" t="s">
        <v>310</v>
      </c>
      <c r="B196734" s="348" t="s">
        <v>586</v>
      </c>
      <c r="C196734" s="349">
        <v>9.8082219604926024E-2</v>
      </c>
      <c r="D196734" s="349">
        <f t="shared" si="13"/>
        <v>0.17666945436885656</v>
      </c>
      <c r="E196734" s="349">
        <v>0.13166945436885658</v>
      </c>
      <c r="F196734" s="349">
        <v>0.32</v>
      </c>
    </row>
    <row r="196735" spans="1:6" ht="16">
      <c r="A196735" s="351" t="s">
        <v>601</v>
      </c>
      <c r="B196735" s="348" t="s">
        <v>687</v>
      </c>
      <c r="C196735" s="349">
        <v>0.10896601681957191</v>
      </c>
      <c r="D196735" s="349">
        <f t="shared" si="13"/>
        <v>0.19128029460560964</v>
      </c>
      <c r="E196735" s="349">
        <v>0.14628029460560965</v>
      </c>
      <c r="F196735" s="349">
        <v>0.25</v>
      </c>
    </row>
    <row r="196736" spans="1:6" ht="16">
      <c r="A196736" s="347" t="s">
        <v>311</v>
      </c>
      <c r="B196736" s="348" t="s">
        <v>569</v>
      </c>
      <c r="C196736" s="349">
        <v>4.9041109802463012E-2</v>
      </c>
      <c r="D196736" s="349">
        <f t="shared" si="13"/>
        <v>0.11083472718442829</v>
      </c>
      <c r="E196736" s="349">
        <v>6.5834727184428288E-2</v>
      </c>
      <c r="F196736" s="349">
        <v>0.32</v>
      </c>
    </row>
    <row r="196737" spans="1:6" ht="16">
      <c r="A196737" s="347" t="s">
        <v>312</v>
      </c>
      <c r="B196737" s="348" t="s">
        <v>574</v>
      </c>
      <c r="C196737" s="349">
        <v>0</v>
      </c>
      <c r="D196737" s="349">
        <f t="shared" si="13"/>
        <v>4.4999999999999998E-2</v>
      </c>
      <c r="E196737" s="349">
        <v>0</v>
      </c>
      <c r="F196737" s="349">
        <v>0.25800000000000001</v>
      </c>
    </row>
    <row r="196738" spans="1:6" ht="16">
      <c r="A196738" s="347" t="s">
        <v>861</v>
      </c>
      <c r="B196738" s="154" t="s">
        <v>687</v>
      </c>
      <c r="C196738" s="277">
        <v>0.1054310997313879</v>
      </c>
      <c r="D196738" s="349">
        <f t="shared" si="13"/>
        <v>0.23253488197001548</v>
      </c>
      <c r="E196738" s="277">
        <v>0.1875348819700155</v>
      </c>
      <c r="F196738" s="277">
        <v>0.2724561140242252</v>
      </c>
    </row>
    <row r="196739" spans="1:6" ht="16">
      <c r="A196739" s="347" t="s">
        <v>313</v>
      </c>
      <c r="B196739" s="348" t="s">
        <v>574</v>
      </c>
      <c r="C196739" s="349">
        <v>0</v>
      </c>
      <c r="D196739" s="349">
        <f t="shared" si="13"/>
        <v>4.4999999999999998E-2</v>
      </c>
      <c r="E196739" s="349">
        <v>0</v>
      </c>
      <c r="F196739" s="349">
        <v>0.28000000000000003</v>
      </c>
    </row>
    <row r="196740" spans="1:6" ht="16">
      <c r="A196740" s="347" t="s">
        <v>370</v>
      </c>
      <c r="B196740" s="348" t="s">
        <v>581</v>
      </c>
      <c r="C196740" s="349">
        <v>7.0808704231754685E-2</v>
      </c>
      <c r="D196740" s="349">
        <f t="shared" si="13"/>
        <v>0.14005640765793431</v>
      </c>
      <c r="E196740" s="349">
        <v>9.5056407657934314E-2</v>
      </c>
      <c r="F196740" s="349">
        <v>0.3</v>
      </c>
    </row>
    <row r="196741" spans="1:6" ht="16">
      <c r="A196741" s="347" t="s">
        <v>602</v>
      </c>
      <c r="B196741" s="348" t="s">
        <v>586</v>
      </c>
      <c r="C196741" s="349">
        <v>9.8082219604926024E-2</v>
      </c>
      <c r="D196741" s="349">
        <f t="shared" si="13"/>
        <v>0.17666945436885656</v>
      </c>
      <c r="E196741" s="349">
        <v>0.13166945436885658</v>
      </c>
      <c r="F196741" s="349">
        <v>0.26860000000000001</v>
      </c>
    </row>
    <row r="196742" spans="1:6" ht="16">
      <c r="A196742" s="347" t="s">
        <v>314</v>
      </c>
      <c r="B196742" s="348" t="s">
        <v>579</v>
      </c>
      <c r="C196742" s="349">
        <v>8.1692501446400528E-2</v>
      </c>
      <c r="D196742" s="349">
        <f t="shared" ref="D196742:D196803" si="14">$B$1+E196742</f>
        <v>0.15466724789468733</v>
      </c>
      <c r="E196742" s="349">
        <v>0.10966724789468733</v>
      </c>
      <c r="F196742" s="349">
        <v>0.3</v>
      </c>
    </row>
    <row r="196743" spans="1:6" ht="16">
      <c r="A196743" s="347" t="s">
        <v>315</v>
      </c>
      <c r="B196743" s="348" t="s">
        <v>574</v>
      </c>
      <c r="C196743" s="349">
        <v>0</v>
      </c>
      <c r="D196743" s="349">
        <f t="shared" si="14"/>
        <v>4.4999999999999998E-2</v>
      </c>
      <c r="E196743" s="349">
        <v>0</v>
      </c>
      <c r="F196743" s="349">
        <v>0.22</v>
      </c>
    </row>
    <row r="196744" spans="1:6" ht="16">
      <c r="A196744" s="347" t="s">
        <v>316</v>
      </c>
      <c r="B196744" s="348" t="s">
        <v>589</v>
      </c>
      <c r="C196744" s="349">
        <v>2.7273515373171343E-2</v>
      </c>
      <c r="D196744" s="349">
        <f t="shared" si="14"/>
        <v>8.161304671092226E-2</v>
      </c>
      <c r="E196744" s="349">
        <v>3.6613046710922262E-2</v>
      </c>
      <c r="F196744" s="349">
        <v>0.15</v>
      </c>
    </row>
    <row r="196745" spans="1:6" ht="16">
      <c r="A196745" s="347" t="s">
        <v>317</v>
      </c>
      <c r="B196745" s="348" t="s">
        <v>689</v>
      </c>
      <c r="C196745" s="349">
        <v>0.10896601681957188</v>
      </c>
      <c r="D196745" s="349">
        <f t="shared" si="14"/>
        <v>0.19128029460560964</v>
      </c>
      <c r="E196745" s="349">
        <v>0.14628029460560965</v>
      </c>
      <c r="F196745" s="349">
        <v>0.28999999999999998</v>
      </c>
    </row>
    <row r="196746" spans="1:6" ht="16">
      <c r="A196746" s="347" t="s">
        <v>862</v>
      </c>
      <c r="B196746" s="154" t="s">
        <v>687</v>
      </c>
      <c r="C196746" s="277">
        <v>1.6082653627874467E-2</v>
      </c>
      <c r="D196746" s="349">
        <f t="shared" si="14"/>
        <v>0.11258999089248985</v>
      </c>
      <c r="E196746" s="277">
        <v>6.7589990892489848E-2</v>
      </c>
      <c r="F196746" s="277">
        <v>0.18760152153615242</v>
      </c>
    </row>
    <row r="196747" spans="1:6" ht="16">
      <c r="A196747" s="347" t="s">
        <v>318</v>
      </c>
      <c r="B196747" s="348" t="s">
        <v>571</v>
      </c>
      <c r="C196747" s="349">
        <v>2.0743237044383835E-2</v>
      </c>
      <c r="D196747" s="349">
        <f t="shared" si="14"/>
        <v>7.2846542568870451E-2</v>
      </c>
      <c r="E196747" s="349">
        <v>2.7846542568870453E-2</v>
      </c>
      <c r="F196747" s="349">
        <v>0.25</v>
      </c>
    </row>
    <row r="196748" spans="1:6" ht="16">
      <c r="A196748" s="347" t="s">
        <v>319</v>
      </c>
      <c r="B196748" s="348" t="s">
        <v>572</v>
      </c>
      <c r="C196748" s="349">
        <v>5.9924907017108855E-2</v>
      </c>
      <c r="D196748" s="349">
        <f t="shared" si="14"/>
        <v>0.12544556742118129</v>
      </c>
      <c r="E196748" s="349">
        <v>8.0445567421181294E-2</v>
      </c>
      <c r="F196748" s="349">
        <v>0.3</v>
      </c>
    </row>
    <row r="196749" spans="1:6" ht="16">
      <c r="A196749" s="347" t="s">
        <v>320</v>
      </c>
      <c r="B196749" s="348" t="s">
        <v>589</v>
      </c>
      <c r="C196749" s="349">
        <v>2.7273515373171343E-2</v>
      </c>
      <c r="D196749" s="349">
        <f t="shared" si="14"/>
        <v>8.161304671092226E-2</v>
      </c>
      <c r="E196749" s="349">
        <v>3.6613046710922262E-2</v>
      </c>
      <c r="F196749" s="349">
        <v>0.1</v>
      </c>
    </row>
    <row r="196750" spans="1:6" ht="16">
      <c r="A196750" s="347" t="s">
        <v>321</v>
      </c>
      <c r="B196750" s="348" t="s">
        <v>573</v>
      </c>
      <c r="C196750" s="349">
        <v>1.7414075543433341E-2</v>
      </c>
      <c r="D196750" s="349">
        <f t="shared" si="14"/>
        <v>6.8377344378804827E-2</v>
      </c>
      <c r="E196750" s="349">
        <v>2.3377344378804829E-2</v>
      </c>
      <c r="F196750" s="349">
        <v>0.29499999999999998</v>
      </c>
    </row>
    <row r="196751" spans="1:6" ht="16">
      <c r="A196751" s="347" t="s">
        <v>322</v>
      </c>
      <c r="B196751" s="348" t="s">
        <v>571</v>
      </c>
      <c r="C196751" s="349">
        <v>2.0743237044383835E-2</v>
      </c>
      <c r="D196751" s="349">
        <f t="shared" si="14"/>
        <v>7.2846542568870451E-2</v>
      </c>
      <c r="E196751" s="349">
        <v>2.7846542568870453E-2</v>
      </c>
      <c r="F196751" s="349">
        <v>0.25</v>
      </c>
    </row>
    <row r="196752" spans="1:6" ht="16">
      <c r="A196752" s="347" t="s">
        <v>323</v>
      </c>
      <c r="B196752" s="348" t="s">
        <v>583</v>
      </c>
      <c r="C196752" s="349">
        <v>9.2192164641705932E-3</v>
      </c>
      <c r="D196752" s="349">
        <f t="shared" si="14"/>
        <v>5.73762411417202E-2</v>
      </c>
      <c r="E196752" s="349">
        <v>1.2376241141720201E-2</v>
      </c>
      <c r="F196752" s="349">
        <v>0.19</v>
      </c>
    </row>
    <row r="196753" spans="1:6" ht="16">
      <c r="A196753" s="347" t="s">
        <v>324</v>
      </c>
      <c r="B196753" s="348" t="s">
        <v>587</v>
      </c>
      <c r="C196753" s="349">
        <v>1.3060556657575006E-2</v>
      </c>
      <c r="D196753" s="349">
        <f t="shared" si="14"/>
        <v>6.2533008284103617E-2</v>
      </c>
      <c r="E196753" s="349">
        <v>1.7533008284103618E-2</v>
      </c>
      <c r="F196753" s="349">
        <v>0.21</v>
      </c>
    </row>
    <row r="196754" spans="1:6" ht="16">
      <c r="A196754" s="347" t="s">
        <v>325</v>
      </c>
      <c r="B196754" s="348" t="s">
        <v>580</v>
      </c>
      <c r="C196754" s="349">
        <v>6.5302783287875029E-3</v>
      </c>
      <c r="D196754" s="349">
        <f t="shared" si="14"/>
        <v>5.3766504142051808E-2</v>
      </c>
      <c r="E196754" s="349">
        <v>8.7665041420518092E-3</v>
      </c>
      <c r="F196754" s="349">
        <v>0.1</v>
      </c>
    </row>
    <row r="196755" spans="1:6" ht="16">
      <c r="A196755" s="347" t="s">
        <v>503</v>
      </c>
      <c r="B196755" s="348" t="s">
        <v>587</v>
      </c>
      <c r="C196755" s="349">
        <v>1.3060556657575006E-2</v>
      </c>
      <c r="D196755" s="349">
        <f t="shared" si="14"/>
        <v>6.2533008284103617E-2</v>
      </c>
      <c r="E196755" s="349">
        <v>1.7533008284103618E-2</v>
      </c>
      <c r="F196755" s="349">
        <v>0</v>
      </c>
    </row>
    <row r="196756" spans="1:6" ht="16">
      <c r="A196756" s="347" t="s">
        <v>863</v>
      </c>
      <c r="B196756" s="154" t="s">
        <v>687</v>
      </c>
      <c r="C196756" s="277">
        <v>1.2518555898193178E-2</v>
      </c>
      <c r="D196756" s="349">
        <f t="shared" si="14"/>
        <v>0.10780540500857855</v>
      </c>
      <c r="E196756" s="277">
        <v>6.2805405008578549E-2</v>
      </c>
      <c r="F196756" s="277">
        <v>0.2576437502455447</v>
      </c>
    </row>
    <row r="196757" spans="1:6" ht="16">
      <c r="A196757" s="347" t="s">
        <v>326</v>
      </c>
      <c r="B196757" s="348" t="s">
        <v>577</v>
      </c>
      <c r="C196757" s="349">
        <v>2.3944353872220846E-2</v>
      </c>
      <c r="D196757" s="349">
        <f t="shared" si="14"/>
        <v>7.7143848520856623E-2</v>
      </c>
      <c r="E196757" s="349">
        <v>3.2143848520856624E-2</v>
      </c>
      <c r="F196757" s="349">
        <v>0.16</v>
      </c>
    </row>
    <row r="196758" spans="1:6" ht="16">
      <c r="A196758" s="347" t="s">
        <v>327</v>
      </c>
      <c r="B196758" s="348" t="s">
        <v>687</v>
      </c>
      <c r="C196758" s="349">
        <v>4.9041109802463012E-2</v>
      </c>
      <c r="D196758" s="349">
        <f t="shared" si="14"/>
        <v>0.11083472718442829</v>
      </c>
      <c r="E196758" s="349">
        <v>6.5834727184428288E-2</v>
      </c>
      <c r="F196758" s="349">
        <v>0.25</v>
      </c>
    </row>
    <row r="196759" spans="1:6" ht="16">
      <c r="A196759" s="347" t="s">
        <v>490</v>
      </c>
      <c r="B196759" s="348" t="s">
        <v>572</v>
      </c>
      <c r="C196759" s="349">
        <v>5.9924907017108855E-2</v>
      </c>
      <c r="D196759" s="349">
        <f t="shared" si="14"/>
        <v>0.12544556742118129</v>
      </c>
      <c r="E196759" s="349">
        <v>8.0445567421181294E-2</v>
      </c>
      <c r="F196759" s="349">
        <v>0.3</v>
      </c>
    </row>
    <row r="196760" spans="1:6" ht="16">
      <c r="A196760" s="347" t="s">
        <v>864</v>
      </c>
      <c r="B196760" s="154" t="s">
        <v>687</v>
      </c>
      <c r="C196760" s="277">
        <v>0.1054310997313879</v>
      </c>
      <c r="D196760" s="349">
        <f t="shared" si="14"/>
        <v>0.23253488197001548</v>
      </c>
      <c r="E196760" s="277">
        <v>0.1875348819700155</v>
      </c>
      <c r="F196760" s="277">
        <v>0.2724561140242252</v>
      </c>
    </row>
    <row r="196761" spans="1:6" ht="16">
      <c r="A196761" s="347" t="s">
        <v>328</v>
      </c>
      <c r="B196761" s="348" t="s">
        <v>585</v>
      </c>
      <c r="C196761" s="349">
        <v>7.6826803868088279E-3</v>
      </c>
      <c r="D196761" s="349">
        <f t="shared" si="14"/>
        <v>5.5313534284766833E-2</v>
      </c>
      <c r="E196761" s="349">
        <v>1.0313534284766834E-2</v>
      </c>
      <c r="F196761" s="349">
        <v>0.2</v>
      </c>
    </row>
    <row r="196762" spans="1:6" ht="16">
      <c r="A196762" s="347" t="s">
        <v>371</v>
      </c>
      <c r="B196762" s="348" t="s">
        <v>578</v>
      </c>
      <c r="C196762" s="349">
        <v>3.9181669972725021E-2</v>
      </c>
      <c r="D196762" s="349">
        <f t="shared" si="14"/>
        <v>9.7599024852310853E-2</v>
      </c>
      <c r="E196762" s="349">
        <v>5.2599024852310855E-2</v>
      </c>
      <c r="F196762" s="349">
        <v>0.3</v>
      </c>
    </row>
    <row r="196763" spans="1:6" ht="16">
      <c r="A196763" s="347" t="s">
        <v>329</v>
      </c>
      <c r="B196763" s="348" t="s">
        <v>576</v>
      </c>
      <c r="C196763" s="349">
        <v>3.2779436317050999E-2</v>
      </c>
      <c r="D196763" s="349">
        <f t="shared" si="14"/>
        <v>8.9004412948338496E-2</v>
      </c>
      <c r="E196763" s="349">
        <v>4.4004412948338498E-2</v>
      </c>
      <c r="F196763" s="349">
        <v>0.15</v>
      </c>
    </row>
    <row r="196764" spans="1:6" ht="16">
      <c r="A196764" s="347" t="s">
        <v>504</v>
      </c>
      <c r="B196764" s="348" t="s">
        <v>589</v>
      </c>
      <c r="C196764" s="349">
        <v>2.7273515373171343E-2</v>
      </c>
      <c r="D196764" s="349">
        <f t="shared" si="14"/>
        <v>8.161304671092226E-2</v>
      </c>
      <c r="E196764" s="349">
        <v>3.6613046710922262E-2</v>
      </c>
      <c r="F196764" s="349">
        <v>0</v>
      </c>
    </row>
    <row r="196765" spans="1:6" ht="16">
      <c r="A196765" s="350" t="s">
        <v>603</v>
      </c>
      <c r="B196765" s="348" t="s">
        <v>687</v>
      </c>
      <c r="C196765" s="349">
        <v>0.10896601681957191</v>
      </c>
      <c r="D196765" s="349">
        <f t="shared" si="14"/>
        <v>0.19128029460560964</v>
      </c>
      <c r="E196765" s="349">
        <v>0.14628029460560965</v>
      </c>
      <c r="F196765" s="349">
        <v>0.3</v>
      </c>
    </row>
    <row r="196766" spans="1:6" ht="16">
      <c r="A196766" s="347" t="s">
        <v>330</v>
      </c>
      <c r="B196766" s="348" t="s">
        <v>574</v>
      </c>
      <c r="C196766" s="349">
        <v>0</v>
      </c>
      <c r="D196766" s="349">
        <f t="shared" si="14"/>
        <v>4.4999999999999998E-2</v>
      </c>
      <c r="E196766" s="349">
        <v>0</v>
      </c>
      <c r="F196766" s="349">
        <v>0.17</v>
      </c>
    </row>
    <row r="196767" spans="1:6" ht="16">
      <c r="A196767" s="347" t="s">
        <v>372</v>
      </c>
      <c r="B196767" s="348" t="s">
        <v>583</v>
      </c>
      <c r="C196767" s="349">
        <v>9.2192164641705932E-3</v>
      </c>
      <c r="D196767" s="349">
        <f t="shared" si="14"/>
        <v>5.73762411417202E-2</v>
      </c>
      <c r="E196767" s="349">
        <v>1.2376241141720201E-2</v>
      </c>
      <c r="F196767" s="349">
        <v>0.21</v>
      </c>
    </row>
    <row r="196768" spans="1:6" ht="16">
      <c r="A196768" s="347" t="s">
        <v>331</v>
      </c>
      <c r="B196768" s="348" t="s">
        <v>587</v>
      </c>
      <c r="C196768" s="349">
        <v>1.3060556657575006E-2</v>
      </c>
      <c r="D196768" s="349">
        <f t="shared" si="14"/>
        <v>6.2533008284103617E-2</v>
      </c>
      <c r="E196768" s="349">
        <v>1.7533008284103618E-2</v>
      </c>
      <c r="F196768" s="349">
        <v>0.19</v>
      </c>
    </row>
    <row r="196769" spans="1:6" ht="16">
      <c r="A196769" s="347" t="s">
        <v>604</v>
      </c>
      <c r="B196769" s="348" t="s">
        <v>579</v>
      </c>
      <c r="C196769" s="349">
        <v>8.1692501446400528E-2</v>
      </c>
      <c r="D196769" s="349">
        <f t="shared" si="14"/>
        <v>0.15466724789468733</v>
      </c>
      <c r="E196769" s="349">
        <v>0.10966724789468733</v>
      </c>
      <c r="F196769" s="349">
        <v>0.3</v>
      </c>
    </row>
    <row r="196770" spans="1:6" ht="16">
      <c r="A196770" s="351" t="s">
        <v>605</v>
      </c>
      <c r="B196770" s="348" t="s">
        <v>687</v>
      </c>
      <c r="C196770" s="349">
        <v>0.13073361124886354</v>
      </c>
      <c r="D196770" s="349">
        <f t="shared" si="14"/>
        <v>0.22050197507911562</v>
      </c>
      <c r="E196770" s="349">
        <v>0.17550197507911564</v>
      </c>
      <c r="F196770" s="349">
        <v>0.29149999999999998</v>
      </c>
    </row>
    <row r="196771" spans="1:6" ht="16">
      <c r="A196771" s="347" t="s">
        <v>332</v>
      </c>
      <c r="B196771" s="348" t="s">
        <v>576</v>
      </c>
      <c r="C196771" s="349">
        <v>3.2779436317050999E-2</v>
      </c>
      <c r="D196771" s="349">
        <f t="shared" si="14"/>
        <v>8.9004412948338496E-2</v>
      </c>
      <c r="E196771" s="349">
        <v>4.4004412948338498E-2</v>
      </c>
      <c r="F196771" s="349">
        <v>0.27</v>
      </c>
    </row>
    <row r="196772" spans="1:6" ht="16">
      <c r="A196772" s="347" t="s">
        <v>865</v>
      </c>
      <c r="B196772" s="348" t="s">
        <v>568</v>
      </c>
      <c r="C196772" s="349">
        <v>5.3778762707661788E-3</v>
      </c>
      <c r="D196772" s="349">
        <f t="shared" si="14"/>
        <v>5.2219473999336782E-2</v>
      </c>
      <c r="E196772" s="349">
        <v>7.219473999336784E-3</v>
      </c>
      <c r="F196772" s="349">
        <v>0.25</v>
      </c>
    </row>
    <row r="196773" spans="1:6" ht="16">
      <c r="A196773" s="347" t="s">
        <v>333</v>
      </c>
      <c r="B196773" s="348" t="s">
        <v>573</v>
      </c>
      <c r="C196773" s="349">
        <v>1.7414075543433341E-2</v>
      </c>
      <c r="D196773" s="349">
        <f t="shared" si="14"/>
        <v>6.8377344378804827E-2</v>
      </c>
      <c r="E196773" s="349">
        <v>2.3377344378804829E-2</v>
      </c>
      <c r="F196773" s="349">
        <v>0.25</v>
      </c>
    </row>
    <row r="196774" spans="1:6" ht="16">
      <c r="A196774" s="347" t="s">
        <v>334</v>
      </c>
      <c r="B196774" s="348" t="s">
        <v>688</v>
      </c>
      <c r="C196774" s="349">
        <v>0.13073361124886354</v>
      </c>
      <c r="D196774" s="349">
        <f t="shared" si="14"/>
        <v>0.22050197507911562</v>
      </c>
      <c r="E196774" s="349">
        <v>0.17550197507911564</v>
      </c>
      <c r="F196774" s="349">
        <v>0.24</v>
      </c>
    </row>
    <row r="196775" spans="1:6" ht="16">
      <c r="A196775" s="347" t="s">
        <v>430</v>
      </c>
      <c r="B196775" s="348" t="s">
        <v>576</v>
      </c>
      <c r="C196775" s="349">
        <v>3.2779436317050999E-2</v>
      </c>
      <c r="D196775" s="349">
        <f t="shared" si="14"/>
        <v>8.9004412948338496E-2</v>
      </c>
      <c r="E196775" s="349">
        <v>4.4004412948338498E-2</v>
      </c>
      <c r="F196775" s="349">
        <v>0.2853</v>
      </c>
    </row>
    <row r="196776" spans="1:6" ht="16">
      <c r="A196776" s="347" t="s">
        <v>373</v>
      </c>
      <c r="B196776" s="348" t="s">
        <v>581</v>
      </c>
      <c r="C196776" s="349">
        <v>7.0808704231754685E-2</v>
      </c>
      <c r="D196776" s="349">
        <f t="shared" si="14"/>
        <v>0.14005640765793431</v>
      </c>
      <c r="E196776" s="349">
        <v>9.5056407657934314E-2</v>
      </c>
      <c r="F196776" s="349">
        <v>0.2853</v>
      </c>
    </row>
    <row r="196777" spans="1:6" ht="16">
      <c r="A196777" s="350" t="s">
        <v>606</v>
      </c>
      <c r="B196777" s="348" t="s">
        <v>687</v>
      </c>
      <c r="C196777" s="349">
        <v>0.17499999999999999</v>
      </c>
      <c r="D196777" s="349">
        <f t="shared" si="14"/>
        <v>0.27992692770782934</v>
      </c>
      <c r="E196777" s="349">
        <v>0.23492692770782936</v>
      </c>
      <c r="F196777" s="349">
        <v>0.35</v>
      </c>
    </row>
    <row r="196778" spans="1:6" ht="16">
      <c r="A196778" s="347" t="s">
        <v>374</v>
      </c>
      <c r="B196778" s="348" t="s">
        <v>689</v>
      </c>
      <c r="C196778" s="349">
        <v>0.10896601681957188</v>
      </c>
      <c r="D196778" s="349">
        <f t="shared" si="14"/>
        <v>0.19128029460560964</v>
      </c>
      <c r="E196778" s="349">
        <v>0.14628029460560965</v>
      </c>
      <c r="F196778" s="349">
        <v>0.36</v>
      </c>
    </row>
    <row r="196779" spans="1:6" ht="16">
      <c r="A196779" s="347" t="s">
        <v>607</v>
      </c>
      <c r="B196779" s="348" t="s">
        <v>581</v>
      </c>
      <c r="C196779" s="349">
        <v>7.0808704231754685E-2</v>
      </c>
      <c r="D196779" s="349">
        <f t="shared" si="14"/>
        <v>0.14005640765793431</v>
      </c>
      <c r="E196779" s="349">
        <v>9.5056407657934314E-2</v>
      </c>
      <c r="F196779" s="349">
        <v>0.27500000000000002</v>
      </c>
    </row>
    <row r="196780" spans="1:6" ht="16">
      <c r="A196780" s="347" t="s">
        <v>335</v>
      </c>
      <c r="B196780" s="348" t="s">
        <v>574</v>
      </c>
      <c r="C196780" s="349">
        <v>0</v>
      </c>
      <c r="D196780" s="349">
        <f t="shared" si="14"/>
        <v>4.4999999999999998E-2</v>
      </c>
      <c r="E196780" s="349">
        <v>0</v>
      </c>
      <c r="F196780" s="349">
        <v>0.20600000000000002</v>
      </c>
    </row>
    <row r="196781" spans="1:6" ht="16">
      <c r="A196781" s="347" t="s">
        <v>336</v>
      </c>
      <c r="B196781" s="348" t="s">
        <v>574</v>
      </c>
      <c r="C196781" s="349">
        <v>0</v>
      </c>
      <c r="D196781" s="349">
        <f t="shared" si="14"/>
        <v>4.4999999999999998E-2</v>
      </c>
      <c r="E196781" s="349">
        <v>0</v>
      </c>
      <c r="F196781" s="349">
        <v>0.14599999999999999</v>
      </c>
    </row>
    <row r="196782" spans="1:6" ht="16">
      <c r="A196782" s="351" t="s">
        <v>608</v>
      </c>
      <c r="B196782" s="348" t="s">
        <v>687</v>
      </c>
      <c r="C196782" s="349">
        <v>0.17499999999999999</v>
      </c>
      <c r="D196782" s="349">
        <f t="shared" si="14"/>
        <v>0.27992692770782934</v>
      </c>
      <c r="E196782" s="349">
        <v>0.23492692770782936</v>
      </c>
      <c r="F196782" s="349">
        <v>0.28000000000000003</v>
      </c>
    </row>
    <row r="196783" spans="1:6" ht="16">
      <c r="A196783" s="347" t="s">
        <v>337</v>
      </c>
      <c r="B196783" s="348" t="s">
        <v>580</v>
      </c>
      <c r="C196783" s="349">
        <v>6.5302783287875029E-3</v>
      </c>
      <c r="D196783" s="349">
        <f t="shared" si="14"/>
        <v>5.3766504142051808E-2</v>
      </c>
      <c r="E196783" s="349">
        <v>8.7665041420518092E-3</v>
      </c>
      <c r="F196783" s="349">
        <v>0.2</v>
      </c>
    </row>
    <row r="196784" spans="1:6" ht="16">
      <c r="A196784" s="347" t="s">
        <v>609</v>
      </c>
      <c r="B196784" s="348" t="s">
        <v>581</v>
      </c>
      <c r="C196784" s="349">
        <v>7.0808704231754685E-2</v>
      </c>
      <c r="D196784" s="349">
        <f t="shared" si="14"/>
        <v>0.14005640765793431</v>
      </c>
      <c r="E196784" s="349">
        <v>9.5056407657934314E-2</v>
      </c>
      <c r="F196784" s="349">
        <v>0.18</v>
      </c>
    </row>
    <row r="196785" spans="1:6" ht="16">
      <c r="A196785" s="347" t="s">
        <v>610</v>
      </c>
      <c r="B196785" s="348" t="s">
        <v>572</v>
      </c>
      <c r="C196785" s="349">
        <v>5.9924907017108855E-2</v>
      </c>
      <c r="D196785" s="349">
        <f t="shared" si="14"/>
        <v>0.12544556742118129</v>
      </c>
      <c r="E196785" s="349">
        <v>8.0445567421181294E-2</v>
      </c>
      <c r="F196785" s="349">
        <v>0.3</v>
      </c>
    </row>
    <row r="196786" spans="1:6" ht="16">
      <c r="A196786" s="347" t="s">
        <v>338</v>
      </c>
      <c r="B196786" s="348" t="s">
        <v>573</v>
      </c>
      <c r="C196786" s="349">
        <v>1.7414075543433341E-2</v>
      </c>
      <c r="D196786" s="349">
        <f t="shared" si="14"/>
        <v>6.8377344378804827E-2</v>
      </c>
      <c r="E196786" s="349">
        <v>2.3377344378804829E-2</v>
      </c>
      <c r="F196786" s="349">
        <v>0.2</v>
      </c>
    </row>
    <row r="196787" spans="1:6" ht="16">
      <c r="A196787" s="347" t="s">
        <v>611</v>
      </c>
      <c r="B196787" s="348" t="s">
        <v>581</v>
      </c>
      <c r="C196787" s="349">
        <v>7.0808704231754685E-2</v>
      </c>
      <c r="D196787" s="349">
        <f t="shared" si="14"/>
        <v>0.14005640765793431</v>
      </c>
      <c r="E196787" s="349">
        <v>9.5056407657934314E-2</v>
      </c>
      <c r="F196787" s="349">
        <v>0.26860000000000001</v>
      </c>
    </row>
    <row r="196788" spans="1:6" ht="16">
      <c r="A196788" s="347" t="s">
        <v>866</v>
      </c>
      <c r="B196788" s="348" t="s">
        <v>576</v>
      </c>
      <c r="C196788" s="349">
        <v>3.2779436317050999E-2</v>
      </c>
      <c r="D196788" s="349">
        <f t="shared" si="14"/>
        <v>8.9004412948338496E-2</v>
      </c>
      <c r="E196788" s="349">
        <v>4.4004412948338498E-2</v>
      </c>
      <c r="F196788" s="349">
        <v>0.3</v>
      </c>
    </row>
    <row r="196789" spans="1:6" ht="16">
      <c r="A196789" s="347" t="s">
        <v>339</v>
      </c>
      <c r="B196789" s="348" t="s">
        <v>586</v>
      </c>
      <c r="C196789" s="349">
        <v>9.8082219604926024E-2</v>
      </c>
      <c r="D196789" s="349">
        <f t="shared" si="14"/>
        <v>0.17666945436885656</v>
      </c>
      <c r="E196789" s="349">
        <v>0.13166945436885658</v>
      </c>
      <c r="F196789" s="349">
        <v>0.15</v>
      </c>
    </row>
    <row r="196790" spans="1:6" ht="16">
      <c r="A196790" s="347" t="s">
        <v>340</v>
      </c>
      <c r="B196790" s="348" t="s">
        <v>581</v>
      </c>
      <c r="C196790" s="349">
        <v>7.0808704231754685E-2</v>
      </c>
      <c r="D196790" s="349">
        <f t="shared" si="14"/>
        <v>0.14005640765793431</v>
      </c>
      <c r="E196790" s="349">
        <v>9.5056407657934314E-2</v>
      </c>
      <c r="F196790" s="349">
        <v>0.25</v>
      </c>
    </row>
    <row r="196791" spans="1:6" ht="16">
      <c r="A196791" s="353" t="s">
        <v>867</v>
      </c>
      <c r="B196791" s="348" t="s">
        <v>573</v>
      </c>
      <c r="C196791" s="349">
        <v>1.7414075543433341E-2</v>
      </c>
      <c r="D196791" s="349">
        <f t="shared" si="14"/>
        <v>6.8377344378804827E-2</v>
      </c>
      <c r="E196791" s="349">
        <v>2.3377344378804829E-2</v>
      </c>
      <c r="F196791" s="349">
        <v>0</v>
      </c>
    </row>
    <row r="196792" spans="1:6" ht="16">
      <c r="A196792" s="347" t="s">
        <v>431</v>
      </c>
      <c r="B196792" s="348" t="s">
        <v>572</v>
      </c>
      <c r="C196792" s="349">
        <v>5.9924907017108855E-2</v>
      </c>
      <c r="D196792" s="349">
        <f t="shared" si="14"/>
        <v>0.12544556742118129</v>
      </c>
      <c r="E196792" s="349">
        <v>8.0445567421181294E-2</v>
      </c>
      <c r="F196792" s="349">
        <v>0.3</v>
      </c>
    </row>
    <row r="196793" spans="1:6" ht="16">
      <c r="A196793" s="347" t="s">
        <v>341</v>
      </c>
      <c r="B196793" s="348" t="s">
        <v>688</v>
      </c>
      <c r="C196793" s="349">
        <v>0.13073361124886354</v>
      </c>
      <c r="D196793" s="349">
        <f t="shared" si="14"/>
        <v>0.22050197507911562</v>
      </c>
      <c r="E196793" s="349">
        <v>0.17550197507911564</v>
      </c>
      <c r="F196793" s="349">
        <v>0.18</v>
      </c>
    </row>
    <row r="196794" spans="1:6" ht="16">
      <c r="A196794" s="347" t="s">
        <v>342</v>
      </c>
      <c r="B196794" s="348" t="s">
        <v>568</v>
      </c>
      <c r="C196794" s="349">
        <v>5.3778762707661788E-3</v>
      </c>
      <c r="D196794" s="349">
        <f t="shared" si="14"/>
        <v>5.2219473999336782E-2</v>
      </c>
      <c r="E196794" s="349">
        <v>7.219473999336784E-3</v>
      </c>
      <c r="F196794" s="349">
        <v>0.25</v>
      </c>
    </row>
    <row r="196795" spans="1:6" ht="16">
      <c r="A196795" s="347" t="s">
        <v>343</v>
      </c>
      <c r="B196795" s="348" t="s">
        <v>580</v>
      </c>
      <c r="C196795" s="349">
        <v>6.5302783287875029E-3</v>
      </c>
      <c r="D196795" s="349">
        <f t="shared" si="14"/>
        <v>5.3766504142051808E-2</v>
      </c>
      <c r="E196795" s="349">
        <v>8.7665041420518092E-3</v>
      </c>
      <c r="F196795" s="349">
        <v>0.25</v>
      </c>
    </row>
    <row r="196796" spans="1:6" ht="16">
      <c r="A196796" s="347" t="s">
        <v>344</v>
      </c>
      <c r="B196796" s="348" t="s">
        <v>574</v>
      </c>
      <c r="C196796" s="349">
        <v>0</v>
      </c>
      <c r="D196796" s="349">
        <f t="shared" si="14"/>
        <v>4.4999999999999998E-2</v>
      </c>
      <c r="E196796" s="349">
        <v>0</v>
      </c>
      <c r="F196796" s="349">
        <v>0.25</v>
      </c>
    </row>
    <row r="196797" spans="1:6" ht="16">
      <c r="A196797" s="347" t="s">
        <v>345</v>
      </c>
      <c r="B196797" s="348" t="s">
        <v>571</v>
      </c>
      <c r="C196797" s="349">
        <v>2.0743237044383835E-2</v>
      </c>
      <c r="D196797" s="349">
        <f t="shared" si="14"/>
        <v>7.2846542568870451E-2</v>
      </c>
      <c r="E196797" s="349">
        <v>2.7846542568870453E-2</v>
      </c>
      <c r="F196797" s="349">
        <v>0.25</v>
      </c>
    </row>
    <row r="196798" spans="1:6" ht="16">
      <c r="A196798" s="347" t="s">
        <v>693</v>
      </c>
      <c r="B196798" s="348" t="s">
        <v>578</v>
      </c>
      <c r="C196798" s="349">
        <v>3.9181669972725021E-2</v>
      </c>
      <c r="D196798" s="349">
        <f t="shared" si="14"/>
        <v>9.7599024852310853E-2</v>
      </c>
      <c r="E196798" s="349">
        <v>5.2599024852310855E-2</v>
      </c>
      <c r="F196798" s="349">
        <v>0.15</v>
      </c>
    </row>
    <row r="196799" spans="1:6" ht="16">
      <c r="A196799" s="347" t="s">
        <v>346</v>
      </c>
      <c r="B196799" s="348" t="s">
        <v>615</v>
      </c>
      <c r="C196799" s="349">
        <v>0.17499999999999999</v>
      </c>
      <c r="D196799" s="349">
        <f t="shared" si="14"/>
        <v>0.27992692770782934</v>
      </c>
      <c r="E196799" s="349">
        <v>0.23492692770782936</v>
      </c>
      <c r="F196799" s="349">
        <v>0.34</v>
      </c>
    </row>
    <row r="196800" spans="1:6" ht="16">
      <c r="A196800" s="347" t="s">
        <v>347</v>
      </c>
      <c r="B196800" s="348" t="s">
        <v>576</v>
      </c>
      <c r="C196800" s="349">
        <v>3.2779436317050999E-2</v>
      </c>
      <c r="D196800" s="349">
        <f t="shared" si="14"/>
        <v>8.9004412948338496E-2</v>
      </c>
      <c r="E196800" s="349">
        <v>4.4004412948338498E-2</v>
      </c>
      <c r="F196800" s="349">
        <v>0.2</v>
      </c>
    </row>
    <row r="196801" spans="1:6" ht="16">
      <c r="A196801" s="350" t="s">
        <v>868</v>
      </c>
      <c r="B196801" s="348" t="s">
        <v>687</v>
      </c>
      <c r="C196801" s="349">
        <v>0.10896601681957191</v>
      </c>
      <c r="D196801" s="349">
        <f t="shared" si="14"/>
        <v>0.19128029460560964</v>
      </c>
      <c r="E196801" s="349">
        <v>0.14628029460560965</v>
      </c>
      <c r="F196801" s="349">
        <v>0.2</v>
      </c>
    </row>
    <row r="196802" spans="1:6" ht="16">
      <c r="A196802" s="347" t="s">
        <v>348</v>
      </c>
      <c r="B196802" s="348" t="s">
        <v>689</v>
      </c>
      <c r="C196802" s="349">
        <v>0.10896601681957188</v>
      </c>
      <c r="D196802" s="349">
        <f t="shared" si="14"/>
        <v>0.19128029460560964</v>
      </c>
      <c r="E196802" s="349">
        <v>0.14628029460560965</v>
      </c>
      <c r="F196802" s="349">
        <v>0.35</v>
      </c>
    </row>
    <row r="196803" spans="1:6" ht="16">
      <c r="A196803" s="351" t="s">
        <v>612</v>
      </c>
      <c r="B196803" s="348" t="s">
        <v>687</v>
      </c>
      <c r="C196803" s="349">
        <v>9.8082219604926024E-2</v>
      </c>
      <c r="D196803" s="349">
        <f t="shared" si="14"/>
        <v>0.17666945436885656</v>
      </c>
      <c r="E196803" s="349">
        <v>0.13166945436885658</v>
      </c>
      <c r="F196803" s="349">
        <v>0.25</v>
      </c>
    </row>
    <row r="196808" spans="1:6">
      <c r="A196808" s="354" t="s">
        <v>352</v>
      </c>
      <c r="B196808" s="355" t="s">
        <v>376</v>
      </c>
      <c r="C196808" s="355" t="s">
        <v>869</v>
      </c>
      <c r="D196808" s="355" t="s">
        <v>694</v>
      </c>
      <c r="E196808" s="355" t="s">
        <v>870</v>
      </c>
    </row>
    <row r="196809" spans="1:6">
      <c r="A196809" s="356" t="s">
        <v>355</v>
      </c>
      <c r="B196809" s="357">
        <f>$B$1+E196809</f>
        <v>0.13663852306889546</v>
      </c>
      <c r="C196809" s="357">
        <v>6.8262679351091926E-2</v>
      </c>
      <c r="D196809" s="357">
        <v>0.27302836489005694</v>
      </c>
      <c r="E196809" s="357">
        <v>9.1638523068895444E-2</v>
      </c>
    </row>
    <row r="196810" spans="1:6">
      <c r="A196810" s="356" t="s">
        <v>428</v>
      </c>
      <c r="B196810" s="357">
        <f t="shared" ref="B196810:B196818" si="15">$B$1+E196810</f>
        <v>6.1805405008578562E-2</v>
      </c>
      <c r="C196810" s="357">
        <v>1.2518555898193178E-2</v>
      </c>
      <c r="D196810" s="357">
        <v>0.2576437502455447</v>
      </c>
      <c r="E196810" s="357">
        <v>1.6805405008578567E-2</v>
      </c>
    </row>
    <row r="196811" spans="1:6">
      <c r="A196811" s="356" t="s">
        <v>357</v>
      </c>
      <c r="B196811" s="357">
        <f t="shared" si="15"/>
        <v>4.5047923618641933E-2</v>
      </c>
      <c r="C196811" s="357">
        <v>3.5698901544265913E-5</v>
      </c>
      <c r="D196811" s="357">
        <v>0.29744361328762281</v>
      </c>
      <c r="E196811" s="357">
        <v>4.7923618641935289E-5</v>
      </c>
    </row>
    <row r="196812" spans="1:6">
      <c r="A196812" s="356" t="s">
        <v>359</v>
      </c>
      <c r="B196812" s="357">
        <f t="shared" si="15"/>
        <v>0.1865348819700155</v>
      </c>
      <c r="C196812" s="357">
        <v>0.1054310997313879</v>
      </c>
      <c r="D196812" s="357">
        <v>0.2724561140242252</v>
      </c>
      <c r="E196812" s="357">
        <v>0.14153488197001549</v>
      </c>
    </row>
    <row r="196813" spans="1:6">
      <c r="A196813" s="356" t="s">
        <v>356</v>
      </c>
      <c r="B196813" s="357">
        <f t="shared" si="15"/>
        <v>0.10261091058162494</v>
      </c>
      <c r="C196813" s="357">
        <v>4.2915086193622262E-2</v>
      </c>
      <c r="D196813" s="357">
        <v>0.31595749426030023</v>
      </c>
      <c r="E196813" s="357">
        <v>5.7610910581624951E-2</v>
      </c>
    </row>
    <row r="196814" spans="1:6">
      <c r="A196814" s="356" t="s">
        <v>354</v>
      </c>
      <c r="B196814" s="357">
        <f t="shared" si="15"/>
        <v>9.5579383477192262E-2</v>
      </c>
      <c r="C196814" s="357">
        <v>3.7670398345457844E-2</v>
      </c>
      <c r="D196814" s="357">
        <v>0.18485819102180306</v>
      </c>
      <c r="E196814" s="357">
        <v>5.0579383477192263E-2</v>
      </c>
    </row>
    <row r="196815" spans="1:6">
      <c r="A196815" s="356" t="s">
        <v>360</v>
      </c>
      <c r="B196815" s="357">
        <f t="shared" si="15"/>
        <v>6.6589990892489848E-2</v>
      </c>
      <c r="C196815" s="357">
        <v>1.6082653627874467E-2</v>
      </c>
      <c r="D196815" s="357">
        <v>0.18760152153615242</v>
      </c>
      <c r="E196815" s="357">
        <v>2.1589990892489853E-2</v>
      </c>
    </row>
    <row r="196816" spans="1:6">
      <c r="A196816" s="356" t="s">
        <v>362</v>
      </c>
      <c r="B196816" s="357">
        <f t="shared" si="15"/>
        <v>4.4999999999999998E-2</v>
      </c>
      <c r="C196816" s="357">
        <v>0</v>
      </c>
      <c r="D196816" s="357">
        <v>0.25116286561170831</v>
      </c>
      <c r="E196816" s="357">
        <v>0</v>
      </c>
    </row>
    <row r="196817" spans="1:5">
      <c r="A196817" s="356" t="s">
        <v>353</v>
      </c>
      <c r="B196817" s="357">
        <f t="shared" si="15"/>
        <v>5.7871606293643366E-2</v>
      </c>
      <c r="C196817" s="357">
        <v>9.5882201472833571E-3</v>
      </c>
      <c r="D196817" s="357">
        <v>0.24707349543413576</v>
      </c>
      <c r="E196817" s="357">
        <v>1.2871606293643371E-2</v>
      </c>
    </row>
    <row r="196818" spans="1:5">
      <c r="A196818" s="356" t="s">
        <v>491</v>
      </c>
      <c r="B196818" s="357">
        <f t="shared" si="15"/>
        <v>6.3100000000000003E-2</v>
      </c>
      <c r="C196818" s="357">
        <v>1.35E-2</v>
      </c>
      <c r="D196818" s="357">
        <v>0.25225942509764748</v>
      </c>
      <c r="E196818" s="357">
        <v>1.8100000000000002E-2</v>
      </c>
    </row>
    <row r="262145" spans="1:6">
      <c r="A262145" t="s">
        <v>613</v>
      </c>
      <c r="B262145" s="242">
        <v>4.5999999999999999E-2</v>
      </c>
      <c r="C262145" t="s">
        <v>847</v>
      </c>
    </row>
    <row r="262146" spans="1:6" ht="14">
      <c r="A262146" s="275" t="s">
        <v>686</v>
      </c>
      <c r="B262146" s="275"/>
      <c r="C262146" s="275"/>
      <c r="D262146" s="275"/>
      <c r="E262146" s="275"/>
      <c r="F262146" s="275"/>
    </row>
    <row r="262148" spans="1:6" ht="16">
      <c r="A262148" s="344" t="s">
        <v>349</v>
      </c>
      <c r="B262148" s="345" t="s">
        <v>566</v>
      </c>
      <c r="C262148" s="346" t="s">
        <v>350</v>
      </c>
      <c r="D262148" s="346" t="s">
        <v>567</v>
      </c>
      <c r="E262148" s="346" t="s">
        <v>351</v>
      </c>
      <c r="F262148" s="346" t="s">
        <v>519</v>
      </c>
    </row>
    <row r="262149" spans="1:6" ht="16">
      <c r="A262149" s="347" t="s">
        <v>481</v>
      </c>
      <c r="B262149" s="348" t="s">
        <v>568</v>
      </c>
      <c r="C262149" s="349">
        <v>5.3778762707661788E-3</v>
      </c>
      <c r="D262149" s="349">
        <f>$B$1+E262149</f>
        <v>5.2219473999336782E-2</v>
      </c>
      <c r="E262149" s="349">
        <v>7.219473999336784E-3</v>
      </c>
      <c r="F262149" s="349">
        <v>0.15</v>
      </c>
    </row>
    <row r="262150" spans="1:6" ht="16">
      <c r="A262150" s="347" t="s">
        <v>245</v>
      </c>
      <c r="B262150" s="348" t="s">
        <v>569</v>
      </c>
      <c r="C262150" s="349">
        <v>4.9041109802463012E-2</v>
      </c>
      <c r="D262150" s="349">
        <f t="shared" ref="D262150:D262213" si="16">$B$1+E262150</f>
        <v>0.11083472718442829</v>
      </c>
      <c r="E262150" s="349">
        <v>6.5834727184428288E-2</v>
      </c>
      <c r="F262150" s="349">
        <v>0.15</v>
      </c>
    </row>
    <row r="262151" spans="1:6" ht="16">
      <c r="A262151" s="350" t="s">
        <v>570</v>
      </c>
      <c r="B262151" s="348" t="s">
        <v>687</v>
      </c>
      <c r="C262151" s="349">
        <v>4.9041109802463012E-2</v>
      </c>
      <c r="D262151" s="349">
        <f t="shared" si="16"/>
        <v>0.11083472718442829</v>
      </c>
      <c r="E262151" s="349">
        <v>6.5834727184428288E-2</v>
      </c>
      <c r="F262151" s="349">
        <v>0.26</v>
      </c>
    </row>
    <row r="262152" spans="1:6" ht="16">
      <c r="A262152" s="347" t="s">
        <v>499</v>
      </c>
      <c r="B262152" s="348" t="s">
        <v>571</v>
      </c>
      <c r="C262152" s="349">
        <v>2.0743237044383835E-2</v>
      </c>
      <c r="D262152" s="349">
        <f t="shared" si="16"/>
        <v>7.2846542568870451E-2</v>
      </c>
      <c r="E262152" s="349">
        <v>2.7846542568870453E-2</v>
      </c>
      <c r="F262152" s="349">
        <v>0.1898</v>
      </c>
    </row>
    <row r="262153" spans="1:6" ht="16">
      <c r="A262153" s="347" t="s">
        <v>246</v>
      </c>
      <c r="B262153" s="348" t="s">
        <v>581</v>
      </c>
      <c r="C262153" s="349">
        <v>7.0808704231754685E-2</v>
      </c>
      <c r="D262153" s="349">
        <f t="shared" si="16"/>
        <v>0.14005640765793431</v>
      </c>
      <c r="E262153" s="349">
        <v>9.5056407657934314E-2</v>
      </c>
      <c r="F262153" s="349">
        <v>0.25</v>
      </c>
    </row>
    <row r="262154" spans="1:6" ht="16">
      <c r="A262154" s="347" t="s">
        <v>848</v>
      </c>
      <c r="B262154" s="154" t="s">
        <v>687</v>
      </c>
      <c r="C262154" s="277">
        <v>0.1054310997313879</v>
      </c>
      <c r="D262154" s="349">
        <f t="shared" si="16"/>
        <v>0.23253488197001548</v>
      </c>
      <c r="E262154" s="277">
        <v>0.1875348819700155</v>
      </c>
      <c r="F262154" s="277">
        <v>0.2724561140242252</v>
      </c>
    </row>
    <row r="262155" spans="1:6" ht="16">
      <c r="A262155" s="347" t="s">
        <v>849</v>
      </c>
      <c r="B262155" s="154" t="s">
        <v>687</v>
      </c>
      <c r="C262155" s="277">
        <v>0.1054310997313879</v>
      </c>
      <c r="D262155" s="349">
        <f t="shared" si="16"/>
        <v>0.23253488197001548</v>
      </c>
      <c r="E262155" s="277">
        <v>0.1875348819700155</v>
      </c>
      <c r="F262155" s="277">
        <v>0.2724561140242252</v>
      </c>
    </row>
    <row r="262156" spans="1:6" ht="16">
      <c r="A262156" s="347" t="s">
        <v>247</v>
      </c>
      <c r="B262156" s="348" t="s">
        <v>688</v>
      </c>
      <c r="C262156" s="349">
        <v>0.13073361124886354</v>
      </c>
      <c r="D262156" s="349">
        <f t="shared" si="16"/>
        <v>0.22050197507911562</v>
      </c>
      <c r="E262156" s="349">
        <v>0.17550197507911564</v>
      </c>
      <c r="F262156" s="349">
        <v>0.35</v>
      </c>
    </row>
    <row r="262157" spans="1:6" ht="16">
      <c r="A262157" s="347" t="s">
        <v>248</v>
      </c>
      <c r="B262157" s="348" t="s">
        <v>578</v>
      </c>
      <c r="C262157" s="349">
        <v>3.9181669972725021E-2</v>
      </c>
      <c r="D262157" s="349">
        <f t="shared" si="16"/>
        <v>9.7599024852310853E-2</v>
      </c>
      <c r="E262157" s="349">
        <v>5.2599024852310855E-2</v>
      </c>
      <c r="F262157" s="349">
        <v>0.18</v>
      </c>
    </row>
    <row r="262158" spans="1:6" ht="16">
      <c r="A262158" s="347" t="s">
        <v>249</v>
      </c>
      <c r="B262158" s="348" t="s">
        <v>571</v>
      </c>
      <c r="C262158" s="349">
        <v>2.0743237044383835E-2</v>
      </c>
      <c r="D262158" s="349">
        <f t="shared" si="16"/>
        <v>7.2846542568870451E-2</v>
      </c>
      <c r="E262158" s="349">
        <v>2.7846542568870453E-2</v>
      </c>
      <c r="F262158" s="349">
        <v>0.25</v>
      </c>
    </row>
    <row r="262159" spans="1:6" ht="16">
      <c r="A262159" s="347" t="s">
        <v>250</v>
      </c>
      <c r="B262159" s="348" t="s">
        <v>574</v>
      </c>
      <c r="C262159" s="349">
        <v>0</v>
      </c>
      <c r="D262159" s="349">
        <f t="shared" si="16"/>
        <v>4.4999999999999998E-2</v>
      </c>
      <c r="E262159" s="349">
        <v>0</v>
      </c>
      <c r="F262159" s="349">
        <v>0.3</v>
      </c>
    </row>
    <row r="262160" spans="1:6" ht="16">
      <c r="A262160" s="347" t="s">
        <v>251</v>
      </c>
      <c r="B262160" s="348" t="s">
        <v>575</v>
      </c>
      <c r="C262160" s="349">
        <v>4.3535188858583353E-3</v>
      </c>
      <c r="D262160" s="349">
        <f t="shared" si="16"/>
        <v>5.0844336094701202E-2</v>
      </c>
      <c r="E262160" s="349">
        <v>5.8443360947012038E-3</v>
      </c>
      <c r="F262160" s="349">
        <v>0.24</v>
      </c>
    </row>
    <row r="262161" spans="1:6" ht="16">
      <c r="A262161" s="347" t="s">
        <v>358</v>
      </c>
      <c r="B262161" s="348" t="s">
        <v>589</v>
      </c>
      <c r="C262161" s="349">
        <v>2.7273515373171343E-2</v>
      </c>
      <c r="D262161" s="349">
        <f t="shared" si="16"/>
        <v>8.161304671092226E-2</v>
      </c>
      <c r="E262161" s="349">
        <v>3.6613046710922262E-2</v>
      </c>
      <c r="F262161" s="349">
        <v>0.2</v>
      </c>
    </row>
    <row r="262162" spans="1:6" ht="16">
      <c r="A262162" s="347" t="s">
        <v>252</v>
      </c>
      <c r="B262162" s="348" t="s">
        <v>569</v>
      </c>
      <c r="C262162" s="349">
        <v>4.9041109802463012E-2</v>
      </c>
      <c r="D262162" s="349">
        <f t="shared" si="16"/>
        <v>0.11083472718442829</v>
      </c>
      <c r="E262162" s="349">
        <v>6.5834727184428288E-2</v>
      </c>
      <c r="F262162" s="349">
        <v>0</v>
      </c>
    </row>
    <row r="262163" spans="1:6" ht="16">
      <c r="A262163" s="347" t="s">
        <v>253</v>
      </c>
      <c r="B262163" s="348" t="s">
        <v>572</v>
      </c>
      <c r="C262163" s="349">
        <v>5.9924907017108855E-2</v>
      </c>
      <c r="D262163" s="349">
        <f t="shared" si="16"/>
        <v>0.12544556742118129</v>
      </c>
      <c r="E262163" s="349">
        <v>8.0445567421181294E-2</v>
      </c>
      <c r="F262163" s="349">
        <v>0</v>
      </c>
    </row>
    <row r="262164" spans="1:6" ht="16">
      <c r="A262164" s="347" t="s">
        <v>254</v>
      </c>
      <c r="B262164" s="348" t="s">
        <v>569</v>
      </c>
      <c r="C262164" s="349">
        <v>4.9041109802463012E-2</v>
      </c>
      <c r="D262164" s="349">
        <f t="shared" si="16"/>
        <v>0.11083472718442829</v>
      </c>
      <c r="E262164" s="349">
        <v>6.5834727184428288E-2</v>
      </c>
      <c r="F262164" s="349">
        <v>0.3</v>
      </c>
    </row>
    <row r="262165" spans="1:6" ht="16">
      <c r="A262165" s="347" t="s">
        <v>255</v>
      </c>
      <c r="B262165" s="348" t="s">
        <v>581</v>
      </c>
      <c r="C262165" s="349">
        <v>7.0808704231754685E-2</v>
      </c>
      <c r="D262165" s="349">
        <f t="shared" si="16"/>
        <v>0.14005640765793431</v>
      </c>
      <c r="E262165" s="349">
        <v>9.5056407657934314E-2</v>
      </c>
      <c r="F262165" s="349">
        <v>5.5E-2</v>
      </c>
    </row>
    <row r="262166" spans="1:6" ht="16">
      <c r="A262166" s="347" t="s">
        <v>256</v>
      </c>
      <c r="B262166" s="348" t="s">
        <v>615</v>
      </c>
      <c r="C262166" s="349">
        <v>0.17499999999999999</v>
      </c>
      <c r="D262166" s="349">
        <f t="shared" si="16"/>
        <v>0.27992692770782934</v>
      </c>
      <c r="E262166" s="349">
        <v>0.23492692770782936</v>
      </c>
      <c r="F262166" s="349">
        <v>0.18</v>
      </c>
    </row>
    <row r="262167" spans="1:6" ht="16">
      <c r="A262167" s="347" t="s">
        <v>257</v>
      </c>
      <c r="B262167" s="348" t="s">
        <v>580</v>
      </c>
      <c r="C262167" s="349">
        <v>6.5302783287875029E-3</v>
      </c>
      <c r="D262167" s="349">
        <f t="shared" si="16"/>
        <v>5.3766504142051808E-2</v>
      </c>
      <c r="E262167" s="349">
        <v>8.7665041420518092E-3</v>
      </c>
      <c r="F262167" s="349">
        <v>0.25</v>
      </c>
    </row>
    <row r="262168" spans="1:6" ht="16">
      <c r="A262168" s="347" t="s">
        <v>361</v>
      </c>
      <c r="B262168" s="348" t="s">
        <v>586</v>
      </c>
      <c r="C262168" s="349">
        <v>9.8082219604926024E-2</v>
      </c>
      <c r="D262168" s="349">
        <f t="shared" si="16"/>
        <v>0.17666945436885656</v>
      </c>
      <c r="E262168" s="349">
        <v>0.13166945436885658</v>
      </c>
      <c r="F262168" s="349">
        <v>0.2853</v>
      </c>
    </row>
    <row r="262169" spans="1:6" ht="16">
      <c r="A262169" s="347" t="s">
        <v>582</v>
      </c>
      <c r="B262169" s="348" t="s">
        <v>569</v>
      </c>
      <c r="C262169" s="349">
        <v>4.9041109802463012E-2</v>
      </c>
      <c r="D262169" s="349">
        <f t="shared" si="16"/>
        <v>0.11083472718442829</v>
      </c>
      <c r="E262169" s="349">
        <v>6.5834727184428288E-2</v>
      </c>
      <c r="F262169" s="349">
        <v>0.3</v>
      </c>
    </row>
    <row r="262170" spans="1:6" ht="16">
      <c r="A262170" s="347" t="s">
        <v>258</v>
      </c>
      <c r="B262170" s="348" t="s">
        <v>583</v>
      </c>
      <c r="C262170" s="349">
        <v>9.2192164641705932E-3</v>
      </c>
      <c r="D262170" s="349">
        <f t="shared" si="16"/>
        <v>5.73762411417202E-2</v>
      </c>
      <c r="E262170" s="349">
        <v>1.2376241141720201E-2</v>
      </c>
      <c r="F262170" s="349">
        <v>0</v>
      </c>
    </row>
    <row r="262171" spans="1:6" ht="16">
      <c r="A262171" s="347" t="s">
        <v>259</v>
      </c>
      <c r="B262171" s="348" t="s">
        <v>579</v>
      </c>
      <c r="C262171" s="349">
        <v>8.1692501446400528E-2</v>
      </c>
      <c r="D262171" s="349">
        <f t="shared" si="16"/>
        <v>0.15466724789468733</v>
      </c>
      <c r="E262171" s="349">
        <v>0.10966724789468733</v>
      </c>
      <c r="F262171" s="349">
        <v>0.25</v>
      </c>
    </row>
    <row r="262172" spans="1:6" ht="16">
      <c r="A262172" s="347" t="s">
        <v>260</v>
      </c>
      <c r="B262172" s="348" t="s">
        <v>581</v>
      </c>
      <c r="C262172" s="349">
        <v>7.0808704231754685E-2</v>
      </c>
      <c r="D262172" s="349">
        <f t="shared" si="16"/>
        <v>0.14005640765793431</v>
      </c>
      <c r="E262172" s="349">
        <v>9.5056407657934314E-2</v>
      </c>
      <c r="F262172" s="349">
        <v>0.1</v>
      </c>
    </row>
    <row r="262173" spans="1:6" ht="16">
      <c r="A262173" s="347" t="s">
        <v>261</v>
      </c>
      <c r="B262173" s="348" t="s">
        <v>587</v>
      </c>
      <c r="C262173" s="349">
        <v>1.3060556657575006E-2</v>
      </c>
      <c r="D262173" s="349">
        <f t="shared" si="16"/>
        <v>6.2533008284103617E-2</v>
      </c>
      <c r="E262173" s="349">
        <v>1.7533008284103618E-2</v>
      </c>
      <c r="F262173" s="349">
        <v>0.22</v>
      </c>
    </row>
    <row r="262174" spans="1:6" ht="16">
      <c r="A262174" s="347" t="s">
        <v>262</v>
      </c>
      <c r="B262174" s="348" t="s">
        <v>576</v>
      </c>
      <c r="C262174" s="349">
        <v>3.2779436317050999E-2</v>
      </c>
      <c r="D262174" s="349">
        <f t="shared" si="16"/>
        <v>8.9004412948338496E-2</v>
      </c>
      <c r="E262174" s="349">
        <v>4.4004412948338498E-2</v>
      </c>
      <c r="F262174" s="349">
        <v>0.34</v>
      </c>
    </row>
    <row r="262175" spans="1:6" ht="16">
      <c r="A262175" s="347" t="s">
        <v>850</v>
      </c>
      <c r="B262175" s="348" t="s">
        <v>576</v>
      </c>
      <c r="C262175" s="349">
        <v>3.2779436317050999E-2</v>
      </c>
      <c r="D262175" s="349">
        <f t="shared" si="16"/>
        <v>8.9004412948338496E-2</v>
      </c>
      <c r="E262175" s="349">
        <v>4.4004412948338498E-2</v>
      </c>
      <c r="F262175" s="349">
        <v>0.34</v>
      </c>
    </row>
    <row r="262176" spans="1:6" ht="16">
      <c r="A262176" s="351" t="s">
        <v>584</v>
      </c>
      <c r="B262176" s="348" t="s">
        <v>687</v>
      </c>
      <c r="C262176" s="349">
        <v>6.5302783287875029E-3</v>
      </c>
      <c r="D262176" s="349">
        <f t="shared" si="16"/>
        <v>5.3766504142051808E-2</v>
      </c>
      <c r="E262176" s="349">
        <v>8.7665041420518092E-3</v>
      </c>
      <c r="F262176" s="349">
        <v>0.185</v>
      </c>
    </row>
    <row r="262177" spans="1:6" ht="16">
      <c r="A262177" s="347" t="s">
        <v>263</v>
      </c>
      <c r="B262177" s="348" t="s">
        <v>573</v>
      </c>
      <c r="C262177" s="349">
        <v>1.7414075543433341E-2</v>
      </c>
      <c r="D262177" s="349">
        <f t="shared" si="16"/>
        <v>6.8377344378804827E-2</v>
      </c>
      <c r="E262177" s="349">
        <v>2.3377344378804829E-2</v>
      </c>
      <c r="F262177" s="349">
        <v>0.1</v>
      </c>
    </row>
    <row r="262178" spans="1:6" ht="16">
      <c r="A262178" s="347" t="s">
        <v>482</v>
      </c>
      <c r="B262178" s="348" t="s">
        <v>579</v>
      </c>
      <c r="C262178" s="349">
        <v>8.1692501446400528E-2</v>
      </c>
      <c r="D262178" s="349">
        <f t="shared" si="16"/>
        <v>0.15466724789468733</v>
      </c>
      <c r="E262178" s="349">
        <v>0.10966724789468733</v>
      </c>
      <c r="F262178" s="349">
        <v>0.28000000000000003</v>
      </c>
    </row>
    <row r="262179" spans="1:6" ht="16">
      <c r="A262179" s="347" t="s">
        <v>264</v>
      </c>
      <c r="B262179" s="348" t="s">
        <v>572</v>
      </c>
      <c r="C262179" s="349">
        <v>5.9924907017108855E-2</v>
      </c>
      <c r="D262179" s="349">
        <f t="shared" si="16"/>
        <v>0.12544556742118129</v>
      </c>
      <c r="E262179" s="349">
        <v>8.0445567421181294E-2</v>
      </c>
      <c r="F262179" s="349">
        <v>0.2</v>
      </c>
    </row>
    <row r="262180" spans="1:6" ht="16">
      <c r="A262180" s="347" t="s">
        <v>483</v>
      </c>
      <c r="B262180" s="348" t="s">
        <v>579</v>
      </c>
      <c r="C262180" s="349">
        <v>8.1692501446400528E-2</v>
      </c>
      <c r="D262180" s="349">
        <f t="shared" si="16"/>
        <v>0.15466724789468733</v>
      </c>
      <c r="E262180" s="349">
        <v>0.10966724789468733</v>
      </c>
      <c r="F262180" s="349">
        <v>0.33</v>
      </c>
    </row>
    <row r="262181" spans="1:6" ht="16">
      <c r="A262181" s="347" t="s">
        <v>265</v>
      </c>
      <c r="B262181" s="348" t="s">
        <v>574</v>
      </c>
      <c r="C262181" s="349">
        <v>0</v>
      </c>
      <c r="D262181" s="349">
        <f t="shared" si="16"/>
        <v>4.4999999999999998E-2</v>
      </c>
      <c r="E262181" s="349">
        <v>0</v>
      </c>
      <c r="F262181" s="349">
        <v>0.26500000000000001</v>
      </c>
    </row>
    <row r="262182" spans="1:6" ht="16">
      <c r="A262182" s="347" t="s">
        <v>484</v>
      </c>
      <c r="B262182" s="348" t="s">
        <v>581</v>
      </c>
      <c r="C262182" s="349">
        <v>7.0808704231754685E-2</v>
      </c>
      <c r="D262182" s="349">
        <f t="shared" si="16"/>
        <v>0.14005640765793431</v>
      </c>
      <c r="E262182" s="349">
        <v>9.5056407657934314E-2</v>
      </c>
      <c r="F262182" s="349">
        <v>0</v>
      </c>
    </row>
    <row r="262183" spans="1:6" ht="16">
      <c r="A262183" s="347" t="s">
        <v>266</v>
      </c>
      <c r="B262183" s="348" t="s">
        <v>580</v>
      </c>
      <c r="C262183" s="349">
        <v>6.5302783287875029E-3</v>
      </c>
      <c r="D262183" s="349">
        <f t="shared" si="16"/>
        <v>5.3766504142051808E-2</v>
      </c>
      <c r="E262183" s="349">
        <v>8.7665041420518092E-3</v>
      </c>
      <c r="F262183" s="349">
        <v>0</v>
      </c>
    </row>
    <row r="262184" spans="1:6" ht="16">
      <c r="A262184" s="347" t="s">
        <v>851</v>
      </c>
      <c r="B262184" s="154" t="s">
        <v>687</v>
      </c>
      <c r="C262184" s="277">
        <v>9.5882201472833571E-3</v>
      </c>
      <c r="D262184" s="349">
        <f t="shared" si="16"/>
        <v>0.10387160629364336</v>
      </c>
      <c r="E262184" s="277">
        <v>5.8871606293643367E-2</v>
      </c>
      <c r="F262184" s="277">
        <v>0.24707349543413576</v>
      </c>
    </row>
    <row r="262185" spans="1:6" ht="16">
      <c r="A262185" s="347" t="s">
        <v>267</v>
      </c>
      <c r="B262185" s="348" t="s">
        <v>583</v>
      </c>
      <c r="C262185" s="349">
        <v>9.2192164641705932E-3</v>
      </c>
      <c r="D262185" s="349">
        <f t="shared" si="16"/>
        <v>5.73762411417202E-2</v>
      </c>
      <c r="E262185" s="349">
        <v>1.2376241141720201E-2</v>
      </c>
      <c r="F262185" s="349">
        <v>0.27</v>
      </c>
    </row>
    <row r="262186" spans="1:6" ht="16">
      <c r="A262186" s="347" t="s">
        <v>268</v>
      </c>
      <c r="B262186" s="348" t="s">
        <v>585</v>
      </c>
      <c r="C262186" s="349">
        <v>7.6826803868088279E-3</v>
      </c>
      <c r="D262186" s="349">
        <f t="shared" si="16"/>
        <v>5.5313534284766833E-2</v>
      </c>
      <c r="E262186" s="349">
        <v>1.0313534284766834E-2</v>
      </c>
      <c r="F262186" s="349">
        <v>0.25</v>
      </c>
    </row>
    <row r="262187" spans="1:6" ht="16">
      <c r="A262187" s="347" t="s">
        <v>269</v>
      </c>
      <c r="B262187" s="348" t="s">
        <v>571</v>
      </c>
      <c r="C262187" s="349">
        <v>2.0743237044383835E-2</v>
      </c>
      <c r="D262187" s="349">
        <f t="shared" si="16"/>
        <v>7.2846542568870451E-2</v>
      </c>
      <c r="E262187" s="349">
        <v>2.7846542568870453E-2</v>
      </c>
      <c r="F262187" s="349">
        <v>0.35</v>
      </c>
    </row>
    <row r="262188" spans="1:6" ht="16">
      <c r="A262188" s="347" t="s">
        <v>500</v>
      </c>
      <c r="B262188" s="348" t="s">
        <v>581</v>
      </c>
      <c r="C262188" s="349">
        <v>7.0808704231754685E-2</v>
      </c>
      <c r="D262188" s="349">
        <f t="shared" si="16"/>
        <v>0.14005640765793431</v>
      </c>
      <c r="E262188" s="349">
        <v>9.5056407657934314E-2</v>
      </c>
      <c r="F262188" s="349">
        <v>0.3</v>
      </c>
    </row>
    <row r="262189" spans="1:6" ht="16">
      <c r="A262189" s="347" t="s">
        <v>501</v>
      </c>
      <c r="B262189" s="348" t="s">
        <v>586</v>
      </c>
      <c r="C262189" s="349">
        <v>9.8082219604926024E-2</v>
      </c>
      <c r="D262189" s="349">
        <f t="shared" si="16"/>
        <v>0.17666945436885656</v>
      </c>
      <c r="E262189" s="349">
        <v>0.13166945436885658</v>
      </c>
      <c r="F262189" s="349">
        <v>0.28000000000000003</v>
      </c>
    </row>
    <row r="262190" spans="1:6" ht="16">
      <c r="A262190" s="347" t="s">
        <v>485</v>
      </c>
      <c r="B262190" s="348" t="s">
        <v>569</v>
      </c>
      <c r="C262190" s="349">
        <v>4.9041109802463012E-2</v>
      </c>
      <c r="D262190" s="349">
        <f t="shared" si="16"/>
        <v>0.11083472718442829</v>
      </c>
      <c r="E262190" s="349">
        <v>6.5834727184428288E-2</v>
      </c>
      <c r="F262190" s="349">
        <v>0.2974</v>
      </c>
    </row>
    <row r="262191" spans="1:6" ht="16">
      <c r="A262191" s="347" t="s">
        <v>270</v>
      </c>
      <c r="B262191" s="348" t="s">
        <v>569</v>
      </c>
      <c r="C262191" s="349">
        <v>4.9041109802463012E-2</v>
      </c>
      <c r="D262191" s="349">
        <f t="shared" si="16"/>
        <v>0.11083472718442829</v>
      </c>
      <c r="E262191" s="349">
        <v>6.5834727184428288E-2</v>
      </c>
      <c r="F262191" s="349">
        <v>0.3</v>
      </c>
    </row>
    <row r="262192" spans="1:6" ht="16">
      <c r="A262192" s="347" t="s">
        <v>271</v>
      </c>
      <c r="B262192" s="348" t="s">
        <v>571</v>
      </c>
      <c r="C262192" s="349">
        <v>2.0743237044383835E-2</v>
      </c>
      <c r="D262192" s="349">
        <f t="shared" si="16"/>
        <v>7.2846542568870451E-2</v>
      </c>
      <c r="E262192" s="349">
        <v>2.7846542568870453E-2</v>
      </c>
      <c r="F262192" s="349">
        <v>0.18</v>
      </c>
    </row>
    <row r="262193" spans="1:6" ht="16">
      <c r="A262193" s="347" t="s">
        <v>363</v>
      </c>
      <c r="B262193" s="348" t="s">
        <v>688</v>
      </c>
      <c r="C262193" s="349">
        <v>0.13073361124886354</v>
      </c>
      <c r="D262193" s="349">
        <f t="shared" si="16"/>
        <v>0.22050197507911562</v>
      </c>
      <c r="E262193" s="349">
        <v>0.17550197507911564</v>
      </c>
      <c r="F262193" s="349">
        <v>0.2853</v>
      </c>
    </row>
    <row r="262194" spans="1:6" ht="16">
      <c r="A262194" s="352" t="s">
        <v>852</v>
      </c>
      <c r="B262194" s="348" t="s">
        <v>571</v>
      </c>
      <c r="C262194" s="349">
        <v>2.0743237044383835E-2</v>
      </c>
      <c r="D262194" s="349">
        <f t="shared" si="16"/>
        <v>7.2846542568870451E-2</v>
      </c>
      <c r="E262194" s="349">
        <v>2.7846542568870453E-2</v>
      </c>
      <c r="F262194" s="349">
        <v>0.22</v>
      </c>
    </row>
    <row r="262195" spans="1:6" ht="16">
      <c r="A262195" s="347" t="s">
        <v>272</v>
      </c>
      <c r="B262195" s="348" t="s">
        <v>571</v>
      </c>
      <c r="C262195" s="349">
        <v>2.0743237044383835E-2</v>
      </c>
      <c r="D262195" s="349">
        <f t="shared" si="16"/>
        <v>7.2846542568870451E-2</v>
      </c>
      <c r="E262195" s="349">
        <v>2.7846542568870453E-2</v>
      </c>
      <c r="F262195" s="349">
        <v>0.125</v>
      </c>
    </row>
    <row r="262196" spans="1:6" ht="16">
      <c r="A262196" s="347" t="s">
        <v>273</v>
      </c>
      <c r="B262196" s="348" t="s">
        <v>580</v>
      </c>
      <c r="C262196" s="349">
        <v>6.5302783287875029E-3</v>
      </c>
      <c r="D262196" s="349">
        <f t="shared" si="16"/>
        <v>5.3766504142051808E-2</v>
      </c>
      <c r="E262196" s="349">
        <v>8.7665041420518092E-3</v>
      </c>
      <c r="F262196" s="349">
        <v>0.19</v>
      </c>
    </row>
    <row r="262197" spans="1:6" ht="16">
      <c r="A262197" s="347" t="s">
        <v>274</v>
      </c>
      <c r="B262197" s="348" t="s">
        <v>574</v>
      </c>
      <c r="C262197" s="349">
        <v>0</v>
      </c>
      <c r="D262197" s="349">
        <f t="shared" si="16"/>
        <v>4.4999999999999998E-2</v>
      </c>
      <c r="E262197" s="349">
        <v>0</v>
      </c>
      <c r="F262197" s="349">
        <v>0.22</v>
      </c>
    </row>
    <row r="262198" spans="1:6" ht="16">
      <c r="A262198" s="347" t="s">
        <v>275</v>
      </c>
      <c r="B262198" s="348" t="s">
        <v>578</v>
      </c>
      <c r="C262198" s="349">
        <v>3.9181669972725021E-2</v>
      </c>
      <c r="D262198" s="349">
        <f t="shared" si="16"/>
        <v>9.7599024852310853E-2</v>
      </c>
      <c r="E262198" s="349">
        <v>5.2599024852310855E-2</v>
      </c>
      <c r="F262198" s="349">
        <v>0.27</v>
      </c>
    </row>
    <row r="262199" spans="1:6" ht="16">
      <c r="A262199" s="347" t="s">
        <v>276</v>
      </c>
      <c r="B262199" s="348" t="s">
        <v>689</v>
      </c>
      <c r="C262199" s="349">
        <v>0.10896601681957188</v>
      </c>
      <c r="D262199" s="349">
        <f t="shared" si="16"/>
        <v>0.19128029460560964</v>
      </c>
      <c r="E262199" s="349">
        <v>0.14628029460560965</v>
      </c>
      <c r="F262199" s="349">
        <v>0.25</v>
      </c>
    </row>
    <row r="262200" spans="1:6" ht="16">
      <c r="A262200" s="347" t="s">
        <v>277</v>
      </c>
      <c r="B262200" s="348" t="s">
        <v>579</v>
      </c>
      <c r="C262200" s="349">
        <v>8.1692501446400528E-2</v>
      </c>
      <c r="D262200" s="349">
        <f t="shared" si="16"/>
        <v>0.15466724789468733</v>
      </c>
      <c r="E262200" s="349">
        <v>0.10966724789468733</v>
      </c>
      <c r="F262200" s="349">
        <v>0.22500000000000001</v>
      </c>
    </row>
    <row r="262201" spans="1:6" ht="16">
      <c r="A262201" s="347" t="s">
        <v>364</v>
      </c>
      <c r="B262201" s="348" t="s">
        <v>689</v>
      </c>
      <c r="C262201" s="349">
        <v>0.10896601681957188</v>
      </c>
      <c r="D262201" s="349">
        <f t="shared" si="16"/>
        <v>0.19128029460560964</v>
      </c>
      <c r="E262201" s="349">
        <v>0.14628029460560965</v>
      </c>
      <c r="F262201" s="349">
        <v>0.3</v>
      </c>
    </row>
    <row r="262202" spans="1:6" ht="16">
      <c r="A262202" s="347" t="s">
        <v>278</v>
      </c>
      <c r="B262202" s="348" t="s">
        <v>585</v>
      </c>
      <c r="C262202" s="349">
        <v>7.6826803868088279E-3</v>
      </c>
      <c r="D262202" s="349">
        <f t="shared" si="16"/>
        <v>5.5313534284766833E-2</v>
      </c>
      <c r="E262202" s="349">
        <v>1.0313534284766834E-2</v>
      </c>
      <c r="F262202" s="349">
        <v>0.2</v>
      </c>
    </row>
    <row r="262203" spans="1:6" ht="16">
      <c r="A262203" s="347" t="s">
        <v>502</v>
      </c>
      <c r="B262203" s="348" t="s">
        <v>586</v>
      </c>
      <c r="C262203" s="349">
        <v>9.8082219604926024E-2</v>
      </c>
      <c r="D262203" s="349">
        <f t="shared" si="16"/>
        <v>0.17666945436885656</v>
      </c>
      <c r="E262203" s="349">
        <v>0.13166945436885658</v>
      </c>
      <c r="F262203" s="349">
        <v>0.3</v>
      </c>
    </row>
    <row r="262204" spans="1:6" ht="16">
      <c r="A262204" s="347" t="s">
        <v>853</v>
      </c>
      <c r="B262204" s="154" t="s">
        <v>687</v>
      </c>
      <c r="C262204" s="277">
        <v>4.2915086193622262E-2</v>
      </c>
      <c r="D262204" s="349">
        <f t="shared" si="16"/>
        <v>0.14861091058162493</v>
      </c>
      <c r="E262204" s="277">
        <v>0.10361091058162493</v>
      </c>
      <c r="F262204" s="277">
        <v>0.31595749426030023</v>
      </c>
    </row>
    <row r="262205" spans="1:6" ht="16">
      <c r="A262205" s="347" t="s">
        <v>279</v>
      </c>
      <c r="B262205" s="348" t="s">
        <v>569</v>
      </c>
      <c r="C262205" s="349">
        <v>4.9041109802463012E-2</v>
      </c>
      <c r="D262205" s="349">
        <f t="shared" si="16"/>
        <v>0.11083472718442829</v>
      </c>
      <c r="E262205" s="349">
        <v>6.5834727184428288E-2</v>
      </c>
      <c r="F262205" s="349">
        <v>0.2</v>
      </c>
    </row>
    <row r="262206" spans="1:6" ht="16">
      <c r="A262206" s="347" t="s">
        <v>280</v>
      </c>
      <c r="B262206" s="348" t="s">
        <v>575</v>
      </c>
      <c r="C262206" s="349">
        <v>4.3535188858583353E-3</v>
      </c>
      <c r="D262206" s="349">
        <f t="shared" si="16"/>
        <v>5.0844336094701202E-2</v>
      </c>
      <c r="E262206" s="349">
        <v>5.8443360947012038E-3</v>
      </c>
      <c r="F262206" s="349">
        <v>0.2</v>
      </c>
    </row>
    <row r="262207" spans="1:6" ht="16">
      <c r="A262207" s="347" t="s">
        <v>281</v>
      </c>
      <c r="B262207" s="348" t="s">
        <v>568</v>
      </c>
      <c r="C262207" s="349">
        <v>5.3778762707661788E-3</v>
      </c>
      <c r="D262207" s="349">
        <f t="shared" si="16"/>
        <v>5.2219473999336782E-2</v>
      </c>
      <c r="E262207" s="349">
        <v>7.219473999336784E-3</v>
      </c>
      <c r="F262207" s="349">
        <v>0.25</v>
      </c>
    </row>
    <row r="262208" spans="1:6" ht="16">
      <c r="A262208" s="347" t="s">
        <v>854</v>
      </c>
      <c r="B262208" s="154" t="s">
        <v>687</v>
      </c>
      <c r="C262208" s="277">
        <v>4.2915086193622262E-2</v>
      </c>
      <c r="D262208" s="349">
        <f t="shared" si="16"/>
        <v>0.14861091058162493</v>
      </c>
      <c r="E262208" s="277">
        <v>0.10361091058162493</v>
      </c>
      <c r="F262208" s="277">
        <v>0.31595749426030023</v>
      </c>
    </row>
    <row r="262209" spans="1:6" ht="16">
      <c r="A262209" s="347" t="s">
        <v>486</v>
      </c>
      <c r="B262209" s="348" t="s">
        <v>579</v>
      </c>
      <c r="C262209" s="349">
        <v>8.1692501446400528E-2</v>
      </c>
      <c r="D262209" s="349">
        <f t="shared" si="16"/>
        <v>0.15466724789468733</v>
      </c>
      <c r="E262209" s="349">
        <v>0.10966724789468733</v>
      </c>
      <c r="F262209" s="349">
        <v>0.3</v>
      </c>
    </row>
    <row r="262210" spans="1:6" ht="16">
      <c r="A262210" s="350" t="s">
        <v>588</v>
      </c>
      <c r="B262210" s="348" t="s">
        <v>687</v>
      </c>
      <c r="C262210" s="349">
        <v>4.9041109802463012E-2</v>
      </c>
      <c r="D262210" s="349">
        <f t="shared" si="16"/>
        <v>0.11083472718442829</v>
      </c>
      <c r="E262210" s="349">
        <v>6.5834727184428288E-2</v>
      </c>
      <c r="F262210" s="349">
        <v>0.31</v>
      </c>
    </row>
    <row r="262211" spans="1:6" ht="16">
      <c r="A262211" s="347" t="s">
        <v>365</v>
      </c>
      <c r="B262211" s="348" t="s">
        <v>576</v>
      </c>
      <c r="C262211" s="349">
        <v>3.2779436317050999E-2</v>
      </c>
      <c r="D262211" s="349">
        <f t="shared" si="16"/>
        <v>8.9004412948338496E-2</v>
      </c>
      <c r="E262211" s="349">
        <v>4.4004412948338498E-2</v>
      </c>
      <c r="F262211" s="349">
        <v>0.15</v>
      </c>
    </row>
    <row r="262212" spans="1:6" ht="16">
      <c r="A262212" s="347" t="s">
        <v>282</v>
      </c>
      <c r="B262212" s="348" t="s">
        <v>574</v>
      </c>
      <c r="C262212" s="349">
        <v>0</v>
      </c>
      <c r="D262212" s="349">
        <f t="shared" si="16"/>
        <v>4.4999999999999998E-2</v>
      </c>
      <c r="E262212" s="349">
        <v>0</v>
      </c>
      <c r="F262212" s="349">
        <v>0.3</v>
      </c>
    </row>
    <row r="262213" spans="1:6" ht="16">
      <c r="A262213" s="347" t="s">
        <v>487</v>
      </c>
      <c r="B262213" s="348" t="s">
        <v>689</v>
      </c>
      <c r="C262213" s="349">
        <v>0.10896601681957188</v>
      </c>
      <c r="D262213" s="349">
        <f t="shared" si="16"/>
        <v>0.19128029460560964</v>
      </c>
      <c r="E262213" s="349">
        <v>0.14628029460560965</v>
      </c>
      <c r="F262213" s="349">
        <v>0.25</v>
      </c>
    </row>
    <row r="262214" spans="1:6" ht="16">
      <c r="A262214" s="347" t="s">
        <v>855</v>
      </c>
      <c r="B262214" s="154" t="s">
        <v>687</v>
      </c>
      <c r="C262214" s="277">
        <v>9.5882201472833571E-3</v>
      </c>
      <c r="D262214" s="349">
        <f t="shared" ref="D262214:D262277" si="17">$B$1+E262214</f>
        <v>0.10387160629364336</v>
      </c>
      <c r="E262214" s="277">
        <v>5.8871606293643367E-2</v>
      </c>
      <c r="F262214" s="277">
        <v>0.24707349543413576</v>
      </c>
    </row>
    <row r="262215" spans="1:6" ht="16">
      <c r="A262215" s="347" t="s">
        <v>283</v>
      </c>
      <c r="B262215" s="348" t="s">
        <v>589</v>
      </c>
      <c r="C262215" s="349">
        <v>2.7273515373171343E-2</v>
      </c>
      <c r="D262215" s="349">
        <f t="shared" si="17"/>
        <v>8.161304671092226E-2</v>
      </c>
      <c r="E262215" s="349">
        <v>3.6613046710922262E-2</v>
      </c>
      <c r="F262215" s="349">
        <v>0.22</v>
      </c>
    </row>
    <row r="262216" spans="1:6" ht="16">
      <c r="A262216" s="347" t="s">
        <v>856</v>
      </c>
      <c r="B262216" s="154" t="s">
        <v>687</v>
      </c>
      <c r="C262216" s="277">
        <f>J262216</f>
        <v>0</v>
      </c>
      <c r="D262216" s="349">
        <f t="shared" si="17"/>
        <v>4.4999999999999998E-2</v>
      </c>
      <c r="E262216" s="277">
        <f>H262216</f>
        <v>0</v>
      </c>
      <c r="F262216" s="277">
        <f>K262216</f>
        <v>0</v>
      </c>
    </row>
    <row r="262217" spans="1:6" ht="16">
      <c r="A262217" s="347" t="s">
        <v>284</v>
      </c>
      <c r="B262217" s="348" t="s">
        <v>589</v>
      </c>
      <c r="C262217" s="349">
        <v>2.7273515373171343E-2</v>
      </c>
      <c r="D262217" s="349">
        <f t="shared" si="17"/>
        <v>8.161304671092226E-2</v>
      </c>
      <c r="E262217" s="349">
        <v>3.6613046710922262E-2</v>
      </c>
      <c r="F262217" s="349">
        <v>0.25</v>
      </c>
    </row>
    <row r="262218" spans="1:6" ht="16">
      <c r="A262218" s="347" t="s">
        <v>690</v>
      </c>
      <c r="B262218" s="348" t="s">
        <v>585</v>
      </c>
      <c r="C262218" s="349">
        <v>7.6826803868088279E-3</v>
      </c>
      <c r="D262218" s="349">
        <f t="shared" si="17"/>
        <v>5.5313534284766833E-2</v>
      </c>
      <c r="E262218" s="349">
        <v>1.0313534284766834E-2</v>
      </c>
      <c r="F262218" s="349">
        <v>0</v>
      </c>
    </row>
    <row r="262219" spans="1:6" ht="16">
      <c r="A262219" s="351" t="s">
        <v>590</v>
      </c>
      <c r="B262219" s="348" t="s">
        <v>687</v>
      </c>
      <c r="C262219" s="349">
        <v>9.8082219604926024E-2</v>
      </c>
      <c r="D262219" s="349">
        <f t="shared" si="17"/>
        <v>0.17666945436885656</v>
      </c>
      <c r="E262219" s="349">
        <v>0.13166945436885658</v>
      </c>
      <c r="F262219" s="349">
        <v>0.29149999999999998</v>
      </c>
    </row>
    <row r="262220" spans="1:6" ht="16">
      <c r="A262220" s="350" t="s">
        <v>591</v>
      </c>
      <c r="B262220" s="348" t="s">
        <v>687</v>
      </c>
      <c r="C262220" s="349">
        <v>5.9924907017108842E-2</v>
      </c>
      <c r="D262220" s="349">
        <f t="shared" si="17"/>
        <v>0.12544556742118129</v>
      </c>
      <c r="E262220" s="349">
        <v>8.0445567421181294E-2</v>
      </c>
      <c r="F262220" s="349">
        <v>0.29149999999999998</v>
      </c>
    </row>
    <row r="262221" spans="1:6" ht="16">
      <c r="A262221" s="351" t="s">
        <v>592</v>
      </c>
      <c r="B262221" s="348" t="s">
        <v>687</v>
      </c>
      <c r="C262221" s="349">
        <v>1.7414075543433345E-2</v>
      </c>
      <c r="D262221" s="349">
        <f t="shared" si="17"/>
        <v>6.8377344378804827E-2</v>
      </c>
      <c r="E262221" s="349">
        <v>2.3377344378804829E-2</v>
      </c>
      <c r="F262221" s="349">
        <v>0.18640000000000001</v>
      </c>
    </row>
    <row r="262222" spans="1:6" ht="16">
      <c r="A262222" s="350" t="s">
        <v>593</v>
      </c>
      <c r="B262222" s="348" t="s">
        <v>687</v>
      </c>
      <c r="C262222" s="349">
        <v>0.10896601681957191</v>
      </c>
      <c r="D262222" s="349">
        <f t="shared" si="17"/>
        <v>0.19128029460560964</v>
      </c>
      <c r="E262222" s="349">
        <v>0.14628029460560965</v>
      </c>
      <c r="F262222" s="349">
        <v>0.18640000000000001</v>
      </c>
    </row>
    <row r="262223" spans="1:6" ht="16">
      <c r="A262223" s="347" t="s">
        <v>285</v>
      </c>
      <c r="B262223" s="348" t="s">
        <v>569</v>
      </c>
      <c r="C262223" s="349">
        <v>4.9041109802463012E-2</v>
      </c>
      <c r="D262223" s="349">
        <f t="shared" si="17"/>
        <v>0.11083472718442829</v>
      </c>
      <c r="E262223" s="349">
        <v>6.5834727184428288E-2</v>
      </c>
      <c r="F262223" s="349">
        <v>0.25</v>
      </c>
    </row>
    <row r="262224" spans="1:6" ht="16">
      <c r="A262224" s="347" t="s">
        <v>286</v>
      </c>
      <c r="B262224" s="348" t="s">
        <v>580</v>
      </c>
      <c r="C262224" s="349">
        <v>6.5302783287875029E-3</v>
      </c>
      <c r="D262224" s="349">
        <f t="shared" si="17"/>
        <v>5.3766504142051808E-2</v>
      </c>
      <c r="E262224" s="349">
        <v>8.7665041420518092E-3</v>
      </c>
      <c r="F262224" s="349">
        <v>0.16500000000000001</v>
      </c>
    </row>
    <row r="262225" spans="1:6" ht="16">
      <c r="A262225" s="347" t="s">
        <v>287</v>
      </c>
      <c r="B262225" s="348" t="s">
        <v>571</v>
      </c>
      <c r="C262225" s="349">
        <v>2.0743237044383835E-2</v>
      </c>
      <c r="D262225" s="349">
        <f t="shared" si="17"/>
        <v>7.2846542568870451E-2</v>
      </c>
      <c r="E262225" s="349">
        <v>2.7846542568870453E-2</v>
      </c>
      <c r="F262225" s="349">
        <v>0.09</v>
      </c>
    </row>
    <row r="262226" spans="1:6" ht="16">
      <c r="A262226" s="347" t="s">
        <v>288</v>
      </c>
      <c r="B262226" s="348" t="s">
        <v>583</v>
      </c>
      <c r="C262226" s="349">
        <v>9.2192164641705932E-3</v>
      </c>
      <c r="D262226" s="349">
        <f t="shared" si="17"/>
        <v>5.73762411417202E-2</v>
      </c>
      <c r="E262226" s="349">
        <v>1.2376241141720201E-2</v>
      </c>
      <c r="F262226" s="349">
        <v>0.2</v>
      </c>
    </row>
    <row r="262227" spans="1:6" ht="16">
      <c r="A262227" s="347" t="s">
        <v>289</v>
      </c>
      <c r="B262227" s="348" t="s">
        <v>577</v>
      </c>
      <c r="C262227" s="349">
        <v>2.3944353872220846E-2</v>
      </c>
      <c r="D262227" s="349">
        <f t="shared" si="17"/>
        <v>7.7143848520856623E-2</v>
      </c>
      <c r="E262227" s="349">
        <v>3.2143848520856624E-2</v>
      </c>
      <c r="F262227" s="349">
        <v>0.3</v>
      </c>
    </row>
    <row r="262228" spans="1:6" ht="16">
      <c r="A262228" s="347" t="s">
        <v>290</v>
      </c>
      <c r="B262228" s="348" t="s">
        <v>571</v>
      </c>
      <c r="C262228" s="349">
        <v>2.0743237044383835E-2</v>
      </c>
      <c r="D262228" s="349">
        <f t="shared" si="17"/>
        <v>7.2846542568870451E-2</v>
      </c>
      <c r="E262228" s="349">
        <v>2.7846542568870453E-2</v>
      </c>
      <c r="F262228" s="349">
        <v>0.22</v>
      </c>
    </row>
    <row r="262229" spans="1:6" ht="16">
      <c r="A262229" s="351" t="s">
        <v>594</v>
      </c>
      <c r="B262229" s="348" t="s">
        <v>687</v>
      </c>
      <c r="C262229" s="349">
        <v>7.0808704231754685E-2</v>
      </c>
      <c r="D262229" s="349">
        <f t="shared" si="17"/>
        <v>0.14005640765793431</v>
      </c>
      <c r="E262229" s="349">
        <v>9.5056407657934314E-2</v>
      </c>
      <c r="F262229" s="349">
        <v>0.20230000000000001</v>
      </c>
    </row>
    <row r="262230" spans="1:6" ht="16">
      <c r="A262230" s="347" t="s">
        <v>559</v>
      </c>
      <c r="B262230" s="348" t="s">
        <v>579</v>
      </c>
      <c r="C262230" s="349">
        <v>8.1692501446400528E-2</v>
      </c>
      <c r="D262230" s="349">
        <f t="shared" si="17"/>
        <v>0.15466724789468733</v>
      </c>
      <c r="E262230" s="349">
        <v>0.10966724789468733</v>
      </c>
      <c r="F262230" s="349">
        <v>0.15</v>
      </c>
    </row>
    <row r="262231" spans="1:6" ht="16">
      <c r="A262231" s="347" t="s">
        <v>291</v>
      </c>
      <c r="B262231" s="348" t="s">
        <v>580</v>
      </c>
      <c r="C262231" s="349">
        <v>6.5302783287875029E-3</v>
      </c>
      <c r="D262231" s="349">
        <f t="shared" si="17"/>
        <v>5.3766504142051808E-2</v>
      </c>
      <c r="E262231" s="349">
        <v>8.7665041420518092E-3</v>
      </c>
      <c r="F262231" s="349">
        <v>0.125</v>
      </c>
    </row>
    <row r="262232" spans="1:6" ht="16">
      <c r="A262232" s="347" t="s">
        <v>292</v>
      </c>
      <c r="B262232" s="348" t="s">
        <v>580</v>
      </c>
      <c r="C262232" s="349">
        <v>6.5302783287875029E-3</v>
      </c>
      <c r="D262232" s="349">
        <f t="shared" si="17"/>
        <v>5.3766504142051808E-2</v>
      </c>
      <c r="E262232" s="349">
        <v>8.7665041420518092E-3</v>
      </c>
      <c r="F262232" s="349">
        <v>0</v>
      </c>
    </row>
    <row r="262233" spans="1:6" ht="16">
      <c r="A262233" s="347" t="s">
        <v>293</v>
      </c>
      <c r="B262233" s="348" t="s">
        <v>585</v>
      </c>
      <c r="C262233" s="349">
        <v>7.6826803868088279E-3</v>
      </c>
      <c r="D262233" s="349">
        <f t="shared" si="17"/>
        <v>5.5313534284766833E-2</v>
      </c>
      <c r="E262233" s="349">
        <v>1.0313534284766834E-2</v>
      </c>
      <c r="F262233" s="349">
        <v>0.23</v>
      </c>
    </row>
    <row r="262234" spans="1:6" ht="16">
      <c r="A262234" s="347" t="s">
        <v>294</v>
      </c>
      <c r="B262234" s="348" t="s">
        <v>577</v>
      </c>
      <c r="C262234" s="349">
        <v>2.3944353872220846E-2</v>
      </c>
      <c r="D262234" s="349">
        <f t="shared" si="17"/>
        <v>7.7143848520856623E-2</v>
      </c>
      <c r="E262234" s="349">
        <v>3.2143848520856624E-2</v>
      </c>
      <c r="F262234" s="349">
        <v>0.24</v>
      </c>
    </row>
    <row r="262235" spans="1:6" ht="16">
      <c r="A262235" s="347" t="s">
        <v>857</v>
      </c>
      <c r="B262235" s="348" t="s">
        <v>578</v>
      </c>
      <c r="C262235" s="349">
        <v>3.9181669972725021E-2</v>
      </c>
      <c r="D262235" s="349">
        <f t="shared" si="17"/>
        <v>9.7599024852310853E-2</v>
      </c>
      <c r="E262235" s="349">
        <v>5.2599024852310855E-2</v>
      </c>
      <c r="F262235" s="349">
        <v>0.25</v>
      </c>
    </row>
    <row r="262236" spans="1:6" ht="16">
      <c r="A262236" s="347" t="s">
        <v>295</v>
      </c>
      <c r="B262236" s="348" t="s">
        <v>569</v>
      </c>
      <c r="C262236" s="349">
        <v>4.9041109802463012E-2</v>
      </c>
      <c r="D262236" s="349">
        <f t="shared" si="17"/>
        <v>0.11083472718442829</v>
      </c>
      <c r="E262236" s="349">
        <v>6.5834727184428288E-2</v>
      </c>
      <c r="F262236" s="349">
        <v>0.25</v>
      </c>
    </row>
    <row r="262237" spans="1:6" ht="16">
      <c r="A262237" s="347" t="s">
        <v>296</v>
      </c>
      <c r="B262237" s="348" t="s">
        <v>585</v>
      </c>
      <c r="C262237" s="349">
        <v>7.6826803868088279E-3</v>
      </c>
      <c r="D262237" s="349">
        <f t="shared" si="17"/>
        <v>5.5313534284766833E-2</v>
      </c>
      <c r="E262237" s="349">
        <v>1.0313534284766834E-2</v>
      </c>
      <c r="F262237" s="349">
        <v>0.30620000000000003</v>
      </c>
    </row>
    <row r="262238" spans="1:6" ht="16">
      <c r="A262238" s="347" t="s">
        <v>691</v>
      </c>
      <c r="B262238" s="348" t="s">
        <v>580</v>
      </c>
      <c r="C262238" s="349">
        <v>6.5302783287875029E-3</v>
      </c>
      <c r="D262238" s="349">
        <f t="shared" si="17"/>
        <v>5.3766504142051808E-2</v>
      </c>
      <c r="E262238" s="349">
        <v>8.7665041420518092E-3</v>
      </c>
      <c r="F262238" s="349">
        <v>0</v>
      </c>
    </row>
    <row r="262239" spans="1:6" ht="16">
      <c r="A262239" s="347" t="s">
        <v>297</v>
      </c>
      <c r="B262239" s="348" t="s">
        <v>569</v>
      </c>
      <c r="C262239" s="349">
        <v>4.9041109802463012E-2</v>
      </c>
      <c r="D262239" s="349">
        <f t="shared" si="17"/>
        <v>0.11083472718442829</v>
      </c>
      <c r="E262239" s="349">
        <v>6.5834727184428288E-2</v>
      </c>
      <c r="F262239" s="349">
        <v>0.2</v>
      </c>
    </row>
    <row r="262240" spans="1:6" ht="16">
      <c r="A262240" s="347" t="s">
        <v>298</v>
      </c>
      <c r="B262240" s="348" t="s">
        <v>571</v>
      </c>
      <c r="C262240" s="349">
        <v>2.0743237044383835E-2</v>
      </c>
      <c r="D262240" s="349">
        <f t="shared" si="17"/>
        <v>7.2846542568870451E-2</v>
      </c>
      <c r="E262240" s="349">
        <v>2.7846542568870453E-2</v>
      </c>
      <c r="F262240" s="349">
        <v>0.2</v>
      </c>
    </row>
    <row r="262241" spans="1:6" ht="16">
      <c r="A262241" s="347" t="s">
        <v>429</v>
      </c>
      <c r="B262241" s="348" t="s">
        <v>581</v>
      </c>
      <c r="C262241" s="349">
        <v>7.0808704231754685E-2</v>
      </c>
      <c r="D262241" s="349">
        <f t="shared" si="17"/>
        <v>0.14005640765793431</v>
      </c>
      <c r="E262241" s="349">
        <v>9.5056407657934314E-2</v>
      </c>
      <c r="F262241" s="349">
        <v>0.3</v>
      </c>
    </row>
    <row r="262242" spans="1:6" ht="16">
      <c r="A262242" s="350" t="s">
        <v>595</v>
      </c>
      <c r="B262242" s="348" t="s">
        <v>687</v>
      </c>
      <c r="C262242" s="349">
        <v>0.17499999999999999</v>
      </c>
      <c r="D262242" s="349">
        <f t="shared" si="17"/>
        <v>0.27992692770782934</v>
      </c>
      <c r="E262242" s="349">
        <v>0.23492692770782936</v>
      </c>
      <c r="F262242" s="349">
        <v>0.23100000000000001</v>
      </c>
    </row>
    <row r="262243" spans="1:6" ht="16">
      <c r="A262243" s="347" t="s">
        <v>299</v>
      </c>
      <c r="B262243" s="348" t="s">
        <v>585</v>
      </c>
      <c r="C262243" s="349">
        <v>7.6826803868088279E-3</v>
      </c>
      <c r="D262243" s="349">
        <f t="shared" si="17"/>
        <v>5.5313534284766833E-2</v>
      </c>
      <c r="E262243" s="349">
        <v>1.0313534284766834E-2</v>
      </c>
      <c r="F262243" s="349">
        <v>0.15</v>
      </c>
    </row>
    <row r="262244" spans="1:6" ht="16">
      <c r="A262244" s="347" t="s">
        <v>488</v>
      </c>
      <c r="B262244" s="348" t="s">
        <v>581</v>
      </c>
      <c r="C262244" s="349">
        <v>7.0808704231754685E-2</v>
      </c>
      <c r="D262244" s="349">
        <f t="shared" si="17"/>
        <v>0.14005640765793431</v>
      </c>
      <c r="E262244" s="349">
        <v>9.5056407657934314E-2</v>
      </c>
      <c r="F262244" s="349">
        <v>0.1</v>
      </c>
    </row>
    <row r="262245" spans="1:6" ht="16">
      <c r="A262245" s="347" t="s">
        <v>622</v>
      </c>
      <c r="B262245" s="348" t="s">
        <v>689</v>
      </c>
      <c r="C262245" s="349">
        <v>0.10896601681957188</v>
      </c>
      <c r="D262245" s="349">
        <f t="shared" si="17"/>
        <v>0.19128029460560964</v>
      </c>
      <c r="E262245" s="349">
        <v>0.14628029460560965</v>
      </c>
      <c r="F262245" s="349">
        <v>0.26860000000000001</v>
      </c>
    </row>
    <row r="262246" spans="1:6" ht="16">
      <c r="A262246" s="347" t="s">
        <v>300</v>
      </c>
      <c r="B262246" s="348" t="s">
        <v>587</v>
      </c>
      <c r="C262246" s="349">
        <v>1.3060556657575006E-2</v>
      </c>
      <c r="D262246" s="349">
        <f t="shared" si="17"/>
        <v>6.2533008284103617E-2</v>
      </c>
      <c r="E262246" s="349">
        <v>1.7533008284103618E-2</v>
      </c>
      <c r="F262246" s="349">
        <v>0.2</v>
      </c>
    </row>
    <row r="262247" spans="1:6" ht="16">
      <c r="A262247" s="347" t="s">
        <v>366</v>
      </c>
      <c r="B262247" s="348" t="s">
        <v>615</v>
      </c>
      <c r="C262247" s="349">
        <v>0.17499999999999999</v>
      </c>
      <c r="D262247" s="349">
        <f t="shared" si="17"/>
        <v>0.27992692770782934</v>
      </c>
      <c r="E262247" s="349">
        <v>0.23492692770782936</v>
      </c>
      <c r="F262247" s="349">
        <v>0.17</v>
      </c>
    </row>
    <row r="262248" spans="1:6" ht="16">
      <c r="A262248" s="351" t="s">
        <v>596</v>
      </c>
      <c r="B262248" s="348" t="s">
        <v>687</v>
      </c>
      <c r="C262248" s="349">
        <v>0.13073361124886354</v>
      </c>
      <c r="D262248" s="349">
        <f t="shared" si="17"/>
        <v>0.22050197507911562</v>
      </c>
      <c r="E262248" s="349">
        <v>0.17550197507911564</v>
      </c>
      <c r="F262248" s="349">
        <v>0.29149999999999998</v>
      </c>
    </row>
    <row r="262249" spans="1:6" ht="16">
      <c r="A262249" s="350" t="s">
        <v>597</v>
      </c>
      <c r="B262249" s="348" t="s">
        <v>687</v>
      </c>
      <c r="C262249" s="349">
        <v>2.0743237044383835E-2</v>
      </c>
      <c r="D262249" s="349">
        <f t="shared" si="17"/>
        <v>7.2846542568870451E-2</v>
      </c>
      <c r="E262249" s="349">
        <v>2.7846542568870453E-2</v>
      </c>
      <c r="F262249" s="349">
        <v>0.2</v>
      </c>
    </row>
    <row r="262250" spans="1:6" ht="16">
      <c r="A262250" s="347" t="s">
        <v>301</v>
      </c>
      <c r="B262250" s="348" t="s">
        <v>574</v>
      </c>
      <c r="C262250" s="349">
        <v>0</v>
      </c>
      <c r="D262250" s="349">
        <f t="shared" si="17"/>
        <v>4.4999999999999998E-2</v>
      </c>
      <c r="E262250" s="349">
        <v>0</v>
      </c>
      <c r="F262250" s="349">
        <v>0.125</v>
      </c>
    </row>
    <row r="262251" spans="1:6" ht="16">
      <c r="A262251" s="347" t="s">
        <v>302</v>
      </c>
      <c r="B262251" s="348" t="s">
        <v>583</v>
      </c>
      <c r="C262251" s="349">
        <v>9.2192164641705932E-3</v>
      </c>
      <c r="D262251" s="349">
        <f t="shared" si="17"/>
        <v>5.73762411417202E-2</v>
      </c>
      <c r="E262251" s="349">
        <v>1.2376241141720201E-2</v>
      </c>
      <c r="F262251" s="349">
        <v>0.15</v>
      </c>
    </row>
    <row r="262252" spans="1:6" ht="16">
      <c r="A262252" s="347" t="s">
        <v>303</v>
      </c>
      <c r="B262252" s="348" t="s">
        <v>574</v>
      </c>
      <c r="C262252" s="349">
        <v>0</v>
      </c>
      <c r="D262252" s="349">
        <f t="shared" si="17"/>
        <v>4.4999999999999998E-2</v>
      </c>
      <c r="E262252" s="349">
        <v>0</v>
      </c>
      <c r="F262252" s="349">
        <v>0.24940000000000001</v>
      </c>
    </row>
    <row r="262253" spans="1:6" ht="16">
      <c r="A262253" s="347" t="s">
        <v>858</v>
      </c>
      <c r="B262253" s="348" t="s">
        <v>580</v>
      </c>
      <c r="C262253" s="349">
        <v>6.5302783287875029E-3</v>
      </c>
      <c r="D262253" s="349">
        <f t="shared" si="17"/>
        <v>5.3766504142051808E-2</v>
      </c>
      <c r="E262253" s="349">
        <v>8.7665041420518092E-3</v>
      </c>
      <c r="F262253" s="349">
        <v>0.26860000000000001</v>
      </c>
    </row>
    <row r="262254" spans="1:6" ht="16">
      <c r="A262254" s="347" t="s">
        <v>304</v>
      </c>
      <c r="B262254" s="348" t="s">
        <v>578</v>
      </c>
      <c r="C262254" s="349">
        <v>3.9181669972725021E-2</v>
      </c>
      <c r="D262254" s="349">
        <f t="shared" si="17"/>
        <v>9.7599024852310853E-2</v>
      </c>
      <c r="E262254" s="349">
        <v>5.2599024852310855E-2</v>
      </c>
      <c r="F262254" s="349">
        <v>0.1</v>
      </c>
    </row>
    <row r="262255" spans="1:6" ht="16">
      <c r="A262255" s="351" t="s">
        <v>598</v>
      </c>
      <c r="B262255" s="348" t="s">
        <v>687</v>
      </c>
      <c r="C262255" s="349">
        <v>7.0808704231754685E-2</v>
      </c>
      <c r="D262255" s="349">
        <f t="shared" si="17"/>
        <v>0.14005640765793431</v>
      </c>
      <c r="E262255" s="349">
        <v>9.5056407657934314E-2</v>
      </c>
      <c r="F262255" s="349">
        <v>0.2</v>
      </c>
    </row>
    <row r="262256" spans="1:6" ht="16">
      <c r="A262256" s="350" t="s">
        <v>599</v>
      </c>
      <c r="B262256" s="348" t="s">
        <v>687</v>
      </c>
      <c r="C262256" s="349">
        <v>0.13073361124886354</v>
      </c>
      <c r="D262256" s="349">
        <f t="shared" si="17"/>
        <v>0.22050197507911562</v>
      </c>
      <c r="E262256" s="349">
        <v>0.17550197507911564</v>
      </c>
      <c r="F262256" s="349">
        <v>0.3</v>
      </c>
    </row>
    <row r="262257" spans="1:6" ht="16">
      <c r="A262257" s="347" t="s">
        <v>305</v>
      </c>
      <c r="B262257" s="348" t="s">
        <v>587</v>
      </c>
      <c r="C262257" s="349">
        <v>1.3060556657575006E-2</v>
      </c>
      <c r="D262257" s="349">
        <f t="shared" si="17"/>
        <v>6.2533008284103617E-2</v>
      </c>
      <c r="E262257" s="349">
        <v>1.7533008284103618E-2</v>
      </c>
      <c r="F262257" s="349">
        <v>0.24</v>
      </c>
    </row>
    <row r="262258" spans="1:6" ht="16">
      <c r="A262258" s="347" t="s">
        <v>692</v>
      </c>
      <c r="B262258" s="348" t="s">
        <v>579</v>
      </c>
      <c r="C262258" s="349">
        <v>8.1692501446400528E-2</v>
      </c>
      <c r="D262258" s="349">
        <f t="shared" si="17"/>
        <v>0.15466724789468733</v>
      </c>
      <c r="E262258" s="349">
        <v>0.10966724789468733</v>
      </c>
      <c r="F262258" s="349">
        <v>0.26860000000000001</v>
      </c>
    </row>
    <row r="262259" spans="1:6" ht="16">
      <c r="A262259" s="347" t="s">
        <v>600</v>
      </c>
      <c r="B262259" s="348" t="s">
        <v>586</v>
      </c>
      <c r="C262259" s="349">
        <v>9.8082219604926024E-2</v>
      </c>
      <c r="D262259" s="349">
        <f t="shared" si="17"/>
        <v>0.17666945436885656</v>
      </c>
      <c r="E262259" s="349">
        <v>0.13166945436885658</v>
      </c>
      <c r="F262259" s="349">
        <v>0.26860000000000001</v>
      </c>
    </row>
    <row r="262260" spans="1:6" ht="16">
      <c r="A262260" s="347" t="s">
        <v>306</v>
      </c>
      <c r="B262260" s="348" t="s">
        <v>583</v>
      </c>
      <c r="C262260" s="349">
        <v>9.2192164641705932E-3</v>
      </c>
      <c r="D262260" s="349">
        <f t="shared" si="17"/>
        <v>5.73762411417202E-2</v>
      </c>
      <c r="E262260" s="349">
        <v>1.2376241141720201E-2</v>
      </c>
      <c r="F262260" s="349">
        <v>0.35</v>
      </c>
    </row>
    <row r="262261" spans="1:6" ht="16">
      <c r="A262261" s="347" t="s">
        <v>859</v>
      </c>
      <c r="B262261" s="154" t="s">
        <v>687</v>
      </c>
      <c r="C262261" s="277">
        <f>J262261</f>
        <v>0</v>
      </c>
      <c r="D262261" s="349">
        <f t="shared" si="17"/>
        <v>4.4999999999999998E-2</v>
      </c>
      <c r="E262261" s="277">
        <f>H262261</f>
        <v>0</v>
      </c>
      <c r="F262261" s="277">
        <f>K262261</f>
        <v>0</v>
      </c>
    </row>
    <row r="262262" spans="1:6" ht="16">
      <c r="A262262" s="347" t="s">
        <v>307</v>
      </c>
      <c r="B262262" s="348" t="s">
        <v>577</v>
      </c>
      <c r="C262262" s="349">
        <v>2.3944353872220846E-2</v>
      </c>
      <c r="D262262" s="349">
        <f t="shared" si="17"/>
        <v>7.7143848520856623E-2</v>
      </c>
      <c r="E262262" s="349">
        <v>3.2143848520856624E-2</v>
      </c>
      <c r="F262262" s="349">
        <v>0.15</v>
      </c>
    </row>
    <row r="262263" spans="1:6" ht="16">
      <c r="A262263" s="347" t="s">
        <v>308</v>
      </c>
      <c r="B262263" s="348" t="s">
        <v>571</v>
      </c>
      <c r="C262263" s="349">
        <v>2.0743237044383835E-2</v>
      </c>
      <c r="D262263" s="349">
        <f t="shared" si="17"/>
        <v>7.2846542568870451E-2</v>
      </c>
      <c r="E262263" s="349">
        <v>2.7846542568870453E-2</v>
      </c>
      <c r="F262263" s="349">
        <v>0.3</v>
      </c>
    </row>
    <row r="262264" spans="1:6" ht="16">
      <c r="A262264" s="347" t="s">
        <v>860</v>
      </c>
      <c r="B262264" s="154" t="s">
        <v>687</v>
      </c>
      <c r="C262264" s="277">
        <v>9.5882201472833571E-3</v>
      </c>
      <c r="D262264" s="349">
        <f t="shared" si="17"/>
        <v>0.10387160629364336</v>
      </c>
      <c r="E262264" s="277">
        <v>5.8871606293643367E-2</v>
      </c>
      <c r="F262264" s="277">
        <v>0.24707349543413576</v>
      </c>
    </row>
    <row r="262265" spans="1:6" ht="16">
      <c r="A262265" s="347" t="s">
        <v>367</v>
      </c>
      <c r="B262265" s="348" t="s">
        <v>581</v>
      </c>
      <c r="C262265" s="349">
        <v>7.0808704231754685E-2</v>
      </c>
      <c r="D262265" s="349">
        <f t="shared" si="17"/>
        <v>0.14005640765793431</v>
      </c>
      <c r="E262265" s="349">
        <v>9.5056407657934314E-2</v>
      </c>
      <c r="F262265" s="349">
        <v>0.12</v>
      </c>
    </row>
    <row r="262266" spans="1:6" ht="16">
      <c r="A262266" s="347" t="s">
        <v>368</v>
      </c>
      <c r="B262266" s="348" t="s">
        <v>581</v>
      </c>
      <c r="C262266" s="349">
        <v>7.0808704231754685E-2</v>
      </c>
      <c r="D262266" s="349">
        <f t="shared" si="17"/>
        <v>0.14005640765793431</v>
      </c>
      <c r="E262266" s="349">
        <v>9.5056407657934314E-2</v>
      </c>
      <c r="F262266" s="349">
        <v>0.25</v>
      </c>
    </row>
    <row r="262267" spans="1:6" ht="16">
      <c r="A262267" s="347" t="s">
        <v>309</v>
      </c>
      <c r="B262267" s="348" t="s">
        <v>569</v>
      </c>
      <c r="C262267" s="349">
        <v>4.9041109802463012E-2</v>
      </c>
      <c r="D262267" s="349">
        <f t="shared" si="17"/>
        <v>0.11083472718442829</v>
      </c>
      <c r="E262267" s="349">
        <v>6.5834727184428288E-2</v>
      </c>
      <c r="F262267" s="349">
        <v>0.15</v>
      </c>
    </row>
    <row r="262268" spans="1:6" ht="16">
      <c r="A262268" s="347" t="s">
        <v>489</v>
      </c>
      <c r="B262268" s="348" t="s">
        <v>577</v>
      </c>
      <c r="C262268" s="349">
        <v>2.3944353872220846E-2</v>
      </c>
      <c r="D262268" s="349">
        <f t="shared" si="17"/>
        <v>7.7143848520856623E-2</v>
      </c>
      <c r="E262268" s="349">
        <v>3.2143848520856624E-2</v>
      </c>
      <c r="F262268" s="349">
        <v>0.2853</v>
      </c>
    </row>
    <row r="262269" spans="1:6" ht="16">
      <c r="A262269" s="347" t="s">
        <v>369</v>
      </c>
      <c r="B262269" s="348" t="s">
        <v>589</v>
      </c>
      <c r="C262269" s="349">
        <v>2.7273515373171343E-2</v>
      </c>
      <c r="D262269" s="349">
        <f t="shared" si="17"/>
        <v>8.161304671092226E-2</v>
      </c>
      <c r="E262269" s="349">
        <v>3.6613046710922262E-2</v>
      </c>
      <c r="F262269" s="349">
        <v>0.32</v>
      </c>
    </row>
    <row r="262270" spans="1:6" ht="16">
      <c r="A262270" s="347" t="s">
        <v>310</v>
      </c>
      <c r="B262270" s="348" t="s">
        <v>586</v>
      </c>
      <c r="C262270" s="349">
        <v>9.8082219604926024E-2</v>
      </c>
      <c r="D262270" s="349">
        <f t="shared" si="17"/>
        <v>0.17666945436885656</v>
      </c>
      <c r="E262270" s="349">
        <v>0.13166945436885658</v>
      </c>
      <c r="F262270" s="349">
        <v>0.32</v>
      </c>
    </row>
    <row r="262271" spans="1:6" ht="16">
      <c r="A262271" s="351" t="s">
        <v>601</v>
      </c>
      <c r="B262271" s="348" t="s">
        <v>687</v>
      </c>
      <c r="C262271" s="349">
        <v>0.10896601681957191</v>
      </c>
      <c r="D262271" s="349">
        <f t="shared" si="17"/>
        <v>0.19128029460560964</v>
      </c>
      <c r="E262271" s="349">
        <v>0.14628029460560965</v>
      </c>
      <c r="F262271" s="349">
        <v>0.25</v>
      </c>
    </row>
    <row r="262272" spans="1:6" ht="16">
      <c r="A262272" s="347" t="s">
        <v>311</v>
      </c>
      <c r="B262272" s="348" t="s">
        <v>569</v>
      </c>
      <c r="C262272" s="349">
        <v>4.9041109802463012E-2</v>
      </c>
      <c r="D262272" s="349">
        <f t="shared" si="17"/>
        <v>0.11083472718442829</v>
      </c>
      <c r="E262272" s="349">
        <v>6.5834727184428288E-2</v>
      </c>
      <c r="F262272" s="349">
        <v>0.32</v>
      </c>
    </row>
    <row r="262273" spans="1:6" ht="16">
      <c r="A262273" s="347" t="s">
        <v>312</v>
      </c>
      <c r="B262273" s="348" t="s">
        <v>574</v>
      </c>
      <c r="C262273" s="349">
        <v>0</v>
      </c>
      <c r="D262273" s="349">
        <f t="shared" si="17"/>
        <v>4.4999999999999998E-2</v>
      </c>
      <c r="E262273" s="349">
        <v>0</v>
      </c>
      <c r="F262273" s="349">
        <v>0.25800000000000001</v>
      </c>
    </row>
    <row r="262274" spans="1:6" ht="16">
      <c r="A262274" s="347" t="s">
        <v>861</v>
      </c>
      <c r="B262274" s="154" t="s">
        <v>687</v>
      </c>
      <c r="C262274" s="277">
        <v>0.1054310997313879</v>
      </c>
      <c r="D262274" s="349">
        <f t="shared" si="17"/>
        <v>0.23253488197001548</v>
      </c>
      <c r="E262274" s="277">
        <v>0.1875348819700155</v>
      </c>
      <c r="F262274" s="277">
        <v>0.2724561140242252</v>
      </c>
    </row>
    <row r="262275" spans="1:6" ht="16">
      <c r="A262275" s="347" t="s">
        <v>313</v>
      </c>
      <c r="B262275" s="348" t="s">
        <v>574</v>
      </c>
      <c r="C262275" s="349">
        <v>0</v>
      </c>
      <c r="D262275" s="349">
        <f t="shared" si="17"/>
        <v>4.4999999999999998E-2</v>
      </c>
      <c r="E262275" s="349">
        <v>0</v>
      </c>
      <c r="F262275" s="349">
        <v>0.28000000000000003</v>
      </c>
    </row>
    <row r="262276" spans="1:6" ht="16">
      <c r="A262276" s="347" t="s">
        <v>370</v>
      </c>
      <c r="B262276" s="348" t="s">
        <v>581</v>
      </c>
      <c r="C262276" s="349">
        <v>7.0808704231754685E-2</v>
      </c>
      <c r="D262276" s="349">
        <f t="shared" si="17"/>
        <v>0.14005640765793431</v>
      </c>
      <c r="E262276" s="349">
        <v>9.5056407657934314E-2</v>
      </c>
      <c r="F262276" s="349">
        <v>0.3</v>
      </c>
    </row>
    <row r="262277" spans="1:6" ht="16">
      <c r="A262277" s="347" t="s">
        <v>602</v>
      </c>
      <c r="B262277" s="348" t="s">
        <v>586</v>
      </c>
      <c r="C262277" s="349">
        <v>9.8082219604926024E-2</v>
      </c>
      <c r="D262277" s="349">
        <f t="shared" si="17"/>
        <v>0.17666945436885656</v>
      </c>
      <c r="E262277" s="349">
        <v>0.13166945436885658</v>
      </c>
      <c r="F262277" s="349">
        <v>0.26860000000000001</v>
      </c>
    </row>
    <row r="262278" spans="1:6" ht="16">
      <c r="A262278" s="347" t="s">
        <v>314</v>
      </c>
      <c r="B262278" s="348" t="s">
        <v>579</v>
      </c>
      <c r="C262278" s="349">
        <v>8.1692501446400528E-2</v>
      </c>
      <c r="D262278" s="349">
        <f t="shared" ref="D262278:D262339" si="18">$B$1+E262278</f>
        <v>0.15466724789468733</v>
      </c>
      <c r="E262278" s="349">
        <v>0.10966724789468733</v>
      </c>
      <c r="F262278" s="349">
        <v>0.3</v>
      </c>
    </row>
    <row r="262279" spans="1:6" ht="16">
      <c r="A262279" s="347" t="s">
        <v>315</v>
      </c>
      <c r="B262279" s="348" t="s">
        <v>574</v>
      </c>
      <c r="C262279" s="349">
        <v>0</v>
      </c>
      <c r="D262279" s="349">
        <f t="shared" si="18"/>
        <v>4.4999999999999998E-2</v>
      </c>
      <c r="E262279" s="349">
        <v>0</v>
      </c>
      <c r="F262279" s="349">
        <v>0.22</v>
      </c>
    </row>
    <row r="262280" spans="1:6" ht="16">
      <c r="A262280" s="347" t="s">
        <v>316</v>
      </c>
      <c r="B262280" s="348" t="s">
        <v>589</v>
      </c>
      <c r="C262280" s="349">
        <v>2.7273515373171343E-2</v>
      </c>
      <c r="D262280" s="349">
        <f t="shared" si="18"/>
        <v>8.161304671092226E-2</v>
      </c>
      <c r="E262280" s="349">
        <v>3.6613046710922262E-2</v>
      </c>
      <c r="F262280" s="349">
        <v>0.15</v>
      </c>
    </row>
    <row r="262281" spans="1:6" ht="16">
      <c r="A262281" s="347" t="s">
        <v>317</v>
      </c>
      <c r="B262281" s="348" t="s">
        <v>689</v>
      </c>
      <c r="C262281" s="349">
        <v>0.10896601681957188</v>
      </c>
      <c r="D262281" s="349">
        <f t="shared" si="18"/>
        <v>0.19128029460560964</v>
      </c>
      <c r="E262281" s="349">
        <v>0.14628029460560965</v>
      </c>
      <c r="F262281" s="349">
        <v>0.28999999999999998</v>
      </c>
    </row>
    <row r="262282" spans="1:6" ht="16">
      <c r="A262282" s="347" t="s">
        <v>862</v>
      </c>
      <c r="B262282" s="154" t="s">
        <v>687</v>
      </c>
      <c r="C262282" s="277">
        <v>1.6082653627874467E-2</v>
      </c>
      <c r="D262282" s="349">
        <f t="shared" si="18"/>
        <v>0.11258999089248985</v>
      </c>
      <c r="E262282" s="277">
        <v>6.7589990892489848E-2</v>
      </c>
      <c r="F262282" s="277">
        <v>0.18760152153615242</v>
      </c>
    </row>
    <row r="262283" spans="1:6" ht="16">
      <c r="A262283" s="347" t="s">
        <v>318</v>
      </c>
      <c r="B262283" s="348" t="s">
        <v>571</v>
      </c>
      <c r="C262283" s="349">
        <v>2.0743237044383835E-2</v>
      </c>
      <c r="D262283" s="349">
        <f t="shared" si="18"/>
        <v>7.2846542568870451E-2</v>
      </c>
      <c r="E262283" s="349">
        <v>2.7846542568870453E-2</v>
      </c>
      <c r="F262283" s="349">
        <v>0.25</v>
      </c>
    </row>
    <row r="262284" spans="1:6" ht="16">
      <c r="A262284" s="347" t="s">
        <v>319</v>
      </c>
      <c r="B262284" s="348" t="s">
        <v>572</v>
      </c>
      <c r="C262284" s="349">
        <v>5.9924907017108855E-2</v>
      </c>
      <c r="D262284" s="349">
        <f t="shared" si="18"/>
        <v>0.12544556742118129</v>
      </c>
      <c r="E262284" s="349">
        <v>8.0445567421181294E-2</v>
      </c>
      <c r="F262284" s="349">
        <v>0.3</v>
      </c>
    </row>
    <row r="262285" spans="1:6" ht="16">
      <c r="A262285" s="347" t="s">
        <v>320</v>
      </c>
      <c r="B262285" s="348" t="s">
        <v>589</v>
      </c>
      <c r="C262285" s="349">
        <v>2.7273515373171343E-2</v>
      </c>
      <c r="D262285" s="349">
        <f t="shared" si="18"/>
        <v>8.161304671092226E-2</v>
      </c>
      <c r="E262285" s="349">
        <v>3.6613046710922262E-2</v>
      </c>
      <c r="F262285" s="349">
        <v>0.1</v>
      </c>
    </row>
    <row r="262286" spans="1:6" ht="16">
      <c r="A262286" s="347" t="s">
        <v>321</v>
      </c>
      <c r="B262286" s="348" t="s">
        <v>573</v>
      </c>
      <c r="C262286" s="349">
        <v>1.7414075543433341E-2</v>
      </c>
      <c r="D262286" s="349">
        <f t="shared" si="18"/>
        <v>6.8377344378804827E-2</v>
      </c>
      <c r="E262286" s="349">
        <v>2.3377344378804829E-2</v>
      </c>
      <c r="F262286" s="349">
        <v>0.29499999999999998</v>
      </c>
    </row>
    <row r="262287" spans="1:6" ht="16">
      <c r="A262287" s="347" t="s">
        <v>322</v>
      </c>
      <c r="B262287" s="348" t="s">
        <v>571</v>
      </c>
      <c r="C262287" s="349">
        <v>2.0743237044383835E-2</v>
      </c>
      <c r="D262287" s="349">
        <f t="shared" si="18"/>
        <v>7.2846542568870451E-2</v>
      </c>
      <c r="E262287" s="349">
        <v>2.7846542568870453E-2</v>
      </c>
      <c r="F262287" s="349">
        <v>0.25</v>
      </c>
    </row>
    <row r="262288" spans="1:6" ht="16">
      <c r="A262288" s="347" t="s">
        <v>323</v>
      </c>
      <c r="B262288" s="348" t="s">
        <v>583</v>
      </c>
      <c r="C262288" s="349">
        <v>9.2192164641705932E-3</v>
      </c>
      <c r="D262288" s="349">
        <f t="shared" si="18"/>
        <v>5.73762411417202E-2</v>
      </c>
      <c r="E262288" s="349">
        <v>1.2376241141720201E-2</v>
      </c>
      <c r="F262288" s="349">
        <v>0.19</v>
      </c>
    </row>
    <row r="262289" spans="1:6" ht="16">
      <c r="A262289" s="347" t="s">
        <v>324</v>
      </c>
      <c r="B262289" s="348" t="s">
        <v>587</v>
      </c>
      <c r="C262289" s="349">
        <v>1.3060556657575006E-2</v>
      </c>
      <c r="D262289" s="349">
        <f t="shared" si="18"/>
        <v>6.2533008284103617E-2</v>
      </c>
      <c r="E262289" s="349">
        <v>1.7533008284103618E-2</v>
      </c>
      <c r="F262289" s="349">
        <v>0.21</v>
      </c>
    </row>
    <row r="262290" spans="1:6" ht="16">
      <c r="A262290" s="347" t="s">
        <v>325</v>
      </c>
      <c r="B262290" s="348" t="s">
        <v>580</v>
      </c>
      <c r="C262290" s="349">
        <v>6.5302783287875029E-3</v>
      </c>
      <c r="D262290" s="349">
        <f t="shared" si="18"/>
        <v>5.3766504142051808E-2</v>
      </c>
      <c r="E262290" s="349">
        <v>8.7665041420518092E-3</v>
      </c>
      <c r="F262290" s="349">
        <v>0.1</v>
      </c>
    </row>
    <row r="262291" spans="1:6" ht="16">
      <c r="A262291" s="347" t="s">
        <v>503</v>
      </c>
      <c r="B262291" s="348" t="s">
        <v>587</v>
      </c>
      <c r="C262291" s="349">
        <v>1.3060556657575006E-2</v>
      </c>
      <c r="D262291" s="349">
        <f t="shared" si="18"/>
        <v>6.2533008284103617E-2</v>
      </c>
      <c r="E262291" s="349">
        <v>1.7533008284103618E-2</v>
      </c>
      <c r="F262291" s="349">
        <v>0</v>
      </c>
    </row>
    <row r="262292" spans="1:6" ht="16">
      <c r="A262292" s="347" t="s">
        <v>863</v>
      </c>
      <c r="B262292" s="154" t="s">
        <v>687</v>
      </c>
      <c r="C262292" s="277">
        <v>1.2518555898193178E-2</v>
      </c>
      <c r="D262292" s="349">
        <f t="shared" si="18"/>
        <v>0.10780540500857855</v>
      </c>
      <c r="E262292" s="277">
        <v>6.2805405008578549E-2</v>
      </c>
      <c r="F262292" s="277">
        <v>0.2576437502455447</v>
      </c>
    </row>
    <row r="262293" spans="1:6" ht="16">
      <c r="A262293" s="347" t="s">
        <v>326</v>
      </c>
      <c r="B262293" s="348" t="s">
        <v>577</v>
      </c>
      <c r="C262293" s="349">
        <v>2.3944353872220846E-2</v>
      </c>
      <c r="D262293" s="349">
        <f t="shared" si="18"/>
        <v>7.7143848520856623E-2</v>
      </c>
      <c r="E262293" s="349">
        <v>3.2143848520856624E-2</v>
      </c>
      <c r="F262293" s="349">
        <v>0.16</v>
      </c>
    </row>
    <row r="262294" spans="1:6" ht="16">
      <c r="A262294" s="347" t="s">
        <v>327</v>
      </c>
      <c r="B262294" s="348" t="s">
        <v>687</v>
      </c>
      <c r="C262294" s="349">
        <v>4.9041109802463012E-2</v>
      </c>
      <c r="D262294" s="349">
        <f t="shared" si="18"/>
        <v>0.11083472718442829</v>
      </c>
      <c r="E262294" s="349">
        <v>6.5834727184428288E-2</v>
      </c>
      <c r="F262294" s="349">
        <v>0.25</v>
      </c>
    </row>
    <row r="262295" spans="1:6" ht="16">
      <c r="A262295" s="347" t="s">
        <v>490</v>
      </c>
      <c r="B262295" s="348" t="s">
        <v>572</v>
      </c>
      <c r="C262295" s="349">
        <v>5.9924907017108855E-2</v>
      </c>
      <c r="D262295" s="349">
        <f t="shared" si="18"/>
        <v>0.12544556742118129</v>
      </c>
      <c r="E262295" s="349">
        <v>8.0445567421181294E-2</v>
      </c>
      <c r="F262295" s="349">
        <v>0.3</v>
      </c>
    </row>
    <row r="262296" spans="1:6" ht="16">
      <c r="A262296" s="347" t="s">
        <v>864</v>
      </c>
      <c r="B262296" s="154" t="s">
        <v>687</v>
      </c>
      <c r="C262296" s="277">
        <v>0.1054310997313879</v>
      </c>
      <c r="D262296" s="349">
        <f t="shared" si="18"/>
        <v>0.23253488197001548</v>
      </c>
      <c r="E262296" s="277">
        <v>0.1875348819700155</v>
      </c>
      <c r="F262296" s="277">
        <v>0.2724561140242252</v>
      </c>
    </row>
    <row r="262297" spans="1:6" ht="16">
      <c r="A262297" s="347" t="s">
        <v>328</v>
      </c>
      <c r="B262297" s="348" t="s">
        <v>585</v>
      </c>
      <c r="C262297" s="349">
        <v>7.6826803868088279E-3</v>
      </c>
      <c r="D262297" s="349">
        <f t="shared" si="18"/>
        <v>5.5313534284766833E-2</v>
      </c>
      <c r="E262297" s="349">
        <v>1.0313534284766834E-2</v>
      </c>
      <c r="F262297" s="349">
        <v>0.2</v>
      </c>
    </row>
    <row r="262298" spans="1:6" ht="16">
      <c r="A262298" s="347" t="s">
        <v>371</v>
      </c>
      <c r="B262298" s="348" t="s">
        <v>578</v>
      </c>
      <c r="C262298" s="349">
        <v>3.9181669972725021E-2</v>
      </c>
      <c r="D262298" s="349">
        <f t="shared" si="18"/>
        <v>9.7599024852310853E-2</v>
      </c>
      <c r="E262298" s="349">
        <v>5.2599024852310855E-2</v>
      </c>
      <c r="F262298" s="349">
        <v>0.3</v>
      </c>
    </row>
    <row r="262299" spans="1:6" ht="16">
      <c r="A262299" s="347" t="s">
        <v>329</v>
      </c>
      <c r="B262299" s="348" t="s">
        <v>576</v>
      </c>
      <c r="C262299" s="349">
        <v>3.2779436317050999E-2</v>
      </c>
      <c r="D262299" s="349">
        <f t="shared" si="18"/>
        <v>8.9004412948338496E-2</v>
      </c>
      <c r="E262299" s="349">
        <v>4.4004412948338498E-2</v>
      </c>
      <c r="F262299" s="349">
        <v>0.15</v>
      </c>
    </row>
    <row r="262300" spans="1:6" ht="16">
      <c r="A262300" s="347" t="s">
        <v>504</v>
      </c>
      <c r="B262300" s="348" t="s">
        <v>589</v>
      </c>
      <c r="C262300" s="349">
        <v>2.7273515373171343E-2</v>
      </c>
      <c r="D262300" s="349">
        <f t="shared" si="18"/>
        <v>8.161304671092226E-2</v>
      </c>
      <c r="E262300" s="349">
        <v>3.6613046710922262E-2</v>
      </c>
      <c r="F262300" s="349">
        <v>0</v>
      </c>
    </row>
    <row r="262301" spans="1:6" ht="16">
      <c r="A262301" s="350" t="s">
        <v>603</v>
      </c>
      <c r="B262301" s="348" t="s">
        <v>687</v>
      </c>
      <c r="C262301" s="349">
        <v>0.10896601681957191</v>
      </c>
      <c r="D262301" s="349">
        <f t="shared" si="18"/>
        <v>0.19128029460560964</v>
      </c>
      <c r="E262301" s="349">
        <v>0.14628029460560965</v>
      </c>
      <c r="F262301" s="349">
        <v>0.3</v>
      </c>
    </row>
    <row r="262302" spans="1:6" ht="16">
      <c r="A262302" s="347" t="s">
        <v>330</v>
      </c>
      <c r="B262302" s="348" t="s">
        <v>574</v>
      </c>
      <c r="C262302" s="349">
        <v>0</v>
      </c>
      <c r="D262302" s="349">
        <f t="shared" si="18"/>
        <v>4.4999999999999998E-2</v>
      </c>
      <c r="E262302" s="349">
        <v>0</v>
      </c>
      <c r="F262302" s="349">
        <v>0.17</v>
      </c>
    </row>
    <row r="262303" spans="1:6" ht="16">
      <c r="A262303" s="347" t="s">
        <v>372</v>
      </c>
      <c r="B262303" s="348" t="s">
        <v>583</v>
      </c>
      <c r="C262303" s="349">
        <v>9.2192164641705932E-3</v>
      </c>
      <c r="D262303" s="349">
        <f t="shared" si="18"/>
        <v>5.73762411417202E-2</v>
      </c>
      <c r="E262303" s="349">
        <v>1.2376241141720201E-2</v>
      </c>
      <c r="F262303" s="349">
        <v>0.21</v>
      </c>
    </row>
    <row r="262304" spans="1:6" ht="16">
      <c r="A262304" s="347" t="s">
        <v>331</v>
      </c>
      <c r="B262304" s="348" t="s">
        <v>587</v>
      </c>
      <c r="C262304" s="349">
        <v>1.3060556657575006E-2</v>
      </c>
      <c r="D262304" s="349">
        <f t="shared" si="18"/>
        <v>6.2533008284103617E-2</v>
      </c>
      <c r="E262304" s="349">
        <v>1.7533008284103618E-2</v>
      </c>
      <c r="F262304" s="349">
        <v>0.19</v>
      </c>
    </row>
    <row r="262305" spans="1:6" ht="16">
      <c r="A262305" s="347" t="s">
        <v>604</v>
      </c>
      <c r="B262305" s="348" t="s">
        <v>579</v>
      </c>
      <c r="C262305" s="349">
        <v>8.1692501446400528E-2</v>
      </c>
      <c r="D262305" s="349">
        <f t="shared" si="18"/>
        <v>0.15466724789468733</v>
      </c>
      <c r="E262305" s="349">
        <v>0.10966724789468733</v>
      </c>
      <c r="F262305" s="349">
        <v>0.3</v>
      </c>
    </row>
    <row r="262306" spans="1:6" ht="16">
      <c r="A262306" s="351" t="s">
        <v>605</v>
      </c>
      <c r="B262306" s="348" t="s">
        <v>687</v>
      </c>
      <c r="C262306" s="349">
        <v>0.13073361124886354</v>
      </c>
      <c r="D262306" s="349">
        <f t="shared" si="18"/>
        <v>0.22050197507911562</v>
      </c>
      <c r="E262306" s="349">
        <v>0.17550197507911564</v>
      </c>
      <c r="F262306" s="349">
        <v>0.29149999999999998</v>
      </c>
    </row>
    <row r="262307" spans="1:6" ht="16">
      <c r="A262307" s="347" t="s">
        <v>332</v>
      </c>
      <c r="B262307" s="348" t="s">
        <v>576</v>
      </c>
      <c r="C262307" s="349">
        <v>3.2779436317050999E-2</v>
      </c>
      <c r="D262307" s="349">
        <f t="shared" si="18"/>
        <v>8.9004412948338496E-2</v>
      </c>
      <c r="E262307" s="349">
        <v>4.4004412948338498E-2</v>
      </c>
      <c r="F262307" s="349">
        <v>0.27</v>
      </c>
    </row>
    <row r="262308" spans="1:6" ht="16">
      <c r="A262308" s="347" t="s">
        <v>865</v>
      </c>
      <c r="B262308" s="348" t="s">
        <v>568</v>
      </c>
      <c r="C262308" s="349">
        <v>5.3778762707661788E-3</v>
      </c>
      <c r="D262308" s="349">
        <f t="shared" si="18"/>
        <v>5.2219473999336782E-2</v>
      </c>
      <c r="E262308" s="349">
        <v>7.219473999336784E-3</v>
      </c>
      <c r="F262308" s="349">
        <v>0.25</v>
      </c>
    </row>
    <row r="262309" spans="1:6" ht="16">
      <c r="A262309" s="347" t="s">
        <v>333</v>
      </c>
      <c r="B262309" s="348" t="s">
        <v>573</v>
      </c>
      <c r="C262309" s="349">
        <v>1.7414075543433341E-2</v>
      </c>
      <c r="D262309" s="349">
        <f t="shared" si="18"/>
        <v>6.8377344378804827E-2</v>
      </c>
      <c r="E262309" s="349">
        <v>2.3377344378804829E-2</v>
      </c>
      <c r="F262309" s="349">
        <v>0.25</v>
      </c>
    </row>
    <row r="262310" spans="1:6" ht="16">
      <c r="A262310" s="347" t="s">
        <v>334</v>
      </c>
      <c r="B262310" s="348" t="s">
        <v>688</v>
      </c>
      <c r="C262310" s="349">
        <v>0.13073361124886354</v>
      </c>
      <c r="D262310" s="349">
        <f t="shared" si="18"/>
        <v>0.22050197507911562</v>
      </c>
      <c r="E262310" s="349">
        <v>0.17550197507911564</v>
      </c>
      <c r="F262310" s="349">
        <v>0.24</v>
      </c>
    </row>
    <row r="262311" spans="1:6" ht="16">
      <c r="A262311" s="347" t="s">
        <v>430</v>
      </c>
      <c r="B262311" s="348" t="s">
        <v>576</v>
      </c>
      <c r="C262311" s="349">
        <v>3.2779436317050999E-2</v>
      </c>
      <c r="D262311" s="349">
        <f t="shared" si="18"/>
        <v>8.9004412948338496E-2</v>
      </c>
      <c r="E262311" s="349">
        <v>4.4004412948338498E-2</v>
      </c>
      <c r="F262311" s="349">
        <v>0.2853</v>
      </c>
    </row>
    <row r="262312" spans="1:6" ht="16">
      <c r="A262312" s="347" t="s">
        <v>373</v>
      </c>
      <c r="B262312" s="348" t="s">
        <v>581</v>
      </c>
      <c r="C262312" s="349">
        <v>7.0808704231754685E-2</v>
      </c>
      <c r="D262312" s="349">
        <f t="shared" si="18"/>
        <v>0.14005640765793431</v>
      </c>
      <c r="E262312" s="349">
        <v>9.5056407657934314E-2</v>
      </c>
      <c r="F262312" s="349">
        <v>0.2853</v>
      </c>
    </row>
    <row r="262313" spans="1:6" ht="16">
      <c r="A262313" s="350" t="s">
        <v>606</v>
      </c>
      <c r="B262313" s="348" t="s">
        <v>687</v>
      </c>
      <c r="C262313" s="349">
        <v>0.17499999999999999</v>
      </c>
      <c r="D262313" s="349">
        <f t="shared" si="18"/>
        <v>0.27992692770782934</v>
      </c>
      <c r="E262313" s="349">
        <v>0.23492692770782936</v>
      </c>
      <c r="F262313" s="349">
        <v>0.35</v>
      </c>
    </row>
    <row r="262314" spans="1:6" ht="16">
      <c r="A262314" s="347" t="s">
        <v>374</v>
      </c>
      <c r="B262314" s="348" t="s">
        <v>689</v>
      </c>
      <c r="C262314" s="349">
        <v>0.10896601681957188</v>
      </c>
      <c r="D262314" s="349">
        <f t="shared" si="18"/>
        <v>0.19128029460560964</v>
      </c>
      <c r="E262314" s="349">
        <v>0.14628029460560965</v>
      </c>
      <c r="F262314" s="349">
        <v>0.36</v>
      </c>
    </row>
    <row r="262315" spans="1:6" ht="16">
      <c r="A262315" s="347" t="s">
        <v>607</v>
      </c>
      <c r="B262315" s="348" t="s">
        <v>581</v>
      </c>
      <c r="C262315" s="349">
        <v>7.0808704231754685E-2</v>
      </c>
      <c r="D262315" s="349">
        <f t="shared" si="18"/>
        <v>0.14005640765793431</v>
      </c>
      <c r="E262315" s="349">
        <v>9.5056407657934314E-2</v>
      </c>
      <c r="F262315" s="349">
        <v>0.27500000000000002</v>
      </c>
    </row>
    <row r="262316" spans="1:6" ht="16">
      <c r="A262316" s="347" t="s">
        <v>335</v>
      </c>
      <c r="B262316" s="348" t="s">
        <v>574</v>
      </c>
      <c r="C262316" s="349">
        <v>0</v>
      </c>
      <c r="D262316" s="349">
        <f t="shared" si="18"/>
        <v>4.4999999999999998E-2</v>
      </c>
      <c r="E262316" s="349">
        <v>0</v>
      </c>
      <c r="F262316" s="349">
        <v>0.20600000000000002</v>
      </c>
    </row>
    <row r="262317" spans="1:6" ht="16">
      <c r="A262317" s="347" t="s">
        <v>336</v>
      </c>
      <c r="B262317" s="348" t="s">
        <v>574</v>
      </c>
      <c r="C262317" s="349">
        <v>0</v>
      </c>
      <c r="D262317" s="349">
        <f t="shared" si="18"/>
        <v>4.4999999999999998E-2</v>
      </c>
      <c r="E262317" s="349">
        <v>0</v>
      </c>
      <c r="F262317" s="349">
        <v>0.14599999999999999</v>
      </c>
    </row>
    <row r="262318" spans="1:6" ht="16">
      <c r="A262318" s="351" t="s">
        <v>608</v>
      </c>
      <c r="B262318" s="348" t="s">
        <v>687</v>
      </c>
      <c r="C262318" s="349">
        <v>0.17499999999999999</v>
      </c>
      <c r="D262318" s="349">
        <f t="shared" si="18"/>
        <v>0.27992692770782934</v>
      </c>
      <c r="E262318" s="349">
        <v>0.23492692770782936</v>
      </c>
      <c r="F262318" s="349">
        <v>0.28000000000000003</v>
      </c>
    </row>
    <row r="262319" spans="1:6" ht="16">
      <c r="A262319" s="347" t="s">
        <v>337</v>
      </c>
      <c r="B262319" s="348" t="s">
        <v>580</v>
      </c>
      <c r="C262319" s="349">
        <v>6.5302783287875029E-3</v>
      </c>
      <c r="D262319" s="349">
        <f t="shared" si="18"/>
        <v>5.3766504142051808E-2</v>
      </c>
      <c r="E262319" s="349">
        <v>8.7665041420518092E-3</v>
      </c>
      <c r="F262319" s="349">
        <v>0.2</v>
      </c>
    </row>
    <row r="262320" spans="1:6" ht="16">
      <c r="A262320" s="347" t="s">
        <v>609</v>
      </c>
      <c r="B262320" s="348" t="s">
        <v>581</v>
      </c>
      <c r="C262320" s="349">
        <v>7.0808704231754685E-2</v>
      </c>
      <c r="D262320" s="349">
        <f t="shared" si="18"/>
        <v>0.14005640765793431</v>
      </c>
      <c r="E262320" s="349">
        <v>9.5056407657934314E-2</v>
      </c>
      <c r="F262320" s="349">
        <v>0.18</v>
      </c>
    </row>
    <row r="262321" spans="1:6" ht="16">
      <c r="A262321" s="347" t="s">
        <v>610</v>
      </c>
      <c r="B262321" s="348" t="s">
        <v>572</v>
      </c>
      <c r="C262321" s="349">
        <v>5.9924907017108855E-2</v>
      </c>
      <c r="D262321" s="349">
        <f t="shared" si="18"/>
        <v>0.12544556742118129</v>
      </c>
      <c r="E262321" s="349">
        <v>8.0445567421181294E-2</v>
      </c>
      <c r="F262321" s="349">
        <v>0.3</v>
      </c>
    </row>
    <row r="262322" spans="1:6" ht="16">
      <c r="A262322" s="347" t="s">
        <v>338</v>
      </c>
      <c r="B262322" s="348" t="s">
        <v>573</v>
      </c>
      <c r="C262322" s="349">
        <v>1.7414075543433341E-2</v>
      </c>
      <c r="D262322" s="349">
        <f t="shared" si="18"/>
        <v>6.8377344378804827E-2</v>
      </c>
      <c r="E262322" s="349">
        <v>2.3377344378804829E-2</v>
      </c>
      <c r="F262322" s="349">
        <v>0.2</v>
      </c>
    </row>
    <row r="262323" spans="1:6" ht="16">
      <c r="A262323" s="347" t="s">
        <v>611</v>
      </c>
      <c r="B262323" s="348" t="s">
        <v>581</v>
      </c>
      <c r="C262323" s="349">
        <v>7.0808704231754685E-2</v>
      </c>
      <c r="D262323" s="349">
        <f t="shared" si="18"/>
        <v>0.14005640765793431</v>
      </c>
      <c r="E262323" s="349">
        <v>9.5056407657934314E-2</v>
      </c>
      <c r="F262323" s="349">
        <v>0.26860000000000001</v>
      </c>
    </row>
    <row r="262324" spans="1:6" ht="16">
      <c r="A262324" s="347" t="s">
        <v>866</v>
      </c>
      <c r="B262324" s="348" t="s">
        <v>576</v>
      </c>
      <c r="C262324" s="349">
        <v>3.2779436317050999E-2</v>
      </c>
      <c r="D262324" s="349">
        <f t="shared" si="18"/>
        <v>8.9004412948338496E-2</v>
      </c>
      <c r="E262324" s="349">
        <v>4.4004412948338498E-2</v>
      </c>
      <c r="F262324" s="349">
        <v>0.3</v>
      </c>
    </row>
    <row r="262325" spans="1:6" ht="16">
      <c r="A262325" s="347" t="s">
        <v>339</v>
      </c>
      <c r="B262325" s="348" t="s">
        <v>586</v>
      </c>
      <c r="C262325" s="349">
        <v>9.8082219604926024E-2</v>
      </c>
      <c r="D262325" s="349">
        <f t="shared" si="18"/>
        <v>0.17666945436885656</v>
      </c>
      <c r="E262325" s="349">
        <v>0.13166945436885658</v>
      </c>
      <c r="F262325" s="349">
        <v>0.15</v>
      </c>
    </row>
    <row r="262326" spans="1:6" ht="16">
      <c r="A262326" s="347" t="s">
        <v>340</v>
      </c>
      <c r="B262326" s="348" t="s">
        <v>581</v>
      </c>
      <c r="C262326" s="349">
        <v>7.0808704231754685E-2</v>
      </c>
      <c r="D262326" s="349">
        <f t="shared" si="18"/>
        <v>0.14005640765793431</v>
      </c>
      <c r="E262326" s="349">
        <v>9.5056407657934314E-2</v>
      </c>
      <c r="F262326" s="349">
        <v>0.25</v>
      </c>
    </row>
    <row r="262327" spans="1:6" ht="16">
      <c r="A262327" s="353" t="s">
        <v>867</v>
      </c>
      <c r="B262327" s="348" t="s">
        <v>573</v>
      </c>
      <c r="C262327" s="349">
        <v>1.7414075543433341E-2</v>
      </c>
      <c r="D262327" s="349">
        <f t="shared" si="18"/>
        <v>6.8377344378804827E-2</v>
      </c>
      <c r="E262327" s="349">
        <v>2.3377344378804829E-2</v>
      </c>
      <c r="F262327" s="349">
        <v>0</v>
      </c>
    </row>
    <row r="262328" spans="1:6" ht="16">
      <c r="A262328" s="347" t="s">
        <v>431</v>
      </c>
      <c r="B262328" s="348" t="s">
        <v>572</v>
      </c>
      <c r="C262328" s="349">
        <v>5.9924907017108855E-2</v>
      </c>
      <c r="D262328" s="349">
        <f t="shared" si="18"/>
        <v>0.12544556742118129</v>
      </c>
      <c r="E262328" s="349">
        <v>8.0445567421181294E-2</v>
      </c>
      <c r="F262328" s="349">
        <v>0.3</v>
      </c>
    </row>
    <row r="262329" spans="1:6" ht="16">
      <c r="A262329" s="347" t="s">
        <v>341</v>
      </c>
      <c r="B262329" s="348" t="s">
        <v>688</v>
      </c>
      <c r="C262329" s="349">
        <v>0.13073361124886354</v>
      </c>
      <c r="D262329" s="349">
        <f t="shared" si="18"/>
        <v>0.22050197507911562</v>
      </c>
      <c r="E262329" s="349">
        <v>0.17550197507911564</v>
      </c>
      <c r="F262329" s="349">
        <v>0.18</v>
      </c>
    </row>
    <row r="262330" spans="1:6" ht="16">
      <c r="A262330" s="347" t="s">
        <v>342</v>
      </c>
      <c r="B262330" s="348" t="s">
        <v>568</v>
      </c>
      <c r="C262330" s="349">
        <v>5.3778762707661788E-3</v>
      </c>
      <c r="D262330" s="349">
        <f t="shared" si="18"/>
        <v>5.2219473999336782E-2</v>
      </c>
      <c r="E262330" s="349">
        <v>7.219473999336784E-3</v>
      </c>
      <c r="F262330" s="349">
        <v>0.25</v>
      </c>
    </row>
    <row r="262331" spans="1:6" ht="16">
      <c r="A262331" s="347" t="s">
        <v>343</v>
      </c>
      <c r="B262331" s="348" t="s">
        <v>580</v>
      </c>
      <c r="C262331" s="349">
        <v>6.5302783287875029E-3</v>
      </c>
      <c r="D262331" s="349">
        <f t="shared" si="18"/>
        <v>5.3766504142051808E-2</v>
      </c>
      <c r="E262331" s="349">
        <v>8.7665041420518092E-3</v>
      </c>
      <c r="F262331" s="349">
        <v>0.25</v>
      </c>
    </row>
    <row r="262332" spans="1:6" ht="16">
      <c r="A262332" s="347" t="s">
        <v>344</v>
      </c>
      <c r="B262332" s="348" t="s">
        <v>574</v>
      </c>
      <c r="C262332" s="349">
        <v>0</v>
      </c>
      <c r="D262332" s="349">
        <f t="shared" si="18"/>
        <v>4.4999999999999998E-2</v>
      </c>
      <c r="E262332" s="349">
        <v>0</v>
      </c>
      <c r="F262332" s="349">
        <v>0.25</v>
      </c>
    </row>
    <row r="262333" spans="1:6" ht="16">
      <c r="A262333" s="347" t="s">
        <v>345</v>
      </c>
      <c r="B262333" s="348" t="s">
        <v>571</v>
      </c>
      <c r="C262333" s="349">
        <v>2.0743237044383835E-2</v>
      </c>
      <c r="D262333" s="349">
        <f t="shared" si="18"/>
        <v>7.2846542568870451E-2</v>
      </c>
      <c r="E262333" s="349">
        <v>2.7846542568870453E-2</v>
      </c>
      <c r="F262333" s="349">
        <v>0.25</v>
      </c>
    </row>
    <row r="262334" spans="1:6" ht="16">
      <c r="A262334" s="347" t="s">
        <v>693</v>
      </c>
      <c r="B262334" s="348" t="s">
        <v>578</v>
      </c>
      <c r="C262334" s="349">
        <v>3.9181669972725021E-2</v>
      </c>
      <c r="D262334" s="349">
        <f t="shared" si="18"/>
        <v>9.7599024852310853E-2</v>
      </c>
      <c r="E262334" s="349">
        <v>5.2599024852310855E-2</v>
      </c>
      <c r="F262334" s="349">
        <v>0.15</v>
      </c>
    </row>
    <row r="262335" spans="1:6" ht="16">
      <c r="A262335" s="347" t="s">
        <v>346</v>
      </c>
      <c r="B262335" s="348" t="s">
        <v>615</v>
      </c>
      <c r="C262335" s="349">
        <v>0.17499999999999999</v>
      </c>
      <c r="D262335" s="349">
        <f t="shared" si="18"/>
        <v>0.27992692770782934</v>
      </c>
      <c r="E262335" s="349">
        <v>0.23492692770782936</v>
      </c>
      <c r="F262335" s="349">
        <v>0.34</v>
      </c>
    </row>
    <row r="262336" spans="1:6" ht="16">
      <c r="A262336" s="347" t="s">
        <v>347</v>
      </c>
      <c r="B262336" s="348" t="s">
        <v>576</v>
      </c>
      <c r="C262336" s="349">
        <v>3.2779436317050999E-2</v>
      </c>
      <c r="D262336" s="349">
        <f t="shared" si="18"/>
        <v>8.9004412948338496E-2</v>
      </c>
      <c r="E262336" s="349">
        <v>4.4004412948338498E-2</v>
      </c>
      <c r="F262336" s="349">
        <v>0.2</v>
      </c>
    </row>
    <row r="262337" spans="1:6" ht="16">
      <c r="A262337" s="350" t="s">
        <v>868</v>
      </c>
      <c r="B262337" s="348" t="s">
        <v>687</v>
      </c>
      <c r="C262337" s="349">
        <v>0.10896601681957191</v>
      </c>
      <c r="D262337" s="349">
        <f t="shared" si="18"/>
        <v>0.19128029460560964</v>
      </c>
      <c r="E262337" s="349">
        <v>0.14628029460560965</v>
      </c>
      <c r="F262337" s="349">
        <v>0.2</v>
      </c>
    </row>
    <row r="262338" spans="1:6" ht="16">
      <c r="A262338" s="347" t="s">
        <v>348</v>
      </c>
      <c r="B262338" s="348" t="s">
        <v>689</v>
      </c>
      <c r="C262338" s="349">
        <v>0.10896601681957188</v>
      </c>
      <c r="D262338" s="349">
        <f t="shared" si="18"/>
        <v>0.19128029460560964</v>
      </c>
      <c r="E262338" s="349">
        <v>0.14628029460560965</v>
      </c>
      <c r="F262338" s="349">
        <v>0.35</v>
      </c>
    </row>
    <row r="262339" spans="1:6" ht="16">
      <c r="A262339" s="351" t="s">
        <v>612</v>
      </c>
      <c r="B262339" s="348" t="s">
        <v>687</v>
      </c>
      <c r="C262339" s="349">
        <v>9.8082219604926024E-2</v>
      </c>
      <c r="D262339" s="349">
        <f t="shared" si="18"/>
        <v>0.17666945436885656</v>
      </c>
      <c r="E262339" s="349">
        <v>0.13166945436885658</v>
      </c>
      <c r="F262339" s="349">
        <v>0.25</v>
      </c>
    </row>
    <row r="262344" spans="1:6">
      <c r="A262344" s="354" t="s">
        <v>352</v>
      </c>
      <c r="B262344" s="355" t="s">
        <v>376</v>
      </c>
      <c r="C262344" s="355" t="s">
        <v>869</v>
      </c>
      <c r="D262344" s="355" t="s">
        <v>694</v>
      </c>
      <c r="E262344" s="355" t="s">
        <v>870</v>
      </c>
    </row>
    <row r="262345" spans="1:6">
      <c r="A262345" s="356" t="s">
        <v>355</v>
      </c>
      <c r="B262345" s="357">
        <f>$B$1+E262345</f>
        <v>0.13663852306889546</v>
      </c>
      <c r="C262345" s="357">
        <v>6.8262679351091926E-2</v>
      </c>
      <c r="D262345" s="357">
        <v>0.27302836489005694</v>
      </c>
      <c r="E262345" s="357">
        <v>9.1638523068895444E-2</v>
      </c>
    </row>
    <row r="262346" spans="1:6">
      <c r="A262346" s="356" t="s">
        <v>428</v>
      </c>
      <c r="B262346" s="357">
        <f t="shared" ref="B262346:B262354" si="19">$B$1+E262346</f>
        <v>6.1805405008578562E-2</v>
      </c>
      <c r="C262346" s="357">
        <v>1.2518555898193178E-2</v>
      </c>
      <c r="D262346" s="357">
        <v>0.2576437502455447</v>
      </c>
      <c r="E262346" s="357">
        <v>1.6805405008578567E-2</v>
      </c>
    </row>
    <row r="262347" spans="1:6">
      <c r="A262347" s="356" t="s">
        <v>357</v>
      </c>
      <c r="B262347" s="357">
        <f t="shared" si="19"/>
        <v>4.5047923618641933E-2</v>
      </c>
      <c r="C262347" s="357">
        <v>3.5698901544265913E-5</v>
      </c>
      <c r="D262347" s="357">
        <v>0.29744361328762281</v>
      </c>
      <c r="E262347" s="357">
        <v>4.7923618641935289E-5</v>
      </c>
    </row>
    <row r="262348" spans="1:6">
      <c r="A262348" s="356" t="s">
        <v>359</v>
      </c>
      <c r="B262348" s="357">
        <f t="shared" si="19"/>
        <v>0.1865348819700155</v>
      </c>
      <c r="C262348" s="357">
        <v>0.1054310997313879</v>
      </c>
      <c r="D262348" s="357">
        <v>0.2724561140242252</v>
      </c>
      <c r="E262348" s="357">
        <v>0.14153488197001549</v>
      </c>
    </row>
    <row r="262349" spans="1:6">
      <c r="A262349" s="356" t="s">
        <v>356</v>
      </c>
      <c r="B262349" s="357">
        <f t="shared" si="19"/>
        <v>0.10261091058162494</v>
      </c>
      <c r="C262349" s="357">
        <v>4.2915086193622262E-2</v>
      </c>
      <c r="D262349" s="357">
        <v>0.31595749426030023</v>
      </c>
      <c r="E262349" s="357">
        <v>5.7610910581624951E-2</v>
      </c>
    </row>
    <row r="262350" spans="1:6">
      <c r="A262350" s="356" t="s">
        <v>354</v>
      </c>
      <c r="B262350" s="357">
        <f t="shared" si="19"/>
        <v>9.5579383477192262E-2</v>
      </c>
      <c r="C262350" s="357">
        <v>3.7670398345457844E-2</v>
      </c>
      <c r="D262350" s="357">
        <v>0.18485819102180306</v>
      </c>
      <c r="E262350" s="357">
        <v>5.0579383477192263E-2</v>
      </c>
    </row>
    <row r="262351" spans="1:6">
      <c r="A262351" s="356" t="s">
        <v>360</v>
      </c>
      <c r="B262351" s="357">
        <f t="shared" si="19"/>
        <v>6.6589990892489848E-2</v>
      </c>
      <c r="C262351" s="357">
        <v>1.6082653627874467E-2</v>
      </c>
      <c r="D262351" s="357">
        <v>0.18760152153615242</v>
      </c>
      <c r="E262351" s="357">
        <v>2.1589990892489853E-2</v>
      </c>
    </row>
    <row r="262352" spans="1:6">
      <c r="A262352" s="356" t="s">
        <v>362</v>
      </c>
      <c r="B262352" s="357">
        <f t="shared" si="19"/>
        <v>4.4999999999999998E-2</v>
      </c>
      <c r="C262352" s="357">
        <v>0</v>
      </c>
      <c r="D262352" s="357">
        <v>0.25116286561170831</v>
      </c>
      <c r="E262352" s="357">
        <v>0</v>
      </c>
    </row>
    <row r="262353" spans="1:5">
      <c r="A262353" s="356" t="s">
        <v>353</v>
      </c>
      <c r="B262353" s="357">
        <f t="shared" si="19"/>
        <v>5.7871606293643366E-2</v>
      </c>
      <c r="C262353" s="357">
        <v>9.5882201472833571E-3</v>
      </c>
      <c r="D262353" s="357">
        <v>0.24707349543413576</v>
      </c>
      <c r="E262353" s="357">
        <v>1.2871606293643371E-2</v>
      </c>
    </row>
    <row r="262354" spans="1:5">
      <c r="A262354" s="356" t="s">
        <v>491</v>
      </c>
      <c r="B262354" s="357">
        <f t="shared" si="19"/>
        <v>6.3100000000000003E-2</v>
      </c>
      <c r="C262354" s="357">
        <v>1.35E-2</v>
      </c>
      <c r="D262354" s="357">
        <v>0.25225942509764748</v>
      </c>
      <c r="E262354" s="357">
        <v>1.8100000000000002E-2</v>
      </c>
    </row>
    <row r="327681" spans="1:6">
      <c r="A327681" t="s">
        <v>613</v>
      </c>
      <c r="B327681" s="242">
        <v>4.5999999999999999E-2</v>
      </c>
      <c r="C327681" t="s">
        <v>847</v>
      </c>
    </row>
    <row r="327682" spans="1:6" ht="14">
      <c r="A327682" s="275" t="s">
        <v>686</v>
      </c>
      <c r="B327682" s="275"/>
      <c r="C327682" s="275"/>
      <c r="D327682" s="275"/>
      <c r="E327682" s="275"/>
      <c r="F327682" s="275"/>
    </row>
    <row r="327684" spans="1:6" ht="16">
      <c r="A327684" s="344" t="s">
        <v>349</v>
      </c>
      <c r="B327684" s="345" t="s">
        <v>566</v>
      </c>
      <c r="C327684" s="346" t="s">
        <v>350</v>
      </c>
      <c r="D327684" s="346" t="s">
        <v>567</v>
      </c>
      <c r="E327684" s="346" t="s">
        <v>351</v>
      </c>
      <c r="F327684" s="346" t="s">
        <v>519</v>
      </c>
    </row>
    <row r="327685" spans="1:6" ht="16">
      <c r="A327685" s="347" t="s">
        <v>481</v>
      </c>
      <c r="B327685" s="348" t="s">
        <v>568</v>
      </c>
      <c r="C327685" s="349">
        <v>5.3778762707661788E-3</v>
      </c>
      <c r="D327685" s="349">
        <f>$B$1+E327685</f>
        <v>5.2219473999336782E-2</v>
      </c>
      <c r="E327685" s="349">
        <v>7.219473999336784E-3</v>
      </c>
      <c r="F327685" s="349">
        <v>0.15</v>
      </c>
    </row>
    <row r="327686" spans="1:6" ht="16">
      <c r="A327686" s="347" t="s">
        <v>245</v>
      </c>
      <c r="B327686" s="348" t="s">
        <v>569</v>
      </c>
      <c r="C327686" s="349">
        <v>4.9041109802463012E-2</v>
      </c>
      <c r="D327686" s="349">
        <f t="shared" ref="D327686:D327749" si="20">$B$1+E327686</f>
        <v>0.11083472718442829</v>
      </c>
      <c r="E327686" s="349">
        <v>6.5834727184428288E-2</v>
      </c>
      <c r="F327686" s="349">
        <v>0.15</v>
      </c>
    </row>
    <row r="327687" spans="1:6" ht="16">
      <c r="A327687" s="350" t="s">
        <v>570</v>
      </c>
      <c r="B327687" s="348" t="s">
        <v>687</v>
      </c>
      <c r="C327687" s="349">
        <v>4.9041109802463012E-2</v>
      </c>
      <c r="D327687" s="349">
        <f t="shared" si="20"/>
        <v>0.11083472718442829</v>
      </c>
      <c r="E327687" s="349">
        <v>6.5834727184428288E-2</v>
      </c>
      <c r="F327687" s="349">
        <v>0.26</v>
      </c>
    </row>
    <row r="327688" spans="1:6" ht="16">
      <c r="A327688" s="347" t="s">
        <v>499</v>
      </c>
      <c r="B327688" s="348" t="s">
        <v>571</v>
      </c>
      <c r="C327688" s="349">
        <v>2.0743237044383835E-2</v>
      </c>
      <c r="D327688" s="349">
        <f t="shared" si="20"/>
        <v>7.2846542568870451E-2</v>
      </c>
      <c r="E327688" s="349">
        <v>2.7846542568870453E-2</v>
      </c>
      <c r="F327688" s="349">
        <v>0.1898</v>
      </c>
    </row>
    <row r="327689" spans="1:6" ht="16">
      <c r="A327689" s="347" t="s">
        <v>246</v>
      </c>
      <c r="B327689" s="348" t="s">
        <v>581</v>
      </c>
      <c r="C327689" s="349">
        <v>7.0808704231754685E-2</v>
      </c>
      <c r="D327689" s="349">
        <f t="shared" si="20"/>
        <v>0.14005640765793431</v>
      </c>
      <c r="E327689" s="349">
        <v>9.5056407657934314E-2</v>
      </c>
      <c r="F327689" s="349">
        <v>0.25</v>
      </c>
    </row>
    <row r="327690" spans="1:6" ht="16">
      <c r="A327690" s="347" t="s">
        <v>848</v>
      </c>
      <c r="B327690" s="154" t="s">
        <v>687</v>
      </c>
      <c r="C327690" s="277">
        <v>0.1054310997313879</v>
      </c>
      <c r="D327690" s="349">
        <f t="shared" si="20"/>
        <v>0.23253488197001548</v>
      </c>
      <c r="E327690" s="277">
        <v>0.1875348819700155</v>
      </c>
      <c r="F327690" s="277">
        <v>0.2724561140242252</v>
      </c>
    </row>
    <row r="327691" spans="1:6" ht="16">
      <c r="A327691" s="347" t="s">
        <v>849</v>
      </c>
      <c r="B327691" s="154" t="s">
        <v>687</v>
      </c>
      <c r="C327691" s="277">
        <v>0.1054310997313879</v>
      </c>
      <c r="D327691" s="349">
        <f t="shared" si="20"/>
        <v>0.23253488197001548</v>
      </c>
      <c r="E327691" s="277">
        <v>0.1875348819700155</v>
      </c>
      <c r="F327691" s="277">
        <v>0.2724561140242252</v>
      </c>
    </row>
    <row r="327692" spans="1:6" ht="16">
      <c r="A327692" s="347" t="s">
        <v>247</v>
      </c>
      <c r="B327692" s="348" t="s">
        <v>688</v>
      </c>
      <c r="C327692" s="349">
        <v>0.13073361124886354</v>
      </c>
      <c r="D327692" s="349">
        <f t="shared" si="20"/>
        <v>0.22050197507911562</v>
      </c>
      <c r="E327692" s="349">
        <v>0.17550197507911564</v>
      </c>
      <c r="F327692" s="349">
        <v>0.35</v>
      </c>
    </row>
    <row r="327693" spans="1:6" ht="16">
      <c r="A327693" s="347" t="s">
        <v>248</v>
      </c>
      <c r="B327693" s="348" t="s">
        <v>578</v>
      </c>
      <c r="C327693" s="349">
        <v>3.9181669972725021E-2</v>
      </c>
      <c r="D327693" s="349">
        <f t="shared" si="20"/>
        <v>9.7599024852310853E-2</v>
      </c>
      <c r="E327693" s="349">
        <v>5.2599024852310855E-2</v>
      </c>
      <c r="F327693" s="349">
        <v>0.18</v>
      </c>
    </row>
    <row r="327694" spans="1:6" ht="16">
      <c r="A327694" s="347" t="s">
        <v>249</v>
      </c>
      <c r="B327694" s="348" t="s">
        <v>571</v>
      </c>
      <c r="C327694" s="349">
        <v>2.0743237044383835E-2</v>
      </c>
      <c r="D327694" s="349">
        <f t="shared" si="20"/>
        <v>7.2846542568870451E-2</v>
      </c>
      <c r="E327694" s="349">
        <v>2.7846542568870453E-2</v>
      </c>
      <c r="F327694" s="349">
        <v>0.25</v>
      </c>
    </row>
    <row r="327695" spans="1:6" ht="16">
      <c r="A327695" s="347" t="s">
        <v>250</v>
      </c>
      <c r="B327695" s="348" t="s">
        <v>574</v>
      </c>
      <c r="C327695" s="349">
        <v>0</v>
      </c>
      <c r="D327695" s="349">
        <f t="shared" si="20"/>
        <v>4.4999999999999998E-2</v>
      </c>
      <c r="E327695" s="349">
        <v>0</v>
      </c>
      <c r="F327695" s="349">
        <v>0.3</v>
      </c>
    </row>
    <row r="327696" spans="1:6" ht="16">
      <c r="A327696" s="347" t="s">
        <v>251</v>
      </c>
      <c r="B327696" s="348" t="s">
        <v>575</v>
      </c>
      <c r="C327696" s="349">
        <v>4.3535188858583353E-3</v>
      </c>
      <c r="D327696" s="349">
        <f t="shared" si="20"/>
        <v>5.0844336094701202E-2</v>
      </c>
      <c r="E327696" s="349">
        <v>5.8443360947012038E-3</v>
      </c>
      <c r="F327696" s="349">
        <v>0.24</v>
      </c>
    </row>
    <row r="327697" spans="1:6" ht="16">
      <c r="A327697" s="347" t="s">
        <v>358</v>
      </c>
      <c r="B327697" s="348" t="s">
        <v>589</v>
      </c>
      <c r="C327697" s="349">
        <v>2.7273515373171343E-2</v>
      </c>
      <c r="D327697" s="349">
        <f t="shared" si="20"/>
        <v>8.161304671092226E-2</v>
      </c>
      <c r="E327697" s="349">
        <v>3.6613046710922262E-2</v>
      </c>
      <c r="F327697" s="349">
        <v>0.2</v>
      </c>
    </row>
    <row r="327698" spans="1:6" ht="16">
      <c r="A327698" s="347" t="s">
        <v>252</v>
      </c>
      <c r="B327698" s="348" t="s">
        <v>569</v>
      </c>
      <c r="C327698" s="349">
        <v>4.9041109802463012E-2</v>
      </c>
      <c r="D327698" s="349">
        <f t="shared" si="20"/>
        <v>0.11083472718442829</v>
      </c>
      <c r="E327698" s="349">
        <v>6.5834727184428288E-2</v>
      </c>
      <c r="F327698" s="349">
        <v>0</v>
      </c>
    </row>
    <row r="327699" spans="1:6" ht="16">
      <c r="A327699" s="347" t="s">
        <v>253</v>
      </c>
      <c r="B327699" s="348" t="s">
        <v>572</v>
      </c>
      <c r="C327699" s="349">
        <v>5.9924907017108855E-2</v>
      </c>
      <c r="D327699" s="349">
        <f t="shared" si="20"/>
        <v>0.12544556742118129</v>
      </c>
      <c r="E327699" s="349">
        <v>8.0445567421181294E-2</v>
      </c>
      <c r="F327699" s="349">
        <v>0</v>
      </c>
    </row>
    <row r="327700" spans="1:6" ht="16">
      <c r="A327700" s="347" t="s">
        <v>254</v>
      </c>
      <c r="B327700" s="348" t="s">
        <v>569</v>
      </c>
      <c r="C327700" s="349">
        <v>4.9041109802463012E-2</v>
      </c>
      <c r="D327700" s="349">
        <f t="shared" si="20"/>
        <v>0.11083472718442829</v>
      </c>
      <c r="E327700" s="349">
        <v>6.5834727184428288E-2</v>
      </c>
      <c r="F327700" s="349">
        <v>0.3</v>
      </c>
    </row>
    <row r="327701" spans="1:6" ht="16">
      <c r="A327701" s="347" t="s">
        <v>255</v>
      </c>
      <c r="B327701" s="348" t="s">
        <v>581</v>
      </c>
      <c r="C327701" s="349">
        <v>7.0808704231754685E-2</v>
      </c>
      <c r="D327701" s="349">
        <f t="shared" si="20"/>
        <v>0.14005640765793431</v>
      </c>
      <c r="E327701" s="349">
        <v>9.5056407657934314E-2</v>
      </c>
      <c r="F327701" s="349">
        <v>5.5E-2</v>
      </c>
    </row>
    <row r="327702" spans="1:6" ht="16">
      <c r="A327702" s="347" t="s">
        <v>256</v>
      </c>
      <c r="B327702" s="348" t="s">
        <v>615</v>
      </c>
      <c r="C327702" s="349">
        <v>0.17499999999999999</v>
      </c>
      <c r="D327702" s="349">
        <f t="shared" si="20"/>
        <v>0.27992692770782934</v>
      </c>
      <c r="E327702" s="349">
        <v>0.23492692770782936</v>
      </c>
      <c r="F327702" s="349">
        <v>0.18</v>
      </c>
    </row>
    <row r="327703" spans="1:6" ht="16">
      <c r="A327703" s="347" t="s">
        <v>257</v>
      </c>
      <c r="B327703" s="348" t="s">
        <v>580</v>
      </c>
      <c r="C327703" s="349">
        <v>6.5302783287875029E-3</v>
      </c>
      <c r="D327703" s="349">
        <f t="shared" si="20"/>
        <v>5.3766504142051808E-2</v>
      </c>
      <c r="E327703" s="349">
        <v>8.7665041420518092E-3</v>
      </c>
      <c r="F327703" s="349">
        <v>0.25</v>
      </c>
    </row>
    <row r="327704" spans="1:6" ht="16">
      <c r="A327704" s="347" t="s">
        <v>361</v>
      </c>
      <c r="B327704" s="348" t="s">
        <v>586</v>
      </c>
      <c r="C327704" s="349">
        <v>9.8082219604926024E-2</v>
      </c>
      <c r="D327704" s="349">
        <f t="shared" si="20"/>
        <v>0.17666945436885656</v>
      </c>
      <c r="E327704" s="349">
        <v>0.13166945436885658</v>
      </c>
      <c r="F327704" s="349">
        <v>0.2853</v>
      </c>
    </row>
    <row r="327705" spans="1:6" ht="16">
      <c r="A327705" s="347" t="s">
        <v>582</v>
      </c>
      <c r="B327705" s="348" t="s">
        <v>569</v>
      </c>
      <c r="C327705" s="349">
        <v>4.9041109802463012E-2</v>
      </c>
      <c r="D327705" s="349">
        <f t="shared" si="20"/>
        <v>0.11083472718442829</v>
      </c>
      <c r="E327705" s="349">
        <v>6.5834727184428288E-2</v>
      </c>
      <c r="F327705" s="349">
        <v>0.3</v>
      </c>
    </row>
    <row r="327706" spans="1:6" ht="16">
      <c r="A327706" s="347" t="s">
        <v>258</v>
      </c>
      <c r="B327706" s="348" t="s">
        <v>583</v>
      </c>
      <c r="C327706" s="349">
        <v>9.2192164641705932E-3</v>
      </c>
      <c r="D327706" s="349">
        <f t="shared" si="20"/>
        <v>5.73762411417202E-2</v>
      </c>
      <c r="E327706" s="349">
        <v>1.2376241141720201E-2</v>
      </c>
      <c r="F327706" s="349">
        <v>0</v>
      </c>
    </row>
    <row r="327707" spans="1:6" ht="16">
      <c r="A327707" s="347" t="s">
        <v>259</v>
      </c>
      <c r="B327707" s="348" t="s">
        <v>579</v>
      </c>
      <c r="C327707" s="349">
        <v>8.1692501446400528E-2</v>
      </c>
      <c r="D327707" s="349">
        <f t="shared" si="20"/>
        <v>0.15466724789468733</v>
      </c>
      <c r="E327707" s="349">
        <v>0.10966724789468733</v>
      </c>
      <c r="F327707" s="349">
        <v>0.25</v>
      </c>
    </row>
    <row r="327708" spans="1:6" ht="16">
      <c r="A327708" s="347" t="s">
        <v>260</v>
      </c>
      <c r="B327708" s="348" t="s">
        <v>581</v>
      </c>
      <c r="C327708" s="349">
        <v>7.0808704231754685E-2</v>
      </c>
      <c r="D327708" s="349">
        <f t="shared" si="20"/>
        <v>0.14005640765793431</v>
      </c>
      <c r="E327708" s="349">
        <v>9.5056407657934314E-2</v>
      </c>
      <c r="F327708" s="349">
        <v>0.1</v>
      </c>
    </row>
    <row r="327709" spans="1:6" ht="16">
      <c r="A327709" s="347" t="s">
        <v>261</v>
      </c>
      <c r="B327709" s="348" t="s">
        <v>587</v>
      </c>
      <c r="C327709" s="349">
        <v>1.3060556657575006E-2</v>
      </c>
      <c r="D327709" s="349">
        <f t="shared" si="20"/>
        <v>6.2533008284103617E-2</v>
      </c>
      <c r="E327709" s="349">
        <v>1.7533008284103618E-2</v>
      </c>
      <c r="F327709" s="349">
        <v>0.22</v>
      </c>
    </row>
    <row r="327710" spans="1:6" ht="16">
      <c r="A327710" s="347" t="s">
        <v>262</v>
      </c>
      <c r="B327710" s="348" t="s">
        <v>576</v>
      </c>
      <c r="C327710" s="349">
        <v>3.2779436317050999E-2</v>
      </c>
      <c r="D327710" s="349">
        <f t="shared" si="20"/>
        <v>8.9004412948338496E-2</v>
      </c>
      <c r="E327710" s="349">
        <v>4.4004412948338498E-2</v>
      </c>
      <c r="F327710" s="349">
        <v>0.34</v>
      </c>
    </row>
    <row r="327711" spans="1:6" ht="16">
      <c r="A327711" s="347" t="s">
        <v>850</v>
      </c>
      <c r="B327711" s="348" t="s">
        <v>576</v>
      </c>
      <c r="C327711" s="349">
        <v>3.2779436317050999E-2</v>
      </c>
      <c r="D327711" s="349">
        <f t="shared" si="20"/>
        <v>8.9004412948338496E-2</v>
      </c>
      <c r="E327711" s="349">
        <v>4.4004412948338498E-2</v>
      </c>
      <c r="F327711" s="349">
        <v>0.34</v>
      </c>
    </row>
    <row r="327712" spans="1:6" ht="16">
      <c r="A327712" s="351" t="s">
        <v>584</v>
      </c>
      <c r="B327712" s="348" t="s">
        <v>687</v>
      </c>
      <c r="C327712" s="349">
        <v>6.5302783287875029E-3</v>
      </c>
      <c r="D327712" s="349">
        <f t="shared" si="20"/>
        <v>5.3766504142051808E-2</v>
      </c>
      <c r="E327712" s="349">
        <v>8.7665041420518092E-3</v>
      </c>
      <c r="F327712" s="349">
        <v>0.185</v>
      </c>
    </row>
    <row r="327713" spans="1:6" ht="16">
      <c r="A327713" s="347" t="s">
        <v>263</v>
      </c>
      <c r="B327713" s="348" t="s">
        <v>573</v>
      </c>
      <c r="C327713" s="349">
        <v>1.7414075543433341E-2</v>
      </c>
      <c r="D327713" s="349">
        <f t="shared" si="20"/>
        <v>6.8377344378804827E-2</v>
      </c>
      <c r="E327713" s="349">
        <v>2.3377344378804829E-2</v>
      </c>
      <c r="F327713" s="349">
        <v>0.1</v>
      </c>
    </row>
    <row r="327714" spans="1:6" ht="16">
      <c r="A327714" s="347" t="s">
        <v>482</v>
      </c>
      <c r="B327714" s="348" t="s">
        <v>579</v>
      </c>
      <c r="C327714" s="349">
        <v>8.1692501446400528E-2</v>
      </c>
      <c r="D327714" s="349">
        <f t="shared" si="20"/>
        <v>0.15466724789468733</v>
      </c>
      <c r="E327714" s="349">
        <v>0.10966724789468733</v>
      </c>
      <c r="F327714" s="349">
        <v>0.28000000000000003</v>
      </c>
    </row>
    <row r="327715" spans="1:6" ht="16">
      <c r="A327715" s="347" t="s">
        <v>264</v>
      </c>
      <c r="B327715" s="348" t="s">
        <v>572</v>
      </c>
      <c r="C327715" s="349">
        <v>5.9924907017108855E-2</v>
      </c>
      <c r="D327715" s="349">
        <f t="shared" si="20"/>
        <v>0.12544556742118129</v>
      </c>
      <c r="E327715" s="349">
        <v>8.0445567421181294E-2</v>
      </c>
      <c r="F327715" s="349">
        <v>0.2</v>
      </c>
    </row>
    <row r="327716" spans="1:6" ht="16">
      <c r="A327716" s="347" t="s">
        <v>483</v>
      </c>
      <c r="B327716" s="348" t="s">
        <v>579</v>
      </c>
      <c r="C327716" s="349">
        <v>8.1692501446400528E-2</v>
      </c>
      <c r="D327716" s="349">
        <f t="shared" si="20"/>
        <v>0.15466724789468733</v>
      </c>
      <c r="E327716" s="349">
        <v>0.10966724789468733</v>
      </c>
      <c r="F327716" s="349">
        <v>0.33</v>
      </c>
    </row>
    <row r="327717" spans="1:6" ht="16">
      <c r="A327717" s="347" t="s">
        <v>265</v>
      </c>
      <c r="B327717" s="348" t="s">
        <v>574</v>
      </c>
      <c r="C327717" s="349">
        <v>0</v>
      </c>
      <c r="D327717" s="349">
        <f t="shared" si="20"/>
        <v>4.4999999999999998E-2</v>
      </c>
      <c r="E327717" s="349">
        <v>0</v>
      </c>
      <c r="F327717" s="349">
        <v>0.26500000000000001</v>
      </c>
    </row>
    <row r="327718" spans="1:6" ht="16">
      <c r="A327718" s="347" t="s">
        <v>484</v>
      </c>
      <c r="B327718" s="348" t="s">
        <v>581</v>
      </c>
      <c r="C327718" s="349">
        <v>7.0808704231754685E-2</v>
      </c>
      <c r="D327718" s="349">
        <f t="shared" si="20"/>
        <v>0.14005640765793431</v>
      </c>
      <c r="E327718" s="349">
        <v>9.5056407657934314E-2</v>
      </c>
      <c r="F327718" s="349">
        <v>0</v>
      </c>
    </row>
    <row r="327719" spans="1:6" ht="16">
      <c r="A327719" s="347" t="s">
        <v>266</v>
      </c>
      <c r="B327719" s="348" t="s">
        <v>580</v>
      </c>
      <c r="C327719" s="349">
        <v>6.5302783287875029E-3</v>
      </c>
      <c r="D327719" s="349">
        <f t="shared" si="20"/>
        <v>5.3766504142051808E-2</v>
      </c>
      <c r="E327719" s="349">
        <v>8.7665041420518092E-3</v>
      </c>
      <c r="F327719" s="349">
        <v>0</v>
      </c>
    </row>
    <row r="327720" spans="1:6" ht="16">
      <c r="A327720" s="347" t="s">
        <v>851</v>
      </c>
      <c r="B327720" s="154" t="s">
        <v>687</v>
      </c>
      <c r="C327720" s="277">
        <v>9.5882201472833571E-3</v>
      </c>
      <c r="D327720" s="349">
        <f t="shared" si="20"/>
        <v>0.10387160629364336</v>
      </c>
      <c r="E327720" s="277">
        <v>5.8871606293643367E-2</v>
      </c>
      <c r="F327720" s="277">
        <v>0.24707349543413576</v>
      </c>
    </row>
    <row r="327721" spans="1:6" ht="16">
      <c r="A327721" s="347" t="s">
        <v>267</v>
      </c>
      <c r="B327721" s="348" t="s">
        <v>583</v>
      </c>
      <c r="C327721" s="349">
        <v>9.2192164641705932E-3</v>
      </c>
      <c r="D327721" s="349">
        <f t="shared" si="20"/>
        <v>5.73762411417202E-2</v>
      </c>
      <c r="E327721" s="349">
        <v>1.2376241141720201E-2</v>
      </c>
      <c r="F327721" s="349">
        <v>0.27</v>
      </c>
    </row>
    <row r="327722" spans="1:6" ht="16">
      <c r="A327722" s="347" t="s">
        <v>268</v>
      </c>
      <c r="B327722" s="348" t="s">
        <v>585</v>
      </c>
      <c r="C327722" s="349">
        <v>7.6826803868088279E-3</v>
      </c>
      <c r="D327722" s="349">
        <f t="shared" si="20"/>
        <v>5.5313534284766833E-2</v>
      </c>
      <c r="E327722" s="349">
        <v>1.0313534284766834E-2</v>
      </c>
      <c r="F327722" s="349">
        <v>0.25</v>
      </c>
    </row>
    <row r="327723" spans="1:6" ht="16">
      <c r="A327723" s="347" t="s">
        <v>269</v>
      </c>
      <c r="B327723" s="348" t="s">
        <v>571</v>
      </c>
      <c r="C327723" s="349">
        <v>2.0743237044383835E-2</v>
      </c>
      <c r="D327723" s="349">
        <f t="shared" si="20"/>
        <v>7.2846542568870451E-2</v>
      </c>
      <c r="E327723" s="349">
        <v>2.7846542568870453E-2</v>
      </c>
      <c r="F327723" s="349">
        <v>0.35</v>
      </c>
    </row>
    <row r="327724" spans="1:6" ht="16">
      <c r="A327724" s="347" t="s">
        <v>500</v>
      </c>
      <c r="B327724" s="348" t="s">
        <v>581</v>
      </c>
      <c r="C327724" s="349">
        <v>7.0808704231754685E-2</v>
      </c>
      <c r="D327724" s="349">
        <f t="shared" si="20"/>
        <v>0.14005640765793431</v>
      </c>
      <c r="E327724" s="349">
        <v>9.5056407657934314E-2</v>
      </c>
      <c r="F327724" s="349">
        <v>0.3</v>
      </c>
    </row>
    <row r="327725" spans="1:6" ht="16">
      <c r="A327725" s="347" t="s">
        <v>501</v>
      </c>
      <c r="B327725" s="348" t="s">
        <v>586</v>
      </c>
      <c r="C327725" s="349">
        <v>9.8082219604926024E-2</v>
      </c>
      <c r="D327725" s="349">
        <f t="shared" si="20"/>
        <v>0.17666945436885656</v>
      </c>
      <c r="E327725" s="349">
        <v>0.13166945436885658</v>
      </c>
      <c r="F327725" s="349">
        <v>0.28000000000000003</v>
      </c>
    </row>
    <row r="327726" spans="1:6" ht="16">
      <c r="A327726" s="347" t="s">
        <v>485</v>
      </c>
      <c r="B327726" s="348" t="s">
        <v>569</v>
      </c>
      <c r="C327726" s="349">
        <v>4.9041109802463012E-2</v>
      </c>
      <c r="D327726" s="349">
        <f t="shared" si="20"/>
        <v>0.11083472718442829</v>
      </c>
      <c r="E327726" s="349">
        <v>6.5834727184428288E-2</v>
      </c>
      <c r="F327726" s="349">
        <v>0.2974</v>
      </c>
    </row>
    <row r="327727" spans="1:6" ht="16">
      <c r="A327727" s="347" t="s">
        <v>270</v>
      </c>
      <c r="B327727" s="348" t="s">
        <v>569</v>
      </c>
      <c r="C327727" s="349">
        <v>4.9041109802463012E-2</v>
      </c>
      <c r="D327727" s="349">
        <f t="shared" si="20"/>
        <v>0.11083472718442829</v>
      </c>
      <c r="E327727" s="349">
        <v>6.5834727184428288E-2</v>
      </c>
      <c r="F327727" s="349">
        <v>0.3</v>
      </c>
    </row>
    <row r="327728" spans="1:6" ht="16">
      <c r="A327728" s="347" t="s">
        <v>271</v>
      </c>
      <c r="B327728" s="348" t="s">
        <v>571</v>
      </c>
      <c r="C327728" s="349">
        <v>2.0743237044383835E-2</v>
      </c>
      <c r="D327728" s="349">
        <f t="shared" si="20"/>
        <v>7.2846542568870451E-2</v>
      </c>
      <c r="E327728" s="349">
        <v>2.7846542568870453E-2</v>
      </c>
      <c r="F327728" s="349">
        <v>0.18</v>
      </c>
    </row>
    <row r="327729" spans="1:6" ht="16">
      <c r="A327729" s="347" t="s">
        <v>363</v>
      </c>
      <c r="B327729" s="348" t="s">
        <v>688</v>
      </c>
      <c r="C327729" s="349">
        <v>0.13073361124886354</v>
      </c>
      <c r="D327729" s="349">
        <f t="shared" si="20"/>
        <v>0.22050197507911562</v>
      </c>
      <c r="E327729" s="349">
        <v>0.17550197507911564</v>
      </c>
      <c r="F327729" s="349">
        <v>0.2853</v>
      </c>
    </row>
    <row r="327730" spans="1:6" ht="16">
      <c r="A327730" s="352" t="s">
        <v>852</v>
      </c>
      <c r="B327730" s="348" t="s">
        <v>571</v>
      </c>
      <c r="C327730" s="349">
        <v>2.0743237044383835E-2</v>
      </c>
      <c r="D327730" s="349">
        <f t="shared" si="20"/>
        <v>7.2846542568870451E-2</v>
      </c>
      <c r="E327730" s="349">
        <v>2.7846542568870453E-2</v>
      </c>
      <c r="F327730" s="349">
        <v>0.22</v>
      </c>
    </row>
    <row r="327731" spans="1:6" ht="16">
      <c r="A327731" s="347" t="s">
        <v>272</v>
      </c>
      <c r="B327731" s="348" t="s">
        <v>571</v>
      </c>
      <c r="C327731" s="349">
        <v>2.0743237044383835E-2</v>
      </c>
      <c r="D327731" s="349">
        <f t="shared" si="20"/>
        <v>7.2846542568870451E-2</v>
      </c>
      <c r="E327731" s="349">
        <v>2.7846542568870453E-2</v>
      </c>
      <c r="F327731" s="349">
        <v>0.125</v>
      </c>
    </row>
    <row r="327732" spans="1:6" ht="16">
      <c r="A327732" s="347" t="s">
        <v>273</v>
      </c>
      <c r="B327732" s="348" t="s">
        <v>580</v>
      </c>
      <c r="C327732" s="349">
        <v>6.5302783287875029E-3</v>
      </c>
      <c r="D327732" s="349">
        <f t="shared" si="20"/>
        <v>5.3766504142051808E-2</v>
      </c>
      <c r="E327732" s="349">
        <v>8.7665041420518092E-3</v>
      </c>
      <c r="F327732" s="349">
        <v>0.19</v>
      </c>
    </row>
    <row r="327733" spans="1:6" ht="16">
      <c r="A327733" s="347" t="s">
        <v>274</v>
      </c>
      <c r="B327733" s="348" t="s">
        <v>574</v>
      </c>
      <c r="C327733" s="349">
        <v>0</v>
      </c>
      <c r="D327733" s="349">
        <f t="shared" si="20"/>
        <v>4.4999999999999998E-2</v>
      </c>
      <c r="E327733" s="349">
        <v>0</v>
      </c>
      <c r="F327733" s="349">
        <v>0.22</v>
      </c>
    </row>
    <row r="327734" spans="1:6" ht="16">
      <c r="A327734" s="347" t="s">
        <v>275</v>
      </c>
      <c r="B327734" s="348" t="s">
        <v>578</v>
      </c>
      <c r="C327734" s="349">
        <v>3.9181669972725021E-2</v>
      </c>
      <c r="D327734" s="349">
        <f t="shared" si="20"/>
        <v>9.7599024852310853E-2</v>
      </c>
      <c r="E327734" s="349">
        <v>5.2599024852310855E-2</v>
      </c>
      <c r="F327734" s="349">
        <v>0.27</v>
      </c>
    </row>
    <row r="327735" spans="1:6" ht="16">
      <c r="A327735" s="347" t="s">
        <v>276</v>
      </c>
      <c r="B327735" s="348" t="s">
        <v>689</v>
      </c>
      <c r="C327735" s="349">
        <v>0.10896601681957188</v>
      </c>
      <c r="D327735" s="349">
        <f t="shared" si="20"/>
        <v>0.19128029460560964</v>
      </c>
      <c r="E327735" s="349">
        <v>0.14628029460560965</v>
      </c>
      <c r="F327735" s="349">
        <v>0.25</v>
      </c>
    </row>
    <row r="327736" spans="1:6" ht="16">
      <c r="A327736" s="347" t="s">
        <v>277</v>
      </c>
      <c r="B327736" s="348" t="s">
        <v>579</v>
      </c>
      <c r="C327736" s="349">
        <v>8.1692501446400528E-2</v>
      </c>
      <c r="D327736" s="349">
        <f t="shared" si="20"/>
        <v>0.15466724789468733</v>
      </c>
      <c r="E327736" s="349">
        <v>0.10966724789468733</v>
      </c>
      <c r="F327736" s="349">
        <v>0.22500000000000001</v>
      </c>
    </row>
    <row r="327737" spans="1:6" ht="16">
      <c r="A327737" s="347" t="s">
        <v>364</v>
      </c>
      <c r="B327737" s="348" t="s">
        <v>689</v>
      </c>
      <c r="C327737" s="349">
        <v>0.10896601681957188</v>
      </c>
      <c r="D327737" s="349">
        <f t="shared" si="20"/>
        <v>0.19128029460560964</v>
      </c>
      <c r="E327737" s="349">
        <v>0.14628029460560965</v>
      </c>
      <c r="F327737" s="349">
        <v>0.3</v>
      </c>
    </row>
    <row r="327738" spans="1:6" ht="16">
      <c r="A327738" s="347" t="s">
        <v>278</v>
      </c>
      <c r="B327738" s="348" t="s">
        <v>585</v>
      </c>
      <c r="C327738" s="349">
        <v>7.6826803868088279E-3</v>
      </c>
      <c r="D327738" s="349">
        <f t="shared" si="20"/>
        <v>5.5313534284766833E-2</v>
      </c>
      <c r="E327738" s="349">
        <v>1.0313534284766834E-2</v>
      </c>
      <c r="F327738" s="349">
        <v>0.2</v>
      </c>
    </row>
    <row r="327739" spans="1:6" ht="16">
      <c r="A327739" s="347" t="s">
        <v>502</v>
      </c>
      <c r="B327739" s="348" t="s">
        <v>586</v>
      </c>
      <c r="C327739" s="349">
        <v>9.8082219604926024E-2</v>
      </c>
      <c r="D327739" s="349">
        <f t="shared" si="20"/>
        <v>0.17666945436885656</v>
      </c>
      <c r="E327739" s="349">
        <v>0.13166945436885658</v>
      </c>
      <c r="F327739" s="349">
        <v>0.3</v>
      </c>
    </row>
    <row r="327740" spans="1:6" ht="16">
      <c r="A327740" s="347" t="s">
        <v>853</v>
      </c>
      <c r="B327740" s="154" t="s">
        <v>687</v>
      </c>
      <c r="C327740" s="277">
        <v>4.2915086193622262E-2</v>
      </c>
      <c r="D327740" s="349">
        <f t="shared" si="20"/>
        <v>0.14861091058162493</v>
      </c>
      <c r="E327740" s="277">
        <v>0.10361091058162493</v>
      </c>
      <c r="F327740" s="277">
        <v>0.31595749426030023</v>
      </c>
    </row>
    <row r="327741" spans="1:6" ht="16">
      <c r="A327741" s="347" t="s">
        <v>279</v>
      </c>
      <c r="B327741" s="348" t="s">
        <v>569</v>
      </c>
      <c r="C327741" s="349">
        <v>4.9041109802463012E-2</v>
      </c>
      <c r="D327741" s="349">
        <f t="shared" si="20"/>
        <v>0.11083472718442829</v>
      </c>
      <c r="E327741" s="349">
        <v>6.5834727184428288E-2</v>
      </c>
      <c r="F327741" s="349">
        <v>0.2</v>
      </c>
    </row>
    <row r="327742" spans="1:6" ht="16">
      <c r="A327742" s="347" t="s">
        <v>280</v>
      </c>
      <c r="B327742" s="348" t="s">
        <v>575</v>
      </c>
      <c r="C327742" s="349">
        <v>4.3535188858583353E-3</v>
      </c>
      <c r="D327742" s="349">
        <f t="shared" si="20"/>
        <v>5.0844336094701202E-2</v>
      </c>
      <c r="E327742" s="349">
        <v>5.8443360947012038E-3</v>
      </c>
      <c r="F327742" s="349">
        <v>0.2</v>
      </c>
    </row>
    <row r="327743" spans="1:6" ht="16">
      <c r="A327743" s="347" t="s">
        <v>281</v>
      </c>
      <c r="B327743" s="348" t="s">
        <v>568</v>
      </c>
      <c r="C327743" s="349">
        <v>5.3778762707661788E-3</v>
      </c>
      <c r="D327743" s="349">
        <f t="shared" si="20"/>
        <v>5.2219473999336782E-2</v>
      </c>
      <c r="E327743" s="349">
        <v>7.219473999336784E-3</v>
      </c>
      <c r="F327743" s="349">
        <v>0.25</v>
      </c>
    </row>
    <row r="327744" spans="1:6" ht="16">
      <c r="A327744" s="347" t="s">
        <v>854</v>
      </c>
      <c r="B327744" s="154" t="s">
        <v>687</v>
      </c>
      <c r="C327744" s="277">
        <v>4.2915086193622262E-2</v>
      </c>
      <c r="D327744" s="349">
        <f t="shared" si="20"/>
        <v>0.14861091058162493</v>
      </c>
      <c r="E327744" s="277">
        <v>0.10361091058162493</v>
      </c>
      <c r="F327744" s="277">
        <v>0.31595749426030023</v>
      </c>
    </row>
    <row r="327745" spans="1:6" ht="16">
      <c r="A327745" s="347" t="s">
        <v>486</v>
      </c>
      <c r="B327745" s="348" t="s">
        <v>579</v>
      </c>
      <c r="C327745" s="349">
        <v>8.1692501446400528E-2</v>
      </c>
      <c r="D327745" s="349">
        <f t="shared" si="20"/>
        <v>0.15466724789468733</v>
      </c>
      <c r="E327745" s="349">
        <v>0.10966724789468733</v>
      </c>
      <c r="F327745" s="349">
        <v>0.3</v>
      </c>
    </row>
    <row r="327746" spans="1:6" ht="16">
      <c r="A327746" s="350" t="s">
        <v>588</v>
      </c>
      <c r="B327746" s="348" t="s">
        <v>687</v>
      </c>
      <c r="C327746" s="349">
        <v>4.9041109802463012E-2</v>
      </c>
      <c r="D327746" s="349">
        <f t="shared" si="20"/>
        <v>0.11083472718442829</v>
      </c>
      <c r="E327746" s="349">
        <v>6.5834727184428288E-2</v>
      </c>
      <c r="F327746" s="349">
        <v>0.31</v>
      </c>
    </row>
    <row r="327747" spans="1:6" ht="16">
      <c r="A327747" s="347" t="s">
        <v>365</v>
      </c>
      <c r="B327747" s="348" t="s">
        <v>576</v>
      </c>
      <c r="C327747" s="349">
        <v>3.2779436317050999E-2</v>
      </c>
      <c r="D327747" s="349">
        <f t="shared" si="20"/>
        <v>8.9004412948338496E-2</v>
      </c>
      <c r="E327747" s="349">
        <v>4.4004412948338498E-2</v>
      </c>
      <c r="F327747" s="349">
        <v>0.15</v>
      </c>
    </row>
    <row r="327748" spans="1:6" ht="16">
      <c r="A327748" s="347" t="s">
        <v>282</v>
      </c>
      <c r="B327748" s="348" t="s">
        <v>574</v>
      </c>
      <c r="C327748" s="349">
        <v>0</v>
      </c>
      <c r="D327748" s="349">
        <f t="shared" si="20"/>
        <v>4.4999999999999998E-2</v>
      </c>
      <c r="E327748" s="349">
        <v>0</v>
      </c>
      <c r="F327748" s="349">
        <v>0.3</v>
      </c>
    </row>
    <row r="327749" spans="1:6" ht="16">
      <c r="A327749" s="347" t="s">
        <v>487</v>
      </c>
      <c r="B327749" s="348" t="s">
        <v>689</v>
      </c>
      <c r="C327749" s="349">
        <v>0.10896601681957188</v>
      </c>
      <c r="D327749" s="349">
        <f t="shared" si="20"/>
        <v>0.19128029460560964</v>
      </c>
      <c r="E327749" s="349">
        <v>0.14628029460560965</v>
      </c>
      <c r="F327749" s="349">
        <v>0.25</v>
      </c>
    </row>
    <row r="327750" spans="1:6" ht="16">
      <c r="A327750" s="347" t="s">
        <v>855</v>
      </c>
      <c r="B327750" s="154" t="s">
        <v>687</v>
      </c>
      <c r="C327750" s="277">
        <v>9.5882201472833571E-3</v>
      </c>
      <c r="D327750" s="349">
        <f t="shared" ref="D327750:D327813" si="21">$B$1+E327750</f>
        <v>0.10387160629364336</v>
      </c>
      <c r="E327750" s="277">
        <v>5.8871606293643367E-2</v>
      </c>
      <c r="F327750" s="277">
        <v>0.24707349543413576</v>
      </c>
    </row>
    <row r="327751" spans="1:6" ht="16">
      <c r="A327751" s="347" t="s">
        <v>283</v>
      </c>
      <c r="B327751" s="348" t="s">
        <v>589</v>
      </c>
      <c r="C327751" s="349">
        <v>2.7273515373171343E-2</v>
      </c>
      <c r="D327751" s="349">
        <f t="shared" si="21"/>
        <v>8.161304671092226E-2</v>
      </c>
      <c r="E327751" s="349">
        <v>3.6613046710922262E-2</v>
      </c>
      <c r="F327751" s="349">
        <v>0.22</v>
      </c>
    </row>
    <row r="327752" spans="1:6" ht="16">
      <c r="A327752" s="347" t="s">
        <v>856</v>
      </c>
      <c r="B327752" s="154" t="s">
        <v>687</v>
      </c>
      <c r="C327752" s="277">
        <f>J327752</f>
        <v>0</v>
      </c>
      <c r="D327752" s="349">
        <f t="shared" si="21"/>
        <v>4.4999999999999998E-2</v>
      </c>
      <c r="E327752" s="277">
        <f>H327752</f>
        <v>0</v>
      </c>
      <c r="F327752" s="277">
        <f>K327752</f>
        <v>0</v>
      </c>
    </row>
    <row r="327753" spans="1:6" ht="16">
      <c r="A327753" s="347" t="s">
        <v>284</v>
      </c>
      <c r="B327753" s="348" t="s">
        <v>589</v>
      </c>
      <c r="C327753" s="349">
        <v>2.7273515373171343E-2</v>
      </c>
      <c r="D327753" s="349">
        <f t="shared" si="21"/>
        <v>8.161304671092226E-2</v>
      </c>
      <c r="E327753" s="349">
        <v>3.6613046710922262E-2</v>
      </c>
      <c r="F327753" s="349">
        <v>0.25</v>
      </c>
    </row>
    <row r="327754" spans="1:6" ht="16">
      <c r="A327754" s="347" t="s">
        <v>690</v>
      </c>
      <c r="B327754" s="348" t="s">
        <v>585</v>
      </c>
      <c r="C327754" s="349">
        <v>7.6826803868088279E-3</v>
      </c>
      <c r="D327754" s="349">
        <f t="shared" si="21"/>
        <v>5.5313534284766833E-2</v>
      </c>
      <c r="E327754" s="349">
        <v>1.0313534284766834E-2</v>
      </c>
      <c r="F327754" s="349">
        <v>0</v>
      </c>
    </row>
    <row r="327755" spans="1:6" ht="16">
      <c r="A327755" s="351" t="s">
        <v>590</v>
      </c>
      <c r="B327755" s="348" t="s">
        <v>687</v>
      </c>
      <c r="C327755" s="349">
        <v>9.8082219604926024E-2</v>
      </c>
      <c r="D327755" s="349">
        <f t="shared" si="21"/>
        <v>0.17666945436885656</v>
      </c>
      <c r="E327755" s="349">
        <v>0.13166945436885658</v>
      </c>
      <c r="F327755" s="349">
        <v>0.29149999999999998</v>
      </c>
    </row>
    <row r="327756" spans="1:6" ht="16">
      <c r="A327756" s="350" t="s">
        <v>591</v>
      </c>
      <c r="B327756" s="348" t="s">
        <v>687</v>
      </c>
      <c r="C327756" s="349">
        <v>5.9924907017108842E-2</v>
      </c>
      <c r="D327756" s="349">
        <f t="shared" si="21"/>
        <v>0.12544556742118129</v>
      </c>
      <c r="E327756" s="349">
        <v>8.0445567421181294E-2</v>
      </c>
      <c r="F327756" s="349">
        <v>0.29149999999999998</v>
      </c>
    </row>
    <row r="327757" spans="1:6" ht="16">
      <c r="A327757" s="351" t="s">
        <v>592</v>
      </c>
      <c r="B327757" s="348" t="s">
        <v>687</v>
      </c>
      <c r="C327757" s="349">
        <v>1.7414075543433345E-2</v>
      </c>
      <c r="D327757" s="349">
        <f t="shared" si="21"/>
        <v>6.8377344378804827E-2</v>
      </c>
      <c r="E327757" s="349">
        <v>2.3377344378804829E-2</v>
      </c>
      <c r="F327757" s="349">
        <v>0.18640000000000001</v>
      </c>
    </row>
    <row r="327758" spans="1:6" ht="16">
      <c r="A327758" s="350" t="s">
        <v>593</v>
      </c>
      <c r="B327758" s="348" t="s">
        <v>687</v>
      </c>
      <c r="C327758" s="349">
        <v>0.10896601681957191</v>
      </c>
      <c r="D327758" s="349">
        <f t="shared" si="21"/>
        <v>0.19128029460560964</v>
      </c>
      <c r="E327758" s="349">
        <v>0.14628029460560965</v>
      </c>
      <c r="F327758" s="349">
        <v>0.18640000000000001</v>
      </c>
    </row>
    <row r="327759" spans="1:6" ht="16">
      <c r="A327759" s="347" t="s">
        <v>285</v>
      </c>
      <c r="B327759" s="348" t="s">
        <v>569</v>
      </c>
      <c r="C327759" s="349">
        <v>4.9041109802463012E-2</v>
      </c>
      <c r="D327759" s="349">
        <f t="shared" si="21"/>
        <v>0.11083472718442829</v>
      </c>
      <c r="E327759" s="349">
        <v>6.5834727184428288E-2</v>
      </c>
      <c r="F327759" s="349">
        <v>0.25</v>
      </c>
    </row>
    <row r="327760" spans="1:6" ht="16">
      <c r="A327760" s="347" t="s">
        <v>286</v>
      </c>
      <c r="B327760" s="348" t="s">
        <v>580</v>
      </c>
      <c r="C327760" s="349">
        <v>6.5302783287875029E-3</v>
      </c>
      <c r="D327760" s="349">
        <f t="shared" si="21"/>
        <v>5.3766504142051808E-2</v>
      </c>
      <c r="E327760" s="349">
        <v>8.7665041420518092E-3</v>
      </c>
      <c r="F327760" s="349">
        <v>0.16500000000000001</v>
      </c>
    </row>
    <row r="327761" spans="1:6" ht="16">
      <c r="A327761" s="347" t="s">
        <v>287</v>
      </c>
      <c r="B327761" s="348" t="s">
        <v>571</v>
      </c>
      <c r="C327761" s="349">
        <v>2.0743237044383835E-2</v>
      </c>
      <c r="D327761" s="349">
        <f t="shared" si="21"/>
        <v>7.2846542568870451E-2</v>
      </c>
      <c r="E327761" s="349">
        <v>2.7846542568870453E-2</v>
      </c>
      <c r="F327761" s="349">
        <v>0.09</v>
      </c>
    </row>
    <row r="327762" spans="1:6" ht="16">
      <c r="A327762" s="347" t="s">
        <v>288</v>
      </c>
      <c r="B327762" s="348" t="s">
        <v>583</v>
      </c>
      <c r="C327762" s="349">
        <v>9.2192164641705932E-3</v>
      </c>
      <c r="D327762" s="349">
        <f t="shared" si="21"/>
        <v>5.73762411417202E-2</v>
      </c>
      <c r="E327762" s="349">
        <v>1.2376241141720201E-2</v>
      </c>
      <c r="F327762" s="349">
        <v>0.2</v>
      </c>
    </row>
    <row r="327763" spans="1:6" ht="16">
      <c r="A327763" s="347" t="s">
        <v>289</v>
      </c>
      <c r="B327763" s="348" t="s">
        <v>577</v>
      </c>
      <c r="C327763" s="349">
        <v>2.3944353872220846E-2</v>
      </c>
      <c r="D327763" s="349">
        <f t="shared" si="21"/>
        <v>7.7143848520856623E-2</v>
      </c>
      <c r="E327763" s="349">
        <v>3.2143848520856624E-2</v>
      </c>
      <c r="F327763" s="349">
        <v>0.3</v>
      </c>
    </row>
    <row r="327764" spans="1:6" ht="16">
      <c r="A327764" s="347" t="s">
        <v>290</v>
      </c>
      <c r="B327764" s="348" t="s">
        <v>571</v>
      </c>
      <c r="C327764" s="349">
        <v>2.0743237044383835E-2</v>
      </c>
      <c r="D327764" s="349">
        <f t="shared" si="21"/>
        <v>7.2846542568870451E-2</v>
      </c>
      <c r="E327764" s="349">
        <v>2.7846542568870453E-2</v>
      </c>
      <c r="F327764" s="349">
        <v>0.22</v>
      </c>
    </row>
    <row r="327765" spans="1:6" ht="16">
      <c r="A327765" s="351" t="s">
        <v>594</v>
      </c>
      <c r="B327765" s="348" t="s">
        <v>687</v>
      </c>
      <c r="C327765" s="349">
        <v>7.0808704231754685E-2</v>
      </c>
      <c r="D327765" s="349">
        <f t="shared" si="21"/>
        <v>0.14005640765793431</v>
      </c>
      <c r="E327765" s="349">
        <v>9.5056407657934314E-2</v>
      </c>
      <c r="F327765" s="349">
        <v>0.20230000000000001</v>
      </c>
    </row>
    <row r="327766" spans="1:6" ht="16">
      <c r="A327766" s="347" t="s">
        <v>559</v>
      </c>
      <c r="B327766" s="348" t="s">
        <v>579</v>
      </c>
      <c r="C327766" s="349">
        <v>8.1692501446400528E-2</v>
      </c>
      <c r="D327766" s="349">
        <f t="shared" si="21"/>
        <v>0.15466724789468733</v>
      </c>
      <c r="E327766" s="349">
        <v>0.10966724789468733</v>
      </c>
      <c r="F327766" s="349">
        <v>0.15</v>
      </c>
    </row>
    <row r="327767" spans="1:6" ht="16">
      <c r="A327767" s="347" t="s">
        <v>291</v>
      </c>
      <c r="B327767" s="348" t="s">
        <v>580</v>
      </c>
      <c r="C327767" s="349">
        <v>6.5302783287875029E-3</v>
      </c>
      <c r="D327767" s="349">
        <f t="shared" si="21"/>
        <v>5.3766504142051808E-2</v>
      </c>
      <c r="E327767" s="349">
        <v>8.7665041420518092E-3</v>
      </c>
      <c r="F327767" s="349">
        <v>0.125</v>
      </c>
    </row>
    <row r="327768" spans="1:6" ht="16">
      <c r="A327768" s="347" t="s">
        <v>292</v>
      </c>
      <c r="B327768" s="348" t="s">
        <v>580</v>
      </c>
      <c r="C327768" s="349">
        <v>6.5302783287875029E-3</v>
      </c>
      <c r="D327768" s="349">
        <f t="shared" si="21"/>
        <v>5.3766504142051808E-2</v>
      </c>
      <c r="E327768" s="349">
        <v>8.7665041420518092E-3</v>
      </c>
      <c r="F327768" s="349">
        <v>0</v>
      </c>
    </row>
    <row r="327769" spans="1:6" ht="16">
      <c r="A327769" s="347" t="s">
        <v>293</v>
      </c>
      <c r="B327769" s="348" t="s">
        <v>585</v>
      </c>
      <c r="C327769" s="349">
        <v>7.6826803868088279E-3</v>
      </c>
      <c r="D327769" s="349">
        <f t="shared" si="21"/>
        <v>5.5313534284766833E-2</v>
      </c>
      <c r="E327769" s="349">
        <v>1.0313534284766834E-2</v>
      </c>
      <c r="F327769" s="349">
        <v>0.23</v>
      </c>
    </row>
    <row r="327770" spans="1:6" ht="16">
      <c r="A327770" s="347" t="s">
        <v>294</v>
      </c>
      <c r="B327770" s="348" t="s">
        <v>577</v>
      </c>
      <c r="C327770" s="349">
        <v>2.3944353872220846E-2</v>
      </c>
      <c r="D327770" s="349">
        <f t="shared" si="21"/>
        <v>7.7143848520856623E-2</v>
      </c>
      <c r="E327770" s="349">
        <v>3.2143848520856624E-2</v>
      </c>
      <c r="F327770" s="349">
        <v>0.24</v>
      </c>
    </row>
    <row r="327771" spans="1:6" ht="16">
      <c r="A327771" s="347" t="s">
        <v>857</v>
      </c>
      <c r="B327771" s="348" t="s">
        <v>578</v>
      </c>
      <c r="C327771" s="349">
        <v>3.9181669972725021E-2</v>
      </c>
      <c r="D327771" s="349">
        <f t="shared" si="21"/>
        <v>9.7599024852310853E-2</v>
      </c>
      <c r="E327771" s="349">
        <v>5.2599024852310855E-2</v>
      </c>
      <c r="F327771" s="349">
        <v>0.25</v>
      </c>
    </row>
    <row r="327772" spans="1:6" ht="16">
      <c r="A327772" s="347" t="s">
        <v>295</v>
      </c>
      <c r="B327772" s="348" t="s">
        <v>569</v>
      </c>
      <c r="C327772" s="349">
        <v>4.9041109802463012E-2</v>
      </c>
      <c r="D327772" s="349">
        <f t="shared" si="21"/>
        <v>0.11083472718442829</v>
      </c>
      <c r="E327772" s="349">
        <v>6.5834727184428288E-2</v>
      </c>
      <c r="F327772" s="349">
        <v>0.25</v>
      </c>
    </row>
    <row r="327773" spans="1:6" ht="16">
      <c r="A327773" s="347" t="s">
        <v>296</v>
      </c>
      <c r="B327773" s="348" t="s">
        <v>585</v>
      </c>
      <c r="C327773" s="349">
        <v>7.6826803868088279E-3</v>
      </c>
      <c r="D327773" s="349">
        <f t="shared" si="21"/>
        <v>5.5313534284766833E-2</v>
      </c>
      <c r="E327773" s="349">
        <v>1.0313534284766834E-2</v>
      </c>
      <c r="F327773" s="349">
        <v>0.30620000000000003</v>
      </c>
    </row>
    <row r="327774" spans="1:6" ht="16">
      <c r="A327774" s="347" t="s">
        <v>691</v>
      </c>
      <c r="B327774" s="348" t="s">
        <v>580</v>
      </c>
      <c r="C327774" s="349">
        <v>6.5302783287875029E-3</v>
      </c>
      <c r="D327774" s="349">
        <f t="shared" si="21"/>
        <v>5.3766504142051808E-2</v>
      </c>
      <c r="E327774" s="349">
        <v>8.7665041420518092E-3</v>
      </c>
      <c r="F327774" s="349">
        <v>0</v>
      </c>
    </row>
    <row r="327775" spans="1:6" ht="16">
      <c r="A327775" s="347" t="s">
        <v>297</v>
      </c>
      <c r="B327775" s="348" t="s">
        <v>569</v>
      </c>
      <c r="C327775" s="349">
        <v>4.9041109802463012E-2</v>
      </c>
      <c r="D327775" s="349">
        <f t="shared" si="21"/>
        <v>0.11083472718442829</v>
      </c>
      <c r="E327775" s="349">
        <v>6.5834727184428288E-2</v>
      </c>
      <c r="F327775" s="349">
        <v>0.2</v>
      </c>
    </row>
    <row r="327776" spans="1:6" ht="16">
      <c r="A327776" s="347" t="s">
        <v>298</v>
      </c>
      <c r="B327776" s="348" t="s">
        <v>571</v>
      </c>
      <c r="C327776" s="349">
        <v>2.0743237044383835E-2</v>
      </c>
      <c r="D327776" s="349">
        <f t="shared" si="21"/>
        <v>7.2846542568870451E-2</v>
      </c>
      <c r="E327776" s="349">
        <v>2.7846542568870453E-2</v>
      </c>
      <c r="F327776" s="349">
        <v>0.2</v>
      </c>
    </row>
    <row r="327777" spans="1:6" ht="16">
      <c r="A327777" s="347" t="s">
        <v>429</v>
      </c>
      <c r="B327777" s="348" t="s">
        <v>581</v>
      </c>
      <c r="C327777" s="349">
        <v>7.0808704231754685E-2</v>
      </c>
      <c r="D327777" s="349">
        <f t="shared" si="21"/>
        <v>0.14005640765793431</v>
      </c>
      <c r="E327777" s="349">
        <v>9.5056407657934314E-2</v>
      </c>
      <c r="F327777" s="349">
        <v>0.3</v>
      </c>
    </row>
    <row r="327778" spans="1:6" ht="16">
      <c r="A327778" s="350" t="s">
        <v>595</v>
      </c>
      <c r="B327778" s="348" t="s">
        <v>687</v>
      </c>
      <c r="C327778" s="349">
        <v>0.17499999999999999</v>
      </c>
      <c r="D327778" s="349">
        <f t="shared" si="21"/>
        <v>0.27992692770782934</v>
      </c>
      <c r="E327778" s="349">
        <v>0.23492692770782936</v>
      </c>
      <c r="F327778" s="349">
        <v>0.23100000000000001</v>
      </c>
    </row>
    <row r="327779" spans="1:6" ht="16">
      <c r="A327779" s="347" t="s">
        <v>299</v>
      </c>
      <c r="B327779" s="348" t="s">
        <v>585</v>
      </c>
      <c r="C327779" s="349">
        <v>7.6826803868088279E-3</v>
      </c>
      <c r="D327779" s="349">
        <f t="shared" si="21"/>
        <v>5.5313534284766833E-2</v>
      </c>
      <c r="E327779" s="349">
        <v>1.0313534284766834E-2</v>
      </c>
      <c r="F327779" s="349">
        <v>0.15</v>
      </c>
    </row>
    <row r="327780" spans="1:6" ht="16">
      <c r="A327780" s="347" t="s">
        <v>488</v>
      </c>
      <c r="B327780" s="348" t="s">
        <v>581</v>
      </c>
      <c r="C327780" s="349">
        <v>7.0808704231754685E-2</v>
      </c>
      <c r="D327780" s="349">
        <f t="shared" si="21"/>
        <v>0.14005640765793431</v>
      </c>
      <c r="E327780" s="349">
        <v>9.5056407657934314E-2</v>
      </c>
      <c r="F327780" s="349">
        <v>0.1</v>
      </c>
    </row>
    <row r="327781" spans="1:6" ht="16">
      <c r="A327781" s="347" t="s">
        <v>622</v>
      </c>
      <c r="B327781" s="348" t="s">
        <v>689</v>
      </c>
      <c r="C327781" s="349">
        <v>0.10896601681957188</v>
      </c>
      <c r="D327781" s="349">
        <f t="shared" si="21"/>
        <v>0.19128029460560964</v>
      </c>
      <c r="E327781" s="349">
        <v>0.14628029460560965</v>
      </c>
      <c r="F327781" s="349">
        <v>0.26860000000000001</v>
      </c>
    </row>
    <row r="327782" spans="1:6" ht="16">
      <c r="A327782" s="347" t="s">
        <v>300</v>
      </c>
      <c r="B327782" s="348" t="s">
        <v>587</v>
      </c>
      <c r="C327782" s="349">
        <v>1.3060556657575006E-2</v>
      </c>
      <c r="D327782" s="349">
        <f t="shared" si="21"/>
        <v>6.2533008284103617E-2</v>
      </c>
      <c r="E327782" s="349">
        <v>1.7533008284103618E-2</v>
      </c>
      <c r="F327782" s="349">
        <v>0.2</v>
      </c>
    </row>
    <row r="327783" spans="1:6" ht="16">
      <c r="A327783" s="347" t="s">
        <v>366</v>
      </c>
      <c r="B327783" s="348" t="s">
        <v>615</v>
      </c>
      <c r="C327783" s="349">
        <v>0.17499999999999999</v>
      </c>
      <c r="D327783" s="349">
        <f t="shared" si="21"/>
        <v>0.27992692770782934</v>
      </c>
      <c r="E327783" s="349">
        <v>0.23492692770782936</v>
      </c>
      <c r="F327783" s="349">
        <v>0.17</v>
      </c>
    </row>
    <row r="327784" spans="1:6" ht="16">
      <c r="A327784" s="351" t="s">
        <v>596</v>
      </c>
      <c r="B327784" s="348" t="s">
        <v>687</v>
      </c>
      <c r="C327784" s="349">
        <v>0.13073361124886354</v>
      </c>
      <c r="D327784" s="349">
        <f t="shared" si="21"/>
        <v>0.22050197507911562</v>
      </c>
      <c r="E327784" s="349">
        <v>0.17550197507911564</v>
      </c>
      <c r="F327784" s="349">
        <v>0.29149999999999998</v>
      </c>
    </row>
    <row r="327785" spans="1:6" ht="16">
      <c r="A327785" s="350" t="s">
        <v>597</v>
      </c>
      <c r="B327785" s="348" t="s">
        <v>687</v>
      </c>
      <c r="C327785" s="349">
        <v>2.0743237044383835E-2</v>
      </c>
      <c r="D327785" s="349">
        <f t="shared" si="21"/>
        <v>7.2846542568870451E-2</v>
      </c>
      <c r="E327785" s="349">
        <v>2.7846542568870453E-2</v>
      </c>
      <c r="F327785" s="349">
        <v>0.2</v>
      </c>
    </row>
    <row r="327786" spans="1:6" ht="16">
      <c r="A327786" s="347" t="s">
        <v>301</v>
      </c>
      <c r="B327786" s="348" t="s">
        <v>574</v>
      </c>
      <c r="C327786" s="349">
        <v>0</v>
      </c>
      <c r="D327786" s="349">
        <f t="shared" si="21"/>
        <v>4.4999999999999998E-2</v>
      </c>
      <c r="E327786" s="349">
        <v>0</v>
      </c>
      <c r="F327786" s="349">
        <v>0.125</v>
      </c>
    </row>
    <row r="327787" spans="1:6" ht="16">
      <c r="A327787" s="347" t="s">
        <v>302</v>
      </c>
      <c r="B327787" s="348" t="s">
        <v>583</v>
      </c>
      <c r="C327787" s="349">
        <v>9.2192164641705932E-3</v>
      </c>
      <c r="D327787" s="349">
        <f t="shared" si="21"/>
        <v>5.73762411417202E-2</v>
      </c>
      <c r="E327787" s="349">
        <v>1.2376241141720201E-2</v>
      </c>
      <c r="F327787" s="349">
        <v>0.15</v>
      </c>
    </row>
    <row r="327788" spans="1:6" ht="16">
      <c r="A327788" s="347" t="s">
        <v>303</v>
      </c>
      <c r="B327788" s="348" t="s">
        <v>574</v>
      </c>
      <c r="C327788" s="349">
        <v>0</v>
      </c>
      <c r="D327788" s="349">
        <f t="shared" si="21"/>
        <v>4.4999999999999998E-2</v>
      </c>
      <c r="E327788" s="349">
        <v>0</v>
      </c>
      <c r="F327788" s="349">
        <v>0.24940000000000001</v>
      </c>
    </row>
    <row r="327789" spans="1:6" ht="16">
      <c r="A327789" s="347" t="s">
        <v>858</v>
      </c>
      <c r="B327789" s="348" t="s">
        <v>580</v>
      </c>
      <c r="C327789" s="349">
        <v>6.5302783287875029E-3</v>
      </c>
      <c r="D327789" s="349">
        <f t="shared" si="21"/>
        <v>5.3766504142051808E-2</v>
      </c>
      <c r="E327789" s="349">
        <v>8.7665041420518092E-3</v>
      </c>
      <c r="F327789" s="349">
        <v>0.26860000000000001</v>
      </c>
    </row>
    <row r="327790" spans="1:6" ht="16">
      <c r="A327790" s="347" t="s">
        <v>304</v>
      </c>
      <c r="B327790" s="348" t="s">
        <v>578</v>
      </c>
      <c r="C327790" s="349">
        <v>3.9181669972725021E-2</v>
      </c>
      <c r="D327790" s="349">
        <f t="shared" si="21"/>
        <v>9.7599024852310853E-2</v>
      </c>
      <c r="E327790" s="349">
        <v>5.2599024852310855E-2</v>
      </c>
      <c r="F327790" s="349">
        <v>0.1</v>
      </c>
    </row>
    <row r="327791" spans="1:6" ht="16">
      <c r="A327791" s="351" t="s">
        <v>598</v>
      </c>
      <c r="B327791" s="348" t="s">
        <v>687</v>
      </c>
      <c r="C327791" s="349">
        <v>7.0808704231754685E-2</v>
      </c>
      <c r="D327791" s="349">
        <f t="shared" si="21"/>
        <v>0.14005640765793431</v>
      </c>
      <c r="E327791" s="349">
        <v>9.5056407657934314E-2</v>
      </c>
      <c r="F327791" s="349">
        <v>0.2</v>
      </c>
    </row>
    <row r="327792" spans="1:6" ht="16">
      <c r="A327792" s="350" t="s">
        <v>599</v>
      </c>
      <c r="B327792" s="348" t="s">
        <v>687</v>
      </c>
      <c r="C327792" s="349">
        <v>0.13073361124886354</v>
      </c>
      <c r="D327792" s="349">
        <f t="shared" si="21"/>
        <v>0.22050197507911562</v>
      </c>
      <c r="E327792" s="349">
        <v>0.17550197507911564</v>
      </c>
      <c r="F327792" s="349">
        <v>0.3</v>
      </c>
    </row>
    <row r="327793" spans="1:6" ht="16">
      <c r="A327793" s="347" t="s">
        <v>305</v>
      </c>
      <c r="B327793" s="348" t="s">
        <v>587</v>
      </c>
      <c r="C327793" s="349">
        <v>1.3060556657575006E-2</v>
      </c>
      <c r="D327793" s="349">
        <f t="shared" si="21"/>
        <v>6.2533008284103617E-2</v>
      </c>
      <c r="E327793" s="349">
        <v>1.7533008284103618E-2</v>
      </c>
      <c r="F327793" s="349">
        <v>0.24</v>
      </c>
    </row>
    <row r="327794" spans="1:6" ht="16">
      <c r="A327794" s="347" t="s">
        <v>692</v>
      </c>
      <c r="B327794" s="348" t="s">
        <v>579</v>
      </c>
      <c r="C327794" s="349">
        <v>8.1692501446400528E-2</v>
      </c>
      <c r="D327794" s="349">
        <f t="shared" si="21"/>
        <v>0.15466724789468733</v>
      </c>
      <c r="E327794" s="349">
        <v>0.10966724789468733</v>
      </c>
      <c r="F327794" s="349">
        <v>0.26860000000000001</v>
      </c>
    </row>
    <row r="327795" spans="1:6" ht="16">
      <c r="A327795" s="347" t="s">
        <v>600</v>
      </c>
      <c r="B327795" s="348" t="s">
        <v>586</v>
      </c>
      <c r="C327795" s="349">
        <v>9.8082219604926024E-2</v>
      </c>
      <c r="D327795" s="349">
        <f t="shared" si="21"/>
        <v>0.17666945436885656</v>
      </c>
      <c r="E327795" s="349">
        <v>0.13166945436885658</v>
      </c>
      <c r="F327795" s="349">
        <v>0.26860000000000001</v>
      </c>
    </row>
    <row r="327796" spans="1:6" ht="16">
      <c r="A327796" s="347" t="s">
        <v>306</v>
      </c>
      <c r="B327796" s="348" t="s">
        <v>583</v>
      </c>
      <c r="C327796" s="349">
        <v>9.2192164641705932E-3</v>
      </c>
      <c r="D327796" s="349">
        <f t="shared" si="21"/>
        <v>5.73762411417202E-2</v>
      </c>
      <c r="E327796" s="349">
        <v>1.2376241141720201E-2</v>
      </c>
      <c r="F327796" s="349">
        <v>0.35</v>
      </c>
    </row>
    <row r="327797" spans="1:6" ht="16">
      <c r="A327797" s="347" t="s">
        <v>859</v>
      </c>
      <c r="B327797" s="154" t="s">
        <v>687</v>
      </c>
      <c r="C327797" s="277">
        <f>J327797</f>
        <v>0</v>
      </c>
      <c r="D327797" s="349">
        <f t="shared" si="21"/>
        <v>4.4999999999999998E-2</v>
      </c>
      <c r="E327797" s="277">
        <f>H327797</f>
        <v>0</v>
      </c>
      <c r="F327797" s="277">
        <f>K327797</f>
        <v>0</v>
      </c>
    </row>
    <row r="327798" spans="1:6" ht="16">
      <c r="A327798" s="347" t="s">
        <v>307</v>
      </c>
      <c r="B327798" s="348" t="s">
        <v>577</v>
      </c>
      <c r="C327798" s="349">
        <v>2.3944353872220846E-2</v>
      </c>
      <c r="D327798" s="349">
        <f t="shared" si="21"/>
        <v>7.7143848520856623E-2</v>
      </c>
      <c r="E327798" s="349">
        <v>3.2143848520856624E-2</v>
      </c>
      <c r="F327798" s="349">
        <v>0.15</v>
      </c>
    </row>
    <row r="327799" spans="1:6" ht="16">
      <c r="A327799" s="347" t="s">
        <v>308</v>
      </c>
      <c r="B327799" s="348" t="s">
        <v>571</v>
      </c>
      <c r="C327799" s="349">
        <v>2.0743237044383835E-2</v>
      </c>
      <c r="D327799" s="349">
        <f t="shared" si="21"/>
        <v>7.2846542568870451E-2</v>
      </c>
      <c r="E327799" s="349">
        <v>2.7846542568870453E-2</v>
      </c>
      <c r="F327799" s="349">
        <v>0.3</v>
      </c>
    </row>
    <row r="327800" spans="1:6" ht="16">
      <c r="A327800" s="347" t="s">
        <v>860</v>
      </c>
      <c r="B327800" s="154" t="s">
        <v>687</v>
      </c>
      <c r="C327800" s="277">
        <v>9.5882201472833571E-3</v>
      </c>
      <c r="D327800" s="349">
        <f t="shared" si="21"/>
        <v>0.10387160629364336</v>
      </c>
      <c r="E327800" s="277">
        <v>5.8871606293643367E-2</v>
      </c>
      <c r="F327800" s="277">
        <v>0.24707349543413576</v>
      </c>
    </row>
    <row r="327801" spans="1:6" ht="16">
      <c r="A327801" s="347" t="s">
        <v>367</v>
      </c>
      <c r="B327801" s="348" t="s">
        <v>581</v>
      </c>
      <c r="C327801" s="349">
        <v>7.0808704231754685E-2</v>
      </c>
      <c r="D327801" s="349">
        <f t="shared" si="21"/>
        <v>0.14005640765793431</v>
      </c>
      <c r="E327801" s="349">
        <v>9.5056407657934314E-2</v>
      </c>
      <c r="F327801" s="349">
        <v>0.12</v>
      </c>
    </row>
    <row r="327802" spans="1:6" ht="16">
      <c r="A327802" s="347" t="s">
        <v>368</v>
      </c>
      <c r="B327802" s="348" t="s">
        <v>581</v>
      </c>
      <c r="C327802" s="349">
        <v>7.0808704231754685E-2</v>
      </c>
      <c r="D327802" s="349">
        <f t="shared" si="21"/>
        <v>0.14005640765793431</v>
      </c>
      <c r="E327802" s="349">
        <v>9.5056407657934314E-2</v>
      </c>
      <c r="F327802" s="349">
        <v>0.25</v>
      </c>
    </row>
    <row r="327803" spans="1:6" ht="16">
      <c r="A327803" s="347" t="s">
        <v>309</v>
      </c>
      <c r="B327803" s="348" t="s">
        <v>569</v>
      </c>
      <c r="C327803" s="349">
        <v>4.9041109802463012E-2</v>
      </c>
      <c r="D327803" s="349">
        <f t="shared" si="21"/>
        <v>0.11083472718442829</v>
      </c>
      <c r="E327803" s="349">
        <v>6.5834727184428288E-2</v>
      </c>
      <c r="F327803" s="349">
        <v>0.15</v>
      </c>
    </row>
    <row r="327804" spans="1:6" ht="16">
      <c r="A327804" s="347" t="s">
        <v>489</v>
      </c>
      <c r="B327804" s="348" t="s">
        <v>577</v>
      </c>
      <c r="C327804" s="349">
        <v>2.3944353872220846E-2</v>
      </c>
      <c r="D327804" s="349">
        <f t="shared" si="21"/>
        <v>7.7143848520856623E-2</v>
      </c>
      <c r="E327804" s="349">
        <v>3.2143848520856624E-2</v>
      </c>
      <c r="F327804" s="349">
        <v>0.2853</v>
      </c>
    </row>
    <row r="327805" spans="1:6" ht="16">
      <c r="A327805" s="347" t="s">
        <v>369</v>
      </c>
      <c r="B327805" s="348" t="s">
        <v>589</v>
      </c>
      <c r="C327805" s="349">
        <v>2.7273515373171343E-2</v>
      </c>
      <c r="D327805" s="349">
        <f t="shared" si="21"/>
        <v>8.161304671092226E-2</v>
      </c>
      <c r="E327805" s="349">
        <v>3.6613046710922262E-2</v>
      </c>
      <c r="F327805" s="349">
        <v>0.32</v>
      </c>
    </row>
    <row r="327806" spans="1:6" ht="16">
      <c r="A327806" s="347" t="s">
        <v>310</v>
      </c>
      <c r="B327806" s="348" t="s">
        <v>586</v>
      </c>
      <c r="C327806" s="349">
        <v>9.8082219604926024E-2</v>
      </c>
      <c r="D327806" s="349">
        <f t="shared" si="21"/>
        <v>0.17666945436885656</v>
      </c>
      <c r="E327806" s="349">
        <v>0.13166945436885658</v>
      </c>
      <c r="F327806" s="349">
        <v>0.32</v>
      </c>
    </row>
    <row r="327807" spans="1:6" ht="16">
      <c r="A327807" s="351" t="s">
        <v>601</v>
      </c>
      <c r="B327807" s="348" t="s">
        <v>687</v>
      </c>
      <c r="C327807" s="349">
        <v>0.10896601681957191</v>
      </c>
      <c r="D327807" s="349">
        <f t="shared" si="21"/>
        <v>0.19128029460560964</v>
      </c>
      <c r="E327807" s="349">
        <v>0.14628029460560965</v>
      </c>
      <c r="F327807" s="349">
        <v>0.25</v>
      </c>
    </row>
    <row r="327808" spans="1:6" ht="16">
      <c r="A327808" s="347" t="s">
        <v>311</v>
      </c>
      <c r="B327808" s="348" t="s">
        <v>569</v>
      </c>
      <c r="C327808" s="349">
        <v>4.9041109802463012E-2</v>
      </c>
      <c r="D327808" s="349">
        <f t="shared" si="21"/>
        <v>0.11083472718442829</v>
      </c>
      <c r="E327808" s="349">
        <v>6.5834727184428288E-2</v>
      </c>
      <c r="F327808" s="349">
        <v>0.32</v>
      </c>
    </row>
    <row r="327809" spans="1:6" ht="16">
      <c r="A327809" s="347" t="s">
        <v>312</v>
      </c>
      <c r="B327809" s="348" t="s">
        <v>574</v>
      </c>
      <c r="C327809" s="349">
        <v>0</v>
      </c>
      <c r="D327809" s="349">
        <f t="shared" si="21"/>
        <v>4.4999999999999998E-2</v>
      </c>
      <c r="E327809" s="349">
        <v>0</v>
      </c>
      <c r="F327809" s="349">
        <v>0.25800000000000001</v>
      </c>
    </row>
    <row r="327810" spans="1:6" ht="16">
      <c r="A327810" s="347" t="s">
        <v>861</v>
      </c>
      <c r="B327810" s="154" t="s">
        <v>687</v>
      </c>
      <c r="C327810" s="277">
        <v>0.1054310997313879</v>
      </c>
      <c r="D327810" s="349">
        <f t="shared" si="21"/>
        <v>0.23253488197001548</v>
      </c>
      <c r="E327810" s="277">
        <v>0.1875348819700155</v>
      </c>
      <c r="F327810" s="277">
        <v>0.2724561140242252</v>
      </c>
    </row>
    <row r="327811" spans="1:6" ht="16">
      <c r="A327811" s="347" t="s">
        <v>313</v>
      </c>
      <c r="B327811" s="348" t="s">
        <v>574</v>
      </c>
      <c r="C327811" s="349">
        <v>0</v>
      </c>
      <c r="D327811" s="349">
        <f t="shared" si="21"/>
        <v>4.4999999999999998E-2</v>
      </c>
      <c r="E327811" s="349">
        <v>0</v>
      </c>
      <c r="F327811" s="349">
        <v>0.28000000000000003</v>
      </c>
    </row>
    <row r="327812" spans="1:6" ht="16">
      <c r="A327812" s="347" t="s">
        <v>370</v>
      </c>
      <c r="B327812" s="348" t="s">
        <v>581</v>
      </c>
      <c r="C327812" s="349">
        <v>7.0808704231754685E-2</v>
      </c>
      <c r="D327812" s="349">
        <f t="shared" si="21"/>
        <v>0.14005640765793431</v>
      </c>
      <c r="E327812" s="349">
        <v>9.5056407657934314E-2</v>
      </c>
      <c r="F327812" s="349">
        <v>0.3</v>
      </c>
    </row>
    <row r="327813" spans="1:6" ht="16">
      <c r="A327813" s="347" t="s">
        <v>602</v>
      </c>
      <c r="B327813" s="348" t="s">
        <v>586</v>
      </c>
      <c r="C327813" s="349">
        <v>9.8082219604926024E-2</v>
      </c>
      <c r="D327813" s="349">
        <f t="shared" si="21"/>
        <v>0.17666945436885656</v>
      </c>
      <c r="E327813" s="349">
        <v>0.13166945436885658</v>
      </c>
      <c r="F327813" s="349">
        <v>0.26860000000000001</v>
      </c>
    </row>
    <row r="327814" spans="1:6" ht="16">
      <c r="A327814" s="347" t="s">
        <v>314</v>
      </c>
      <c r="B327814" s="348" t="s">
        <v>579</v>
      </c>
      <c r="C327814" s="349">
        <v>8.1692501446400528E-2</v>
      </c>
      <c r="D327814" s="349">
        <f t="shared" ref="D327814:D327875" si="22">$B$1+E327814</f>
        <v>0.15466724789468733</v>
      </c>
      <c r="E327814" s="349">
        <v>0.10966724789468733</v>
      </c>
      <c r="F327814" s="349">
        <v>0.3</v>
      </c>
    </row>
    <row r="327815" spans="1:6" ht="16">
      <c r="A327815" s="347" t="s">
        <v>315</v>
      </c>
      <c r="B327815" s="348" t="s">
        <v>574</v>
      </c>
      <c r="C327815" s="349">
        <v>0</v>
      </c>
      <c r="D327815" s="349">
        <f t="shared" si="22"/>
        <v>4.4999999999999998E-2</v>
      </c>
      <c r="E327815" s="349">
        <v>0</v>
      </c>
      <c r="F327815" s="349">
        <v>0.22</v>
      </c>
    </row>
    <row r="327816" spans="1:6" ht="16">
      <c r="A327816" s="347" t="s">
        <v>316</v>
      </c>
      <c r="B327816" s="348" t="s">
        <v>589</v>
      </c>
      <c r="C327816" s="349">
        <v>2.7273515373171343E-2</v>
      </c>
      <c r="D327816" s="349">
        <f t="shared" si="22"/>
        <v>8.161304671092226E-2</v>
      </c>
      <c r="E327816" s="349">
        <v>3.6613046710922262E-2</v>
      </c>
      <c r="F327816" s="349">
        <v>0.15</v>
      </c>
    </row>
    <row r="327817" spans="1:6" ht="16">
      <c r="A327817" s="347" t="s">
        <v>317</v>
      </c>
      <c r="B327817" s="348" t="s">
        <v>689</v>
      </c>
      <c r="C327817" s="349">
        <v>0.10896601681957188</v>
      </c>
      <c r="D327817" s="349">
        <f t="shared" si="22"/>
        <v>0.19128029460560964</v>
      </c>
      <c r="E327817" s="349">
        <v>0.14628029460560965</v>
      </c>
      <c r="F327817" s="349">
        <v>0.28999999999999998</v>
      </c>
    </row>
    <row r="327818" spans="1:6" ht="16">
      <c r="A327818" s="347" t="s">
        <v>862</v>
      </c>
      <c r="B327818" s="154" t="s">
        <v>687</v>
      </c>
      <c r="C327818" s="277">
        <v>1.6082653627874467E-2</v>
      </c>
      <c r="D327818" s="349">
        <f t="shared" si="22"/>
        <v>0.11258999089248985</v>
      </c>
      <c r="E327818" s="277">
        <v>6.7589990892489848E-2</v>
      </c>
      <c r="F327818" s="277">
        <v>0.18760152153615242</v>
      </c>
    </row>
    <row r="327819" spans="1:6" ht="16">
      <c r="A327819" s="347" t="s">
        <v>318</v>
      </c>
      <c r="B327819" s="348" t="s">
        <v>571</v>
      </c>
      <c r="C327819" s="349">
        <v>2.0743237044383835E-2</v>
      </c>
      <c r="D327819" s="349">
        <f t="shared" si="22"/>
        <v>7.2846542568870451E-2</v>
      </c>
      <c r="E327819" s="349">
        <v>2.7846542568870453E-2</v>
      </c>
      <c r="F327819" s="349">
        <v>0.25</v>
      </c>
    </row>
    <row r="327820" spans="1:6" ht="16">
      <c r="A327820" s="347" t="s">
        <v>319</v>
      </c>
      <c r="B327820" s="348" t="s">
        <v>572</v>
      </c>
      <c r="C327820" s="349">
        <v>5.9924907017108855E-2</v>
      </c>
      <c r="D327820" s="349">
        <f t="shared" si="22"/>
        <v>0.12544556742118129</v>
      </c>
      <c r="E327820" s="349">
        <v>8.0445567421181294E-2</v>
      </c>
      <c r="F327820" s="349">
        <v>0.3</v>
      </c>
    </row>
    <row r="327821" spans="1:6" ht="16">
      <c r="A327821" s="347" t="s">
        <v>320</v>
      </c>
      <c r="B327821" s="348" t="s">
        <v>589</v>
      </c>
      <c r="C327821" s="349">
        <v>2.7273515373171343E-2</v>
      </c>
      <c r="D327821" s="349">
        <f t="shared" si="22"/>
        <v>8.161304671092226E-2</v>
      </c>
      <c r="E327821" s="349">
        <v>3.6613046710922262E-2</v>
      </c>
      <c r="F327821" s="349">
        <v>0.1</v>
      </c>
    </row>
    <row r="327822" spans="1:6" ht="16">
      <c r="A327822" s="347" t="s">
        <v>321</v>
      </c>
      <c r="B327822" s="348" t="s">
        <v>573</v>
      </c>
      <c r="C327822" s="349">
        <v>1.7414075543433341E-2</v>
      </c>
      <c r="D327822" s="349">
        <f t="shared" si="22"/>
        <v>6.8377344378804827E-2</v>
      </c>
      <c r="E327822" s="349">
        <v>2.3377344378804829E-2</v>
      </c>
      <c r="F327822" s="349">
        <v>0.29499999999999998</v>
      </c>
    </row>
    <row r="327823" spans="1:6" ht="16">
      <c r="A327823" s="347" t="s">
        <v>322</v>
      </c>
      <c r="B327823" s="348" t="s">
        <v>571</v>
      </c>
      <c r="C327823" s="349">
        <v>2.0743237044383835E-2</v>
      </c>
      <c r="D327823" s="349">
        <f t="shared" si="22"/>
        <v>7.2846542568870451E-2</v>
      </c>
      <c r="E327823" s="349">
        <v>2.7846542568870453E-2</v>
      </c>
      <c r="F327823" s="349">
        <v>0.25</v>
      </c>
    </row>
    <row r="327824" spans="1:6" ht="16">
      <c r="A327824" s="347" t="s">
        <v>323</v>
      </c>
      <c r="B327824" s="348" t="s">
        <v>583</v>
      </c>
      <c r="C327824" s="349">
        <v>9.2192164641705932E-3</v>
      </c>
      <c r="D327824" s="349">
        <f t="shared" si="22"/>
        <v>5.73762411417202E-2</v>
      </c>
      <c r="E327824" s="349">
        <v>1.2376241141720201E-2</v>
      </c>
      <c r="F327824" s="349">
        <v>0.19</v>
      </c>
    </row>
    <row r="327825" spans="1:6" ht="16">
      <c r="A327825" s="347" t="s">
        <v>324</v>
      </c>
      <c r="B327825" s="348" t="s">
        <v>587</v>
      </c>
      <c r="C327825" s="349">
        <v>1.3060556657575006E-2</v>
      </c>
      <c r="D327825" s="349">
        <f t="shared" si="22"/>
        <v>6.2533008284103617E-2</v>
      </c>
      <c r="E327825" s="349">
        <v>1.7533008284103618E-2</v>
      </c>
      <c r="F327825" s="349">
        <v>0.21</v>
      </c>
    </row>
    <row r="327826" spans="1:6" ht="16">
      <c r="A327826" s="347" t="s">
        <v>325</v>
      </c>
      <c r="B327826" s="348" t="s">
        <v>580</v>
      </c>
      <c r="C327826" s="349">
        <v>6.5302783287875029E-3</v>
      </c>
      <c r="D327826" s="349">
        <f t="shared" si="22"/>
        <v>5.3766504142051808E-2</v>
      </c>
      <c r="E327826" s="349">
        <v>8.7665041420518092E-3</v>
      </c>
      <c r="F327826" s="349">
        <v>0.1</v>
      </c>
    </row>
    <row r="327827" spans="1:6" ht="16">
      <c r="A327827" s="347" t="s">
        <v>503</v>
      </c>
      <c r="B327827" s="348" t="s">
        <v>587</v>
      </c>
      <c r="C327827" s="349">
        <v>1.3060556657575006E-2</v>
      </c>
      <c r="D327827" s="349">
        <f t="shared" si="22"/>
        <v>6.2533008284103617E-2</v>
      </c>
      <c r="E327827" s="349">
        <v>1.7533008284103618E-2</v>
      </c>
      <c r="F327827" s="349">
        <v>0</v>
      </c>
    </row>
    <row r="327828" spans="1:6" ht="16">
      <c r="A327828" s="347" t="s">
        <v>863</v>
      </c>
      <c r="B327828" s="154" t="s">
        <v>687</v>
      </c>
      <c r="C327828" s="277">
        <v>1.2518555898193178E-2</v>
      </c>
      <c r="D327828" s="349">
        <f t="shared" si="22"/>
        <v>0.10780540500857855</v>
      </c>
      <c r="E327828" s="277">
        <v>6.2805405008578549E-2</v>
      </c>
      <c r="F327828" s="277">
        <v>0.2576437502455447</v>
      </c>
    </row>
    <row r="327829" spans="1:6" ht="16">
      <c r="A327829" s="347" t="s">
        <v>326</v>
      </c>
      <c r="B327829" s="348" t="s">
        <v>577</v>
      </c>
      <c r="C327829" s="349">
        <v>2.3944353872220846E-2</v>
      </c>
      <c r="D327829" s="349">
        <f t="shared" si="22"/>
        <v>7.7143848520856623E-2</v>
      </c>
      <c r="E327829" s="349">
        <v>3.2143848520856624E-2</v>
      </c>
      <c r="F327829" s="349">
        <v>0.16</v>
      </c>
    </row>
    <row r="327830" spans="1:6" ht="16">
      <c r="A327830" s="347" t="s">
        <v>327</v>
      </c>
      <c r="B327830" s="348" t="s">
        <v>687</v>
      </c>
      <c r="C327830" s="349">
        <v>4.9041109802463012E-2</v>
      </c>
      <c r="D327830" s="349">
        <f t="shared" si="22"/>
        <v>0.11083472718442829</v>
      </c>
      <c r="E327830" s="349">
        <v>6.5834727184428288E-2</v>
      </c>
      <c r="F327830" s="349">
        <v>0.25</v>
      </c>
    </row>
    <row r="327831" spans="1:6" ht="16">
      <c r="A327831" s="347" t="s">
        <v>490</v>
      </c>
      <c r="B327831" s="348" t="s">
        <v>572</v>
      </c>
      <c r="C327831" s="349">
        <v>5.9924907017108855E-2</v>
      </c>
      <c r="D327831" s="349">
        <f t="shared" si="22"/>
        <v>0.12544556742118129</v>
      </c>
      <c r="E327831" s="349">
        <v>8.0445567421181294E-2</v>
      </c>
      <c r="F327831" s="349">
        <v>0.3</v>
      </c>
    </row>
    <row r="327832" spans="1:6" ht="16">
      <c r="A327832" s="347" t="s">
        <v>864</v>
      </c>
      <c r="B327832" s="154" t="s">
        <v>687</v>
      </c>
      <c r="C327832" s="277">
        <v>0.1054310997313879</v>
      </c>
      <c r="D327832" s="349">
        <f t="shared" si="22"/>
        <v>0.23253488197001548</v>
      </c>
      <c r="E327832" s="277">
        <v>0.1875348819700155</v>
      </c>
      <c r="F327832" s="277">
        <v>0.2724561140242252</v>
      </c>
    </row>
    <row r="327833" spans="1:6" ht="16">
      <c r="A327833" s="347" t="s">
        <v>328</v>
      </c>
      <c r="B327833" s="348" t="s">
        <v>585</v>
      </c>
      <c r="C327833" s="349">
        <v>7.6826803868088279E-3</v>
      </c>
      <c r="D327833" s="349">
        <f t="shared" si="22"/>
        <v>5.5313534284766833E-2</v>
      </c>
      <c r="E327833" s="349">
        <v>1.0313534284766834E-2</v>
      </c>
      <c r="F327833" s="349">
        <v>0.2</v>
      </c>
    </row>
    <row r="327834" spans="1:6" ht="16">
      <c r="A327834" s="347" t="s">
        <v>371</v>
      </c>
      <c r="B327834" s="348" t="s">
        <v>578</v>
      </c>
      <c r="C327834" s="349">
        <v>3.9181669972725021E-2</v>
      </c>
      <c r="D327834" s="349">
        <f t="shared" si="22"/>
        <v>9.7599024852310853E-2</v>
      </c>
      <c r="E327834" s="349">
        <v>5.2599024852310855E-2</v>
      </c>
      <c r="F327834" s="349">
        <v>0.3</v>
      </c>
    </row>
    <row r="327835" spans="1:6" ht="16">
      <c r="A327835" s="347" t="s">
        <v>329</v>
      </c>
      <c r="B327835" s="348" t="s">
        <v>576</v>
      </c>
      <c r="C327835" s="349">
        <v>3.2779436317050999E-2</v>
      </c>
      <c r="D327835" s="349">
        <f t="shared" si="22"/>
        <v>8.9004412948338496E-2</v>
      </c>
      <c r="E327835" s="349">
        <v>4.4004412948338498E-2</v>
      </c>
      <c r="F327835" s="349">
        <v>0.15</v>
      </c>
    </row>
    <row r="327836" spans="1:6" ht="16">
      <c r="A327836" s="347" t="s">
        <v>504</v>
      </c>
      <c r="B327836" s="348" t="s">
        <v>589</v>
      </c>
      <c r="C327836" s="349">
        <v>2.7273515373171343E-2</v>
      </c>
      <c r="D327836" s="349">
        <f t="shared" si="22"/>
        <v>8.161304671092226E-2</v>
      </c>
      <c r="E327836" s="349">
        <v>3.6613046710922262E-2</v>
      </c>
      <c r="F327836" s="349">
        <v>0</v>
      </c>
    </row>
    <row r="327837" spans="1:6" ht="16">
      <c r="A327837" s="350" t="s">
        <v>603</v>
      </c>
      <c r="B327837" s="348" t="s">
        <v>687</v>
      </c>
      <c r="C327837" s="349">
        <v>0.10896601681957191</v>
      </c>
      <c r="D327837" s="349">
        <f t="shared" si="22"/>
        <v>0.19128029460560964</v>
      </c>
      <c r="E327837" s="349">
        <v>0.14628029460560965</v>
      </c>
      <c r="F327837" s="349">
        <v>0.3</v>
      </c>
    </row>
    <row r="327838" spans="1:6" ht="16">
      <c r="A327838" s="347" t="s">
        <v>330</v>
      </c>
      <c r="B327838" s="348" t="s">
        <v>574</v>
      </c>
      <c r="C327838" s="349">
        <v>0</v>
      </c>
      <c r="D327838" s="349">
        <f t="shared" si="22"/>
        <v>4.4999999999999998E-2</v>
      </c>
      <c r="E327838" s="349">
        <v>0</v>
      </c>
      <c r="F327838" s="349">
        <v>0.17</v>
      </c>
    </row>
    <row r="327839" spans="1:6" ht="16">
      <c r="A327839" s="347" t="s">
        <v>372</v>
      </c>
      <c r="B327839" s="348" t="s">
        <v>583</v>
      </c>
      <c r="C327839" s="349">
        <v>9.2192164641705932E-3</v>
      </c>
      <c r="D327839" s="349">
        <f t="shared" si="22"/>
        <v>5.73762411417202E-2</v>
      </c>
      <c r="E327839" s="349">
        <v>1.2376241141720201E-2</v>
      </c>
      <c r="F327839" s="349">
        <v>0.21</v>
      </c>
    </row>
    <row r="327840" spans="1:6" ht="16">
      <c r="A327840" s="347" t="s">
        <v>331</v>
      </c>
      <c r="B327840" s="348" t="s">
        <v>587</v>
      </c>
      <c r="C327840" s="349">
        <v>1.3060556657575006E-2</v>
      </c>
      <c r="D327840" s="349">
        <f t="shared" si="22"/>
        <v>6.2533008284103617E-2</v>
      </c>
      <c r="E327840" s="349">
        <v>1.7533008284103618E-2</v>
      </c>
      <c r="F327840" s="349">
        <v>0.19</v>
      </c>
    </row>
    <row r="327841" spans="1:6" ht="16">
      <c r="A327841" s="347" t="s">
        <v>604</v>
      </c>
      <c r="B327841" s="348" t="s">
        <v>579</v>
      </c>
      <c r="C327841" s="349">
        <v>8.1692501446400528E-2</v>
      </c>
      <c r="D327841" s="349">
        <f t="shared" si="22"/>
        <v>0.15466724789468733</v>
      </c>
      <c r="E327841" s="349">
        <v>0.10966724789468733</v>
      </c>
      <c r="F327841" s="349">
        <v>0.3</v>
      </c>
    </row>
    <row r="327842" spans="1:6" ht="16">
      <c r="A327842" s="351" t="s">
        <v>605</v>
      </c>
      <c r="B327842" s="348" t="s">
        <v>687</v>
      </c>
      <c r="C327842" s="349">
        <v>0.13073361124886354</v>
      </c>
      <c r="D327842" s="349">
        <f t="shared" si="22"/>
        <v>0.22050197507911562</v>
      </c>
      <c r="E327842" s="349">
        <v>0.17550197507911564</v>
      </c>
      <c r="F327842" s="349">
        <v>0.29149999999999998</v>
      </c>
    </row>
    <row r="327843" spans="1:6" ht="16">
      <c r="A327843" s="347" t="s">
        <v>332</v>
      </c>
      <c r="B327843" s="348" t="s">
        <v>576</v>
      </c>
      <c r="C327843" s="349">
        <v>3.2779436317050999E-2</v>
      </c>
      <c r="D327843" s="349">
        <f t="shared" si="22"/>
        <v>8.9004412948338496E-2</v>
      </c>
      <c r="E327843" s="349">
        <v>4.4004412948338498E-2</v>
      </c>
      <c r="F327843" s="349">
        <v>0.27</v>
      </c>
    </row>
    <row r="327844" spans="1:6" ht="16">
      <c r="A327844" s="347" t="s">
        <v>865</v>
      </c>
      <c r="B327844" s="348" t="s">
        <v>568</v>
      </c>
      <c r="C327844" s="349">
        <v>5.3778762707661788E-3</v>
      </c>
      <c r="D327844" s="349">
        <f t="shared" si="22"/>
        <v>5.2219473999336782E-2</v>
      </c>
      <c r="E327844" s="349">
        <v>7.219473999336784E-3</v>
      </c>
      <c r="F327844" s="349">
        <v>0.25</v>
      </c>
    </row>
    <row r="327845" spans="1:6" ht="16">
      <c r="A327845" s="347" t="s">
        <v>333</v>
      </c>
      <c r="B327845" s="348" t="s">
        <v>573</v>
      </c>
      <c r="C327845" s="349">
        <v>1.7414075543433341E-2</v>
      </c>
      <c r="D327845" s="349">
        <f t="shared" si="22"/>
        <v>6.8377344378804827E-2</v>
      </c>
      <c r="E327845" s="349">
        <v>2.3377344378804829E-2</v>
      </c>
      <c r="F327845" s="349">
        <v>0.25</v>
      </c>
    </row>
    <row r="327846" spans="1:6" ht="16">
      <c r="A327846" s="347" t="s">
        <v>334</v>
      </c>
      <c r="B327846" s="348" t="s">
        <v>688</v>
      </c>
      <c r="C327846" s="349">
        <v>0.13073361124886354</v>
      </c>
      <c r="D327846" s="349">
        <f t="shared" si="22"/>
        <v>0.22050197507911562</v>
      </c>
      <c r="E327846" s="349">
        <v>0.17550197507911564</v>
      </c>
      <c r="F327846" s="349">
        <v>0.24</v>
      </c>
    </row>
    <row r="327847" spans="1:6" ht="16">
      <c r="A327847" s="347" t="s">
        <v>430</v>
      </c>
      <c r="B327847" s="348" t="s">
        <v>576</v>
      </c>
      <c r="C327847" s="349">
        <v>3.2779436317050999E-2</v>
      </c>
      <c r="D327847" s="349">
        <f t="shared" si="22"/>
        <v>8.9004412948338496E-2</v>
      </c>
      <c r="E327847" s="349">
        <v>4.4004412948338498E-2</v>
      </c>
      <c r="F327847" s="349">
        <v>0.2853</v>
      </c>
    </row>
    <row r="327848" spans="1:6" ht="16">
      <c r="A327848" s="347" t="s">
        <v>373</v>
      </c>
      <c r="B327848" s="348" t="s">
        <v>581</v>
      </c>
      <c r="C327848" s="349">
        <v>7.0808704231754685E-2</v>
      </c>
      <c r="D327848" s="349">
        <f t="shared" si="22"/>
        <v>0.14005640765793431</v>
      </c>
      <c r="E327848" s="349">
        <v>9.5056407657934314E-2</v>
      </c>
      <c r="F327848" s="349">
        <v>0.2853</v>
      </c>
    </row>
    <row r="327849" spans="1:6" ht="16">
      <c r="A327849" s="350" t="s">
        <v>606</v>
      </c>
      <c r="B327849" s="348" t="s">
        <v>687</v>
      </c>
      <c r="C327849" s="349">
        <v>0.17499999999999999</v>
      </c>
      <c r="D327849" s="349">
        <f t="shared" si="22"/>
        <v>0.27992692770782934</v>
      </c>
      <c r="E327849" s="349">
        <v>0.23492692770782936</v>
      </c>
      <c r="F327849" s="349">
        <v>0.35</v>
      </c>
    </row>
    <row r="327850" spans="1:6" ht="16">
      <c r="A327850" s="347" t="s">
        <v>374</v>
      </c>
      <c r="B327850" s="348" t="s">
        <v>689</v>
      </c>
      <c r="C327850" s="349">
        <v>0.10896601681957188</v>
      </c>
      <c r="D327850" s="349">
        <f t="shared" si="22"/>
        <v>0.19128029460560964</v>
      </c>
      <c r="E327850" s="349">
        <v>0.14628029460560965</v>
      </c>
      <c r="F327850" s="349">
        <v>0.36</v>
      </c>
    </row>
    <row r="327851" spans="1:6" ht="16">
      <c r="A327851" s="347" t="s">
        <v>607</v>
      </c>
      <c r="B327851" s="348" t="s">
        <v>581</v>
      </c>
      <c r="C327851" s="349">
        <v>7.0808704231754685E-2</v>
      </c>
      <c r="D327851" s="349">
        <f t="shared" si="22"/>
        <v>0.14005640765793431</v>
      </c>
      <c r="E327851" s="349">
        <v>9.5056407657934314E-2</v>
      </c>
      <c r="F327851" s="349">
        <v>0.27500000000000002</v>
      </c>
    </row>
    <row r="327852" spans="1:6" ht="16">
      <c r="A327852" s="347" t="s">
        <v>335</v>
      </c>
      <c r="B327852" s="348" t="s">
        <v>574</v>
      </c>
      <c r="C327852" s="349">
        <v>0</v>
      </c>
      <c r="D327852" s="349">
        <f t="shared" si="22"/>
        <v>4.4999999999999998E-2</v>
      </c>
      <c r="E327852" s="349">
        <v>0</v>
      </c>
      <c r="F327852" s="349">
        <v>0.20600000000000002</v>
      </c>
    </row>
    <row r="327853" spans="1:6" ht="16">
      <c r="A327853" s="347" t="s">
        <v>336</v>
      </c>
      <c r="B327853" s="348" t="s">
        <v>574</v>
      </c>
      <c r="C327853" s="349">
        <v>0</v>
      </c>
      <c r="D327853" s="349">
        <f t="shared" si="22"/>
        <v>4.4999999999999998E-2</v>
      </c>
      <c r="E327853" s="349">
        <v>0</v>
      </c>
      <c r="F327853" s="349">
        <v>0.14599999999999999</v>
      </c>
    </row>
    <row r="327854" spans="1:6" ht="16">
      <c r="A327854" s="351" t="s">
        <v>608</v>
      </c>
      <c r="B327854" s="348" t="s">
        <v>687</v>
      </c>
      <c r="C327854" s="349">
        <v>0.17499999999999999</v>
      </c>
      <c r="D327854" s="349">
        <f t="shared" si="22"/>
        <v>0.27992692770782934</v>
      </c>
      <c r="E327854" s="349">
        <v>0.23492692770782936</v>
      </c>
      <c r="F327854" s="349">
        <v>0.28000000000000003</v>
      </c>
    </row>
    <row r="327855" spans="1:6" ht="16">
      <c r="A327855" s="347" t="s">
        <v>337</v>
      </c>
      <c r="B327855" s="348" t="s">
        <v>580</v>
      </c>
      <c r="C327855" s="349">
        <v>6.5302783287875029E-3</v>
      </c>
      <c r="D327855" s="349">
        <f t="shared" si="22"/>
        <v>5.3766504142051808E-2</v>
      </c>
      <c r="E327855" s="349">
        <v>8.7665041420518092E-3</v>
      </c>
      <c r="F327855" s="349">
        <v>0.2</v>
      </c>
    </row>
    <row r="327856" spans="1:6" ht="16">
      <c r="A327856" s="347" t="s">
        <v>609</v>
      </c>
      <c r="B327856" s="348" t="s">
        <v>581</v>
      </c>
      <c r="C327856" s="349">
        <v>7.0808704231754685E-2</v>
      </c>
      <c r="D327856" s="349">
        <f t="shared" si="22"/>
        <v>0.14005640765793431</v>
      </c>
      <c r="E327856" s="349">
        <v>9.5056407657934314E-2</v>
      </c>
      <c r="F327856" s="349">
        <v>0.18</v>
      </c>
    </row>
    <row r="327857" spans="1:6" ht="16">
      <c r="A327857" s="347" t="s">
        <v>610</v>
      </c>
      <c r="B327857" s="348" t="s">
        <v>572</v>
      </c>
      <c r="C327857" s="349">
        <v>5.9924907017108855E-2</v>
      </c>
      <c r="D327857" s="349">
        <f t="shared" si="22"/>
        <v>0.12544556742118129</v>
      </c>
      <c r="E327857" s="349">
        <v>8.0445567421181294E-2</v>
      </c>
      <c r="F327857" s="349">
        <v>0.3</v>
      </c>
    </row>
    <row r="327858" spans="1:6" ht="16">
      <c r="A327858" s="347" t="s">
        <v>338</v>
      </c>
      <c r="B327858" s="348" t="s">
        <v>573</v>
      </c>
      <c r="C327858" s="349">
        <v>1.7414075543433341E-2</v>
      </c>
      <c r="D327858" s="349">
        <f t="shared" si="22"/>
        <v>6.8377344378804827E-2</v>
      </c>
      <c r="E327858" s="349">
        <v>2.3377344378804829E-2</v>
      </c>
      <c r="F327858" s="349">
        <v>0.2</v>
      </c>
    </row>
    <row r="327859" spans="1:6" ht="16">
      <c r="A327859" s="347" t="s">
        <v>611</v>
      </c>
      <c r="B327859" s="348" t="s">
        <v>581</v>
      </c>
      <c r="C327859" s="349">
        <v>7.0808704231754685E-2</v>
      </c>
      <c r="D327859" s="349">
        <f t="shared" si="22"/>
        <v>0.14005640765793431</v>
      </c>
      <c r="E327859" s="349">
        <v>9.5056407657934314E-2</v>
      </c>
      <c r="F327859" s="349">
        <v>0.26860000000000001</v>
      </c>
    </row>
    <row r="327860" spans="1:6" ht="16">
      <c r="A327860" s="347" t="s">
        <v>866</v>
      </c>
      <c r="B327860" s="348" t="s">
        <v>576</v>
      </c>
      <c r="C327860" s="349">
        <v>3.2779436317050999E-2</v>
      </c>
      <c r="D327860" s="349">
        <f t="shared" si="22"/>
        <v>8.9004412948338496E-2</v>
      </c>
      <c r="E327860" s="349">
        <v>4.4004412948338498E-2</v>
      </c>
      <c r="F327860" s="349">
        <v>0.3</v>
      </c>
    </row>
    <row r="327861" spans="1:6" ht="16">
      <c r="A327861" s="347" t="s">
        <v>339</v>
      </c>
      <c r="B327861" s="348" t="s">
        <v>586</v>
      </c>
      <c r="C327861" s="349">
        <v>9.8082219604926024E-2</v>
      </c>
      <c r="D327861" s="349">
        <f t="shared" si="22"/>
        <v>0.17666945436885656</v>
      </c>
      <c r="E327861" s="349">
        <v>0.13166945436885658</v>
      </c>
      <c r="F327861" s="349">
        <v>0.15</v>
      </c>
    </row>
    <row r="327862" spans="1:6" ht="16">
      <c r="A327862" s="347" t="s">
        <v>340</v>
      </c>
      <c r="B327862" s="348" t="s">
        <v>581</v>
      </c>
      <c r="C327862" s="349">
        <v>7.0808704231754685E-2</v>
      </c>
      <c r="D327862" s="349">
        <f t="shared" si="22"/>
        <v>0.14005640765793431</v>
      </c>
      <c r="E327862" s="349">
        <v>9.5056407657934314E-2</v>
      </c>
      <c r="F327862" s="349">
        <v>0.25</v>
      </c>
    </row>
    <row r="327863" spans="1:6" ht="16">
      <c r="A327863" s="353" t="s">
        <v>867</v>
      </c>
      <c r="B327863" s="348" t="s">
        <v>573</v>
      </c>
      <c r="C327863" s="349">
        <v>1.7414075543433341E-2</v>
      </c>
      <c r="D327863" s="349">
        <f t="shared" si="22"/>
        <v>6.8377344378804827E-2</v>
      </c>
      <c r="E327863" s="349">
        <v>2.3377344378804829E-2</v>
      </c>
      <c r="F327863" s="349">
        <v>0</v>
      </c>
    </row>
    <row r="327864" spans="1:6" ht="16">
      <c r="A327864" s="347" t="s">
        <v>431</v>
      </c>
      <c r="B327864" s="348" t="s">
        <v>572</v>
      </c>
      <c r="C327864" s="349">
        <v>5.9924907017108855E-2</v>
      </c>
      <c r="D327864" s="349">
        <f t="shared" si="22"/>
        <v>0.12544556742118129</v>
      </c>
      <c r="E327864" s="349">
        <v>8.0445567421181294E-2</v>
      </c>
      <c r="F327864" s="349">
        <v>0.3</v>
      </c>
    </row>
    <row r="327865" spans="1:6" ht="16">
      <c r="A327865" s="347" t="s">
        <v>341</v>
      </c>
      <c r="B327865" s="348" t="s">
        <v>688</v>
      </c>
      <c r="C327865" s="349">
        <v>0.13073361124886354</v>
      </c>
      <c r="D327865" s="349">
        <f t="shared" si="22"/>
        <v>0.22050197507911562</v>
      </c>
      <c r="E327865" s="349">
        <v>0.17550197507911564</v>
      </c>
      <c r="F327865" s="349">
        <v>0.18</v>
      </c>
    </row>
    <row r="327866" spans="1:6" ht="16">
      <c r="A327866" s="347" t="s">
        <v>342</v>
      </c>
      <c r="B327866" s="348" t="s">
        <v>568</v>
      </c>
      <c r="C327866" s="349">
        <v>5.3778762707661788E-3</v>
      </c>
      <c r="D327866" s="349">
        <f t="shared" si="22"/>
        <v>5.2219473999336782E-2</v>
      </c>
      <c r="E327866" s="349">
        <v>7.219473999336784E-3</v>
      </c>
      <c r="F327866" s="349">
        <v>0.25</v>
      </c>
    </row>
    <row r="327867" spans="1:6" ht="16">
      <c r="A327867" s="347" t="s">
        <v>343</v>
      </c>
      <c r="B327867" s="348" t="s">
        <v>580</v>
      </c>
      <c r="C327867" s="349">
        <v>6.5302783287875029E-3</v>
      </c>
      <c r="D327867" s="349">
        <f t="shared" si="22"/>
        <v>5.3766504142051808E-2</v>
      </c>
      <c r="E327867" s="349">
        <v>8.7665041420518092E-3</v>
      </c>
      <c r="F327867" s="349">
        <v>0.25</v>
      </c>
    </row>
    <row r="327868" spans="1:6" ht="16">
      <c r="A327868" s="347" t="s">
        <v>344</v>
      </c>
      <c r="B327868" s="348" t="s">
        <v>574</v>
      </c>
      <c r="C327868" s="349">
        <v>0</v>
      </c>
      <c r="D327868" s="349">
        <f t="shared" si="22"/>
        <v>4.4999999999999998E-2</v>
      </c>
      <c r="E327868" s="349">
        <v>0</v>
      </c>
      <c r="F327868" s="349">
        <v>0.25</v>
      </c>
    </row>
    <row r="327869" spans="1:6" ht="16">
      <c r="A327869" s="347" t="s">
        <v>345</v>
      </c>
      <c r="B327869" s="348" t="s">
        <v>571</v>
      </c>
      <c r="C327869" s="349">
        <v>2.0743237044383835E-2</v>
      </c>
      <c r="D327869" s="349">
        <f t="shared" si="22"/>
        <v>7.2846542568870451E-2</v>
      </c>
      <c r="E327869" s="349">
        <v>2.7846542568870453E-2</v>
      </c>
      <c r="F327869" s="349">
        <v>0.25</v>
      </c>
    </row>
    <row r="327870" spans="1:6" ht="16">
      <c r="A327870" s="347" t="s">
        <v>693</v>
      </c>
      <c r="B327870" s="348" t="s">
        <v>578</v>
      </c>
      <c r="C327870" s="349">
        <v>3.9181669972725021E-2</v>
      </c>
      <c r="D327870" s="349">
        <f t="shared" si="22"/>
        <v>9.7599024852310853E-2</v>
      </c>
      <c r="E327870" s="349">
        <v>5.2599024852310855E-2</v>
      </c>
      <c r="F327870" s="349">
        <v>0.15</v>
      </c>
    </row>
    <row r="327871" spans="1:6" ht="16">
      <c r="A327871" s="347" t="s">
        <v>346</v>
      </c>
      <c r="B327871" s="348" t="s">
        <v>615</v>
      </c>
      <c r="C327871" s="349">
        <v>0.17499999999999999</v>
      </c>
      <c r="D327871" s="349">
        <f t="shared" si="22"/>
        <v>0.27992692770782934</v>
      </c>
      <c r="E327871" s="349">
        <v>0.23492692770782936</v>
      </c>
      <c r="F327871" s="349">
        <v>0.34</v>
      </c>
    </row>
    <row r="327872" spans="1:6" ht="16">
      <c r="A327872" s="347" t="s">
        <v>347</v>
      </c>
      <c r="B327872" s="348" t="s">
        <v>576</v>
      </c>
      <c r="C327872" s="349">
        <v>3.2779436317050999E-2</v>
      </c>
      <c r="D327872" s="349">
        <f t="shared" si="22"/>
        <v>8.9004412948338496E-2</v>
      </c>
      <c r="E327872" s="349">
        <v>4.4004412948338498E-2</v>
      </c>
      <c r="F327872" s="349">
        <v>0.2</v>
      </c>
    </row>
    <row r="327873" spans="1:6" ht="16">
      <c r="A327873" s="350" t="s">
        <v>868</v>
      </c>
      <c r="B327873" s="348" t="s">
        <v>687</v>
      </c>
      <c r="C327873" s="349">
        <v>0.10896601681957191</v>
      </c>
      <c r="D327873" s="349">
        <f t="shared" si="22"/>
        <v>0.19128029460560964</v>
      </c>
      <c r="E327873" s="349">
        <v>0.14628029460560965</v>
      </c>
      <c r="F327873" s="349">
        <v>0.2</v>
      </c>
    </row>
    <row r="327874" spans="1:6" ht="16">
      <c r="A327874" s="347" t="s">
        <v>348</v>
      </c>
      <c r="B327874" s="348" t="s">
        <v>689</v>
      </c>
      <c r="C327874" s="349">
        <v>0.10896601681957188</v>
      </c>
      <c r="D327874" s="349">
        <f t="shared" si="22"/>
        <v>0.19128029460560964</v>
      </c>
      <c r="E327874" s="349">
        <v>0.14628029460560965</v>
      </c>
      <c r="F327874" s="349">
        <v>0.35</v>
      </c>
    </row>
    <row r="327875" spans="1:6" ht="16">
      <c r="A327875" s="351" t="s">
        <v>612</v>
      </c>
      <c r="B327875" s="348" t="s">
        <v>687</v>
      </c>
      <c r="C327875" s="349">
        <v>9.8082219604926024E-2</v>
      </c>
      <c r="D327875" s="349">
        <f t="shared" si="22"/>
        <v>0.17666945436885656</v>
      </c>
      <c r="E327875" s="349">
        <v>0.13166945436885658</v>
      </c>
      <c r="F327875" s="349">
        <v>0.25</v>
      </c>
    </row>
    <row r="327880" spans="1:6">
      <c r="A327880" s="354" t="s">
        <v>352</v>
      </c>
      <c r="B327880" s="355" t="s">
        <v>376</v>
      </c>
      <c r="C327880" s="355" t="s">
        <v>869</v>
      </c>
      <c r="D327880" s="355" t="s">
        <v>694</v>
      </c>
      <c r="E327880" s="355" t="s">
        <v>870</v>
      </c>
    </row>
    <row r="327881" spans="1:6">
      <c r="A327881" s="356" t="s">
        <v>355</v>
      </c>
      <c r="B327881" s="357">
        <f>$B$1+E327881</f>
        <v>0.13663852306889546</v>
      </c>
      <c r="C327881" s="357">
        <v>6.8262679351091926E-2</v>
      </c>
      <c r="D327881" s="357">
        <v>0.27302836489005694</v>
      </c>
      <c r="E327881" s="357">
        <v>9.1638523068895444E-2</v>
      </c>
    </row>
    <row r="327882" spans="1:6">
      <c r="A327882" s="356" t="s">
        <v>428</v>
      </c>
      <c r="B327882" s="357">
        <f t="shared" ref="B327882:B327890" si="23">$B$1+E327882</f>
        <v>6.1805405008578562E-2</v>
      </c>
      <c r="C327882" s="357">
        <v>1.2518555898193178E-2</v>
      </c>
      <c r="D327882" s="357">
        <v>0.2576437502455447</v>
      </c>
      <c r="E327882" s="357">
        <v>1.6805405008578567E-2</v>
      </c>
    </row>
    <row r="327883" spans="1:6">
      <c r="A327883" s="356" t="s">
        <v>357</v>
      </c>
      <c r="B327883" s="357">
        <f t="shared" si="23"/>
        <v>4.5047923618641933E-2</v>
      </c>
      <c r="C327883" s="357">
        <v>3.5698901544265913E-5</v>
      </c>
      <c r="D327883" s="357">
        <v>0.29744361328762281</v>
      </c>
      <c r="E327883" s="357">
        <v>4.7923618641935289E-5</v>
      </c>
    </row>
    <row r="327884" spans="1:6">
      <c r="A327884" s="356" t="s">
        <v>359</v>
      </c>
      <c r="B327884" s="357">
        <f t="shared" si="23"/>
        <v>0.1865348819700155</v>
      </c>
      <c r="C327884" s="357">
        <v>0.1054310997313879</v>
      </c>
      <c r="D327884" s="357">
        <v>0.2724561140242252</v>
      </c>
      <c r="E327884" s="357">
        <v>0.14153488197001549</v>
      </c>
    </row>
    <row r="327885" spans="1:6">
      <c r="A327885" s="356" t="s">
        <v>356</v>
      </c>
      <c r="B327885" s="357">
        <f t="shared" si="23"/>
        <v>0.10261091058162494</v>
      </c>
      <c r="C327885" s="357">
        <v>4.2915086193622262E-2</v>
      </c>
      <c r="D327885" s="357">
        <v>0.31595749426030023</v>
      </c>
      <c r="E327885" s="357">
        <v>5.7610910581624951E-2</v>
      </c>
    </row>
    <row r="327886" spans="1:6">
      <c r="A327886" s="356" t="s">
        <v>354</v>
      </c>
      <c r="B327886" s="357">
        <f t="shared" si="23"/>
        <v>9.5579383477192262E-2</v>
      </c>
      <c r="C327886" s="357">
        <v>3.7670398345457844E-2</v>
      </c>
      <c r="D327886" s="357">
        <v>0.18485819102180306</v>
      </c>
      <c r="E327886" s="357">
        <v>5.0579383477192263E-2</v>
      </c>
    </row>
    <row r="327887" spans="1:6">
      <c r="A327887" s="356" t="s">
        <v>360</v>
      </c>
      <c r="B327887" s="357">
        <f t="shared" si="23"/>
        <v>6.6589990892489848E-2</v>
      </c>
      <c r="C327887" s="357">
        <v>1.6082653627874467E-2</v>
      </c>
      <c r="D327887" s="357">
        <v>0.18760152153615242</v>
      </c>
      <c r="E327887" s="357">
        <v>2.1589990892489853E-2</v>
      </c>
    </row>
    <row r="327888" spans="1:6">
      <c r="A327888" s="356" t="s">
        <v>362</v>
      </c>
      <c r="B327888" s="357">
        <f t="shared" si="23"/>
        <v>4.4999999999999998E-2</v>
      </c>
      <c r="C327888" s="357">
        <v>0</v>
      </c>
      <c r="D327888" s="357">
        <v>0.25116286561170831</v>
      </c>
      <c r="E327888" s="357">
        <v>0</v>
      </c>
    </row>
    <row r="327889" spans="1:5">
      <c r="A327889" s="356" t="s">
        <v>353</v>
      </c>
      <c r="B327889" s="357">
        <f t="shared" si="23"/>
        <v>5.7871606293643366E-2</v>
      </c>
      <c r="C327889" s="357">
        <v>9.5882201472833571E-3</v>
      </c>
      <c r="D327889" s="357">
        <v>0.24707349543413576</v>
      </c>
      <c r="E327889" s="357">
        <v>1.2871606293643371E-2</v>
      </c>
    </row>
    <row r="327890" spans="1:5">
      <c r="A327890" s="356" t="s">
        <v>491</v>
      </c>
      <c r="B327890" s="357">
        <f t="shared" si="23"/>
        <v>6.3100000000000003E-2</v>
      </c>
      <c r="C327890" s="357">
        <v>1.35E-2</v>
      </c>
      <c r="D327890" s="357">
        <v>0.25225942509764748</v>
      </c>
      <c r="E327890" s="357">
        <v>1.8100000000000002E-2</v>
      </c>
    </row>
    <row r="393217" spans="1:6">
      <c r="A393217" t="s">
        <v>613</v>
      </c>
      <c r="B393217" s="242">
        <v>4.5999999999999999E-2</v>
      </c>
      <c r="C393217" t="s">
        <v>847</v>
      </c>
    </row>
    <row r="393218" spans="1:6" ht="14">
      <c r="A393218" s="275" t="s">
        <v>686</v>
      </c>
      <c r="B393218" s="275"/>
      <c r="C393218" s="275"/>
      <c r="D393218" s="275"/>
      <c r="E393218" s="275"/>
      <c r="F393218" s="275"/>
    </row>
    <row r="393220" spans="1:6" ht="16">
      <c r="A393220" s="344" t="s">
        <v>349</v>
      </c>
      <c r="B393220" s="345" t="s">
        <v>566</v>
      </c>
      <c r="C393220" s="346" t="s">
        <v>350</v>
      </c>
      <c r="D393220" s="346" t="s">
        <v>567</v>
      </c>
      <c r="E393220" s="346" t="s">
        <v>351</v>
      </c>
      <c r="F393220" s="346" t="s">
        <v>519</v>
      </c>
    </row>
    <row r="393221" spans="1:6" ht="16">
      <c r="A393221" s="347" t="s">
        <v>481</v>
      </c>
      <c r="B393221" s="348" t="s">
        <v>568</v>
      </c>
      <c r="C393221" s="349">
        <v>5.3778762707661788E-3</v>
      </c>
      <c r="D393221" s="349">
        <f>$B$1+E393221</f>
        <v>5.2219473999336782E-2</v>
      </c>
      <c r="E393221" s="349">
        <v>7.219473999336784E-3</v>
      </c>
      <c r="F393221" s="349">
        <v>0.15</v>
      </c>
    </row>
    <row r="393222" spans="1:6" ht="16">
      <c r="A393222" s="347" t="s">
        <v>245</v>
      </c>
      <c r="B393222" s="348" t="s">
        <v>569</v>
      </c>
      <c r="C393222" s="349">
        <v>4.9041109802463012E-2</v>
      </c>
      <c r="D393222" s="349">
        <f t="shared" ref="D393222:D393285" si="24">$B$1+E393222</f>
        <v>0.11083472718442829</v>
      </c>
      <c r="E393222" s="349">
        <v>6.5834727184428288E-2</v>
      </c>
      <c r="F393222" s="349">
        <v>0.15</v>
      </c>
    </row>
    <row r="393223" spans="1:6" ht="16">
      <c r="A393223" s="350" t="s">
        <v>570</v>
      </c>
      <c r="B393223" s="348" t="s">
        <v>687</v>
      </c>
      <c r="C393223" s="349">
        <v>4.9041109802463012E-2</v>
      </c>
      <c r="D393223" s="349">
        <f t="shared" si="24"/>
        <v>0.11083472718442829</v>
      </c>
      <c r="E393223" s="349">
        <v>6.5834727184428288E-2</v>
      </c>
      <c r="F393223" s="349">
        <v>0.26</v>
      </c>
    </row>
    <row r="393224" spans="1:6" ht="16">
      <c r="A393224" s="347" t="s">
        <v>499</v>
      </c>
      <c r="B393224" s="348" t="s">
        <v>571</v>
      </c>
      <c r="C393224" s="349">
        <v>2.0743237044383835E-2</v>
      </c>
      <c r="D393224" s="349">
        <f t="shared" si="24"/>
        <v>7.2846542568870451E-2</v>
      </c>
      <c r="E393224" s="349">
        <v>2.7846542568870453E-2</v>
      </c>
      <c r="F393224" s="349">
        <v>0.1898</v>
      </c>
    </row>
    <row r="393225" spans="1:6" ht="16">
      <c r="A393225" s="347" t="s">
        <v>246</v>
      </c>
      <c r="B393225" s="348" t="s">
        <v>581</v>
      </c>
      <c r="C393225" s="349">
        <v>7.0808704231754685E-2</v>
      </c>
      <c r="D393225" s="349">
        <f t="shared" si="24"/>
        <v>0.14005640765793431</v>
      </c>
      <c r="E393225" s="349">
        <v>9.5056407657934314E-2</v>
      </c>
      <c r="F393225" s="349">
        <v>0.25</v>
      </c>
    </row>
    <row r="393226" spans="1:6" ht="16">
      <c r="A393226" s="347" t="s">
        <v>848</v>
      </c>
      <c r="B393226" s="154" t="s">
        <v>687</v>
      </c>
      <c r="C393226" s="277">
        <v>0.1054310997313879</v>
      </c>
      <c r="D393226" s="349">
        <f t="shared" si="24"/>
        <v>0.23253488197001548</v>
      </c>
      <c r="E393226" s="277">
        <v>0.1875348819700155</v>
      </c>
      <c r="F393226" s="277">
        <v>0.2724561140242252</v>
      </c>
    </row>
    <row r="393227" spans="1:6" ht="16">
      <c r="A393227" s="347" t="s">
        <v>849</v>
      </c>
      <c r="B393227" s="154" t="s">
        <v>687</v>
      </c>
      <c r="C393227" s="277">
        <v>0.1054310997313879</v>
      </c>
      <c r="D393227" s="349">
        <f t="shared" si="24"/>
        <v>0.23253488197001548</v>
      </c>
      <c r="E393227" s="277">
        <v>0.1875348819700155</v>
      </c>
      <c r="F393227" s="277">
        <v>0.2724561140242252</v>
      </c>
    </row>
    <row r="393228" spans="1:6" ht="16">
      <c r="A393228" s="347" t="s">
        <v>247</v>
      </c>
      <c r="B393228" s="348" t="s">
        <v>688</v>
      </c>
      <c r="C393228" s="349">
        <v>0.13073361124886354</v>
      </c>
      <c r="D393228" s="349">
        <f t="shared" si="24"/>
        <v>0.22050197507911562</v>
      </c>
      <c r="E393228" s="349">
        <v>0.17550197507911564</v>
      </c>
      <c r="F393228" s="349">
        <v>0.35</v>
      </c>
    </row>
    <row r="393229" spans="1:6" ht="16">
      <c r="A393229" s="347" t="s">
        <v>248</v>
      </c>
      <c r="B393229" s="348" t="s">
        <v>578</v>
      </c>
      <c r="C393229" s="349">
        <v>3.9181669972725021E-2</v>
      </c>
      <c r="D393229" s="349">
        <f t="shared" si="24"/>
        <v>9.7599024852310853E-2</v>
      </c>
      <c r="E393229" s="349">
        <v>5.2599024852310855E-2</v>
      </c>
      <c r="F393229" s="349">
        <v>0.18</v>
      </c>
    </row>
    <row r="393230" spans="1:6" ht="16">
      <c r="A393230" s="347" t="s">
        <v>249</v>
      </c>
      <c r="B393230" s="348" t="s">
        <v>571</v>
      </c>
      <c r="C393230" s="349">
        <v>2.0743237044383835E-2</v>
      </c>
      <c r="D393230" s="349">
        <f t="shared" si="24"/>
        <v>7.2846542568870451E-2</v>
      </c>
      <c r="E393230" s="349">
        <v>2.7846542568870453E-2</v>
      </c>
      <c r="F393230" s="349">
        <v>0.25</v>
      </c>
    </row>
    <row r="393231" spans="1:6" ht="16">
      <c r="A393231" s="347" t="s">
        <v>250</v>
      </c>
      <c r="B393231" s="348" t="s">
        <v>574</v>
      </c>
      <c r="C393231" s="349">
        <v>0</v>
      </c>
      <c r="D393231" s="349">
        <f t="shared" si="24"/>
        <v>4.4999999999999998E-2</v>
      </c>
      <c r="E393231" s="349">
        <v>0</v>
      </c>
      <c r="F393231" s="349">
        <v>0.3</v>
      </c>
    </row>
    <row r="393232" spans="1:6" ht="16">
      <c r="A393232" s="347" t="s">
        <v>251</v>
      </c>
      <c r="B393232" s="348" t="s">
        <v>575</v>
      </c>
      <c r="C393232" s="349">
        <v>4.3535188858583353E-3</v>
      </c>
      <c r="D393232" s="349">
        <f t="shared" si="24"/>
        <v>5.0844336094701202E-2</v>
      </c>
      <c r="E393232" s="349">
        <v>5.8443360947012038E-3</v>
      </c>
      <c r="F393232" s="349">
        <v>0.24</v>
      </c>
    </row>
    <row r="393233" spans="1:6" ht="16">
      <c r="A393233" s="347" t="s">
        <v>358</v>
      </c>
      <c r="B393233" s="348" t="s">
        <v>589</v>
      </c>
      <c r="C393233" s="349">
        <v>2.7273515373171343E-2</v>
      </c>
      <c r="D393233" s="349">
        <f t="shared" si="24"/>
        <v>8.161304671092226E-2</v>
      </c>
      <c r="E393233" s="349">
        <v>3.6613046710922262E-2</v>
      </c>
      <c r="F393233" s="349">
        <v>0.2</v>
      </c>
    </row>
    <row r="393234" spans="1:6" ht="16">
      <c r="A393234" s="347" t="s">
        <v>252</v>
      </c>
      <c r="B393234" s="348" t="s">
        <v>569</v>
      </c>
      <c r="C393234" s="349">
        <v>4.9041109802463012E-2</v>
      </c>
      <c r="D393234" s="349">
        <f t="shared" si="24"/>
        <v>0.11083472718442829</v>
      </c>
      <c r="E393234" s="349">
        <v>6.5834727184428288E-2</v>
      </c>
      <c r="F393234" s="349">
        <v>0</v>
      </c>
    </row>
    <row r="393235" spans="1:6" ht="16">
      <c r="A393235" s="347" t="s">
        <v>253</v>
      </c>
      <c r="B393235" s="348" t="s">
        <v>572</v>
      </c>
      <c r="C393235" s="349">
        <v>5.9924907017108855E-2</v>
      </c>
      <c r="D393235" s="349">
        <f t="shared" si="24"/>
        <v>0.12544556742118129</v>
      </c>
      <c r="E393235" s="349">
        <v>8.0445567421181294E-2</v>
      </c>
      <c r="F393235" s="349">
        <v>0</v>
      </c>
    </row>
    <row r="393236" spans="1:6" ht="16">
      <c r="A393236" s="347" t="s">
        <v>254</v>
      </c>
      <c r="B393236" s="348" t="s">
        <v>569</v>
      </c>
      <c r="C393236" s="349">
        <v>4.9041109802463012E-2</v>
      </c>
      <c r="D393236" s="349">
        <f t="shared" si="24"/>
        <v>0.11083472718442829</v>
      </c>
      <c r="E393236" s="349">
        <v>6.5834727184428288E-2</v>
      </c>
      <c r="F393236" s="349">
        <v>0.3</v>
      </c>
    </row>
    <row r="393237" spans="1:6" ht="16">
      <c r="A393237" s="347" t="s">
        <v>255</v>
      </c>
      <c r="B393237" s="348" t="s">
        <v>581</v>
      </c>
      <c r="C393237" s="349">
        <v>7.0808704231754685E-2</v>
      </c>
      <c r="D393237" s="349">
        <f t="shared" si="24"/>
        <v>0.14005640765793431</v>
      </c>
      <c r="E393237" s="349">
        <v>9.5056407657934314E-2</v>
      </c>
      <c r="F393237" s="349">
        <v>5.5E-2</v>
      </c>
    </row>
    <row r="393238" spans="1:6" ht="16">
      <c r="A393238" s="347" t="s">
        <v>256</v>
      </c>
      <c r="B393238" s="348" t="s">
        <v>615</v>
      </c>
      <c r="C393238" s="349">
        <v>0.17499999999999999</v>
      </c>
      <c r="D393238" s="349">
        <f t="shared" si="24"/>
        <v>0.27992692770782934</v>
      </c>
      <c r="E393238" s="349">
        <v>0.23492692770782936</v>
      </c>
      <c r="F393238" s="349">
        <v>0.18</v>
      </c>
    </row>
    <row r="393239" spans="1:6" ht="16">
      <c r="A393239" s="347" t="s">
        <v>257</v>
      </c>
      <c r="B393239" s="348" t="s">
        <v>580</v>
      </c>
      <c r="C393239" s="349">
        <v>6.5302783287875029E-3</v>
      </c>
      <c r="D393239" s="349">
        <f t="shared" si="24"/>
        <v>5.3766504142051808E-2</v>
      </c>
      <c r="E393239" s="349">
        <v>8.7665041420518092E-3</v>
      </c>
      <c r="F393239" s="349">
        <v>0.25</v>
      </c>
    </row>
    <row r="393240" spans="1:6" ht="16">
      <c r="A393240" s="347" t="s">
        <v>361</v>
      </c>
      <c r="B393240" s="348" t="s">
        <v>586</v>
      </c>
      <c r="C393240" s="349">
        <v>9.8082219604926024E-2</v>
      </c>
      <c r="D393240" s="349">
        <f t="shared" si="24"/>
        <v>0.17666945436885656</v>
      </c>
      <c r="E393240" s="349">
        <v>0.13166945436885658</v>
      </c>
      <c r="F393240" s="349">
        <v>0.2853</v>
      </c>
    </row>
    <row r="393241" spans="1:6" ht="16">
      <c r="A393241" s="347" t="s">
        <v>582</v>
      </c>
      <c r="B393241" s="348" t="s">
        <v>569</v>
      </c>
      <c r="C393241" s="349">
        <v>4.9041109802463012E-2</v>
      </c>
      <c r="D393241" s="349">
        <f t="shared" si="24"/>
        <v>0.11083472718442829</v>
      </c>
      <c r="E393241" s="349">
        <v>6.5834727184428288E-2</v>
      </c>
      <c r="F393241" s="349">
        <v>0.3</v>
      </c>
    </row>
    <row r="393242" spans="1:6" ht="16">
      <c r="A393242" s="347" t="s">
        <v>258</v>
      </c>
      <c r="B393242" s="348" t="s">
        <v>583</v>
      </c>
      <c r="C393242" s="349">
        <v>9.2192164641705932E-3</v>
      </c>
      <c r="D393242" s="349">
        <f t="shared" si="24"/>
        <v>5.73762411417202E-2</v>
      </c>
      <c r="E393242" s="349">
        <v>1.2376241141720201E-2</v>
      </c>
      <c r="F393242" s="349">
        <v>0</v>
      </c>
    </row>
    <row r="393243" spans="1:6" ht="16">
      <c r="A393243" s="347" t="s">
        <v>259</v>
      </c>
      <c r="B393243" s="348" t="s">
        <v>579</v>
      </c>
      <c r="C393243" s="349">
        <v>8.1692501446400528E-2</v>
      </c>
      <c r="D393243" s="349">
        <f t="shared" si="24"/>
        <v>0.15466724789468733</v>
      </c>
      <c r="E393243" s="349">
        <v>0.10966724789468733</v>
      </c>
      <c r="F393243" s="349">
        <v>0.25</v>
      </c>
    </row>
    <row r="393244" spans="1:6" ht="16">
      <c r="A393244" s="347" t="s">
        <v>260</v>
      </c>
      <c r="B393244" s="348" t="s">
        <v>581</v>
      </c>
      <c r="C393244" s="349">
        <v>7.0808704231754685E-2</v>
      </c>
      <c r="D393244" s="349">
        <f t="shared" si="24"/>
        <v>0.14005640765793431</v>
      </c>
      <c r="E393244" s="349">
        <v>9.5056407657934314E-2</v>
      </c>
      <c r="F393244" s="349">
        <v>0.1</v>
      </c>
    </row>
    <row r="393245" spans="1:6" ht="16">
      <c r="A393245" s="347" t="s">
        <v>261</v>
      </c>
      <c r="B393245" s="348" t="s">
        <v>587</v>
      </c>
      <c r="C393245" s="349">
        <v>1.3060556657575006E-2</v>
      </c>
      <c r="D393245" s="349">
        <f t="shared" si="24"/>
        <v>6.2533008284103617E-2</v>
      </c>
      <c r="E393245" s="349">
        <v>1.7533008284103618E-2</v>
      </c>
      <c r="F393245" s="349">
        <v>0.22</v>
      </c>
    </row>
    <row r="393246" spans="1:6" ht="16">
      <c r="A393246" s="347" t="s">
        <v>262</v>
      </c>
      <c r="B393246" s="348" t="s">
        <v>576</v>
      </c>
      <c r="C393246" s="349">
        <v>3.2779436317050999E-2</v>
      </c>
      <c r="D393246" s="349">
        <f t="shared" si="24"/>
        <v>8.9004412948338496E-2</v>
      </c>
      <c r="E393246" s="349">
        <v>4.4004412948338498E-2</v>
      </c>
      <c r="F393246" s="349">
        <v>0.34</v>
      </c>
    </row>
    <row r="393247" spans="1:6" ht="16">
      <c r="A393247" s="347" t="s">
        <v>850</v>
      </c>
      <c r="B393247" s="348" t="s">
        <v>576</v>
      </c>
      <c r="C393247" s="349">
        <v>3.2779436317050999E-2</v>
      </c>
      <c r="D393247" s="349">
        <f t="shared" si="24"/>
        <v>8.9004412948338496E-2</v>
      </c>
      <c r="E393247" s="349">
        <v>4.4004412948338498E-2</v>
      </c>
      <c r="F393247" s="349">
        <v>0.34</v>
      </c>
    </row>
    <row r="393248" spans="1:6" ht="16">
      <c r="A393248" s="351" t="s">
        <v>584</v>
      </c>
      <c r="B393248" s="348" t="s">
        <v>687</v>
      </c>
      <c r="C393248" s="349">
        <v>6.5302783287875029E-3</v>
      </c>
      <c r="D393248" s="349">
        <f t="shared" si="24"/>
        <v>5.3766504142051808E-2</v>
      </c>
      <c r="E393248" s="349">
        <v>8.7665041420518092E-3</v>
      </c>
      <c r="F393248" s="349">
        <v>0.185</v>
      </c>
    </row>
    <row r="393249" spans="1:6" ht="16">
      <c r="A393249" s="347" t="s">
        <v>263</v>
      </c>
      <c r="B393249" s="348" t="s">
        <v>573</v>
      </c>
      <c r="C393249" s="349">
        <v>1.7414075543433341E-2</v>
      </c>
      <c r="D393249" s="349">
        <f t="shared" si="24"/>
        <v>6.8377344378804827E-2</v>
      </c>
      <c r="E393249" s="349">
        <v>2.3377344378804829E-2</v>
      </c>
      <c r="F393249" s="349">
        <v>0.1</v>
      </c>
    </row>
    <row r="393250" spans="1:6" ht="16">
      <c r="A393250" s="347" t="s">
        <v>482</v>
      </c>
      <c r="B393250" s="348" t="s">
        <v>579</v>
      </c>
      <c r="C393250" s="349">
        <v>8.1692501446400528E-2</v>
      </c>
      <c r="D393250" s="349">
        <f t="shared" si="24"/>
        <v>0.15466724789468733</v>
      </c>
      <c r="E393250" s="349">
        <v>0.10966724789468733</v>
      </c>
      <c r="F393250" s="349">
        <v>0.28000000000000003</v>
      </c>
    </row>
    <row r="393251" spans="1:6" ht="16">
      <c r="A393251" s="347" t="s">
        <v>264</v>
      </c>
      <c r="B393251" s="348" t="s">
        <v>572</v>
      </c>
      <c r="C393251" s="349">
        <v>5.9924907017108855E-2</v>
      </c>
      <c r="D393251" s="349">
        <f t="shared" si="24"/>
        <v>0.12544556742118129</v>
      </c>
      <c r="E393251" s="349">
        <v>8.0445567421181294E-2</v>
      </c>
      <c r="F393251" s="349">
        <v>0.2</v>
      </c>
    </row>
    <row r="393252" spans="1:6" ht="16">
      <c r="A393252" s="347" t="s">
        <v>483</v>
      </c>
      <c r="B393252" s="348" t="s">
        <v>579</v>
      </c>
      <c r="C393252" s="349">
        <v>8.1692501446400528E-2</v>
      </c>
      <c r="D393252" s="349">
        <f t="shared" si="24"/>
        <v>0.15466724789468733</v>
      </c>
      <c r="E393252" s="349">
        <v>0.10966724789468733</v>
      </c>
      <c r="F393252" s="349">
        <v>0.33</v>
      </c>
    </row>
    <row r="393253" spans="1:6" ht="16">
      <c r="A393253" s="347" t="s">
        <v>265</v>
      </c>
      <c r="B393253" s="348" t="s">
        <v>574</v>
      </c>
      <c r="C393253" s="349">
        <v>0</v>
      </c>
      <c r="D393253" s="349">
        <f t="shared" si="24"/>
        <v>4.4999999999999998E-2</v>
      </c>
      <c r="E393253" s="349">
        <v>0</v>
      </c>
      <c r="F393253" s="349">
        <v>0.26500000000000001</v>
      </c>
    </row>
    <row r="393254" spans="1:6" ht="16">
      <c r="A393254" s="347" t="s">
        <v>484</v>
      </c>
      <c r="B393254" s="348" t="s">
        <v>581</v>
      </c>
      <c r="C393254" s="349">
        <v>7.0808704231754685E-2</v>
      </c>
      <c r="D393254" s="349">
        <f t="shared" si="24"/>
        <v>0.14005640765793431</v>
      </c>
      <c r="E393254" s="349">
        <v>9.5056407657934314E-2</v>
      </c>
      <c r="F393254" s="349">
        <v>0</v>
      </c>
    </row>
    <row r="393255" spans="1:6" ht="16">
      <c r="A393255" s="347" t="s">
        <v>266</v>
      </c>
      <c r="B393255" s="348" t="s">
        <v>580</v>
      </c>
      <c r="C393255" s="349">
        <v>6.5302783287875029E-3</v>
      </c>
      <c r="D393255" s="349">
        <f t="shared" si="24"/>
        <v>5.3766504142051808E-2</v>
      </c>
      <c r="E393255" s="349">
        <v>8.7665041420518092E-3</v>
      </c>
      <c r="F393255" s="349">
        <v>0</v>
      </c>
    </row>
    <row r="393256" spans="1:6" ht="16">
      <c r="A393256" s="347" t="s">
        <v>851</v>
      </c>
      <c r="B393256" s="154" t="s">
        <v>687</v>
      </c>
      <c r="C393256" s="277">
        <v>9.5882201472833571E-3</v>
      </c>
      <c r="D393256" s="349">
        <f t="shared" si="24"/>
        <v>0.10387160629364336</v>
      </c>
      <c r="E393256" s="277">
        <v>5.8871606293643367E-2</v>
      </c>
      <c r="F393256" s="277">
        <v>0.24707349543413576</v>
      </c>
    </row>
    <row r="393257" spans="1:6" ht="16">
      <c r="A393257" s="347" t="s">
        <v>267</v>
      </c>
      <c r="B393257" s="348" t="s">
        <v>583</v>
      </c>
      <c r="C393257" s="349">
        <v>9.2192164641705932E-3</v>
      </c>
      <c r="D393257" s="349">
        <f t="shared" si="24"/>
        <v>5.73762411417202E-2</v>
      </c>
      <c r="E393257" s="349">
        <v>1.2376241141720201E-2</v>
      </c>
      <c r="F393257" s="349">
        <v>0.27</v>
      </c>
    </row>
    <row r="393258" spans="1:6" ht="16">
      <c r="A393258" s="347" t="s">
        <v>268</v>
      </c>
      <c r="B393258" s="348" t="s">
        <v>585</v>
      </c>
      <c r="C393258" s="349">
        <v>7.6826803868088279E-3</v>
      </c>
      <c r="D393258" s="349">
        <f t="shared" si="24"/>
        <v>5.5313534284766833E-2</v>
      </c>
      <c r="E393258" s="349">
        <v>1.0313534284766834E-2</v>
      </c>
      <c r="F393258" s="349">
        <v>0.25</v>
      </c>
    </row>
    <row r="393259" spans="1:6" ht="16">
      <c r="A393259" s="347" t="s">
        <v>269</v>
      </c>
      <c r="B393259" s="348" t="s">
        <v>571</v>
      </c>
      <c r="C393259" s="349">
        <v>2.0743237044383835E-2</v>
      </c>
      <c r="D393259" s="349">
        <f t="shared" si="24"/>
        <v>7.2846542568870451E-2</v>
      </c>
      <c r="E393259" s="349">
        <v>2.7846542568870453E-2</v>
      </c>
      <c r="F393259" s="349">
        <v>0.35</v>
      </c>
    </row>
    <row r="393260" spans="1:6" ht="16">
      <c r="A393260" s="347" t="s">
        <v>500</v>
      </c>
      <c r="B393260" s="348" t="s">
        <v>581</v>
      </c>
      <c r="C393260" s="349">
        <v>7.0808704231754685E-2</v>
      </c>
      <c r="D393260" s="349">
        <f t="shared" si="24"/>
        <v>0.14005640765793431</v>
      </c>
      <c r="E393260" s="349">
        <v>9.5056407657934314E-2</v>
      </c>
      <c r="F393260" s="349">
        <v>0.3</v>
      </c>
    </row>
    <row r="393261" spans="1:6" ht="16">
      <c r="A393261" s="347" t="s">
        <v>501</v>
      </c>
      <c r="B393261" s="348" t="s">
        <v>586</v>
      </c>
      <c r="C393261" s="349">
        <v>9.8082219604926024E-2</v>
      </c>
      <c r="D393261" s="349">
        <f t="shared" si="24"/>
        <v>0.17666945436885656</v>
      </c>
      <c r="E393261" s="349">
        <v>0.13166945436885658</v>
      </c>
      <c r="F393261" s="349">
        <v>0.28000000000000003</v>
      </c>
    </row>
    <row r="393262" spans="1:6" ht="16">
      <c r="A393262" s="347" t="s">
        <v>485</v>
      </c>
      <c r="B393262" s="348" t="s">
        <v>569</v>
      </c>
      <c r="C393262" s="349">
        <v>4.9041109802463012E-2</v>
      </c>
      <c r="D393262" s="349">
        <f t="shared" si="24"/>
        <v>0.11083472718442829</v>
      </c>
      <c r="E393262" s="349">
        <v>6.5834727184428288E-2</v>
      </c>
      <c r="F393262" s="349">
        <v>0.2974</v>
      </c>
    </row>
    <row r="393263" spans="1:6" ht="16">
      <c r="A393263" s="347" t="s">
        <v>270</v>
      </c>
      <c r="B393263" s="348" t="s">
        <v>569</v>
      </c>
      <c r="C393263" s="349">
        <v>4.9041109802463012E-2</v>
      </c>
      <c r="D393263" s="349">
        <f t="shared" si="24"/>
        <v>0.11083472718442829</v>
      </c>
      <c r="E393263" s="349">
        <v>6.5834727184428288E-2</v>
      </c>
      <c r="F393263" s="349">
        <v>0.3</v>
      </c>
    </row>
    <row r="393264" spans="1:6" ht="16">
      <c r="A393264" s="347" t="s">
        <v>271</v>
      </c>
      <c r="B393264" s="348" t="s">
        <v>571</v>
      </c>
      <c r="C393264" s="349">
        <v>2.0743237044383835E-2</v>
      </c>
      <c r="D393264" s="349">
        <f t="shared" si="24"/>
        <v>7.2846542568870451E-2</v>
      </c>
      <c r="E393264" s="349">
        <v>2.7846542568870453E-2</v>
      </c>
      <c r="F393264" s="349">
        <v>0.18</v>
      </c>
    </row>
    <row r="393265" spans="1:6" ht="16">
      <c r="A393265" s="347" t="s">
        <v>363</v>
      </c>
      <c r="B393265" s="348" t="s">
        <v>688</v>
      </c>
      <c r="C393265" s="349">
        <v>0.13073361124886354</v>
      </c>
      <c r="D393265" s="349">
        <f t="shared" si="24"/>
        <v>0.22050197507911562</v>
      </c>
      <c r="E393265" s="349">
        <v>0.17550197507911564</v>
      </c>
      <c r="F393265" s="349">
        <v>0.2853</v>
      </c>
    </row>
    <row r="393266" spans="1:6" ht="16">
      <c r="A393266" s="352" t="s">
        <v>852</v>
      </c>
      <c r="B393266" s="348" t="s">
        <v>571</v>
      </c>
      <c r="C393266" s="349">
        <v>2.0743237044383835E-2</v>
      </c>
      <c r="D393266" s="349">
        <f t="shared" si="24"/>
        <v>7.2846542568870451E-2</v>
      </c>
      <c r="E393266" s="349">
        <v>2.7846542568870453E-2</v>
      </c>
      <c r="F393266" s="349">
        <v>0.22</v>
      </c>
    </row>
    <row r="393267" spans="1:6" ht="16">
      <c r="A393267" s="347" t="s">
        <v>272</v>
      </c>
      <c r="B393267" s="348" t="s">
        <v>571</v>
      </c>
      <c r="C393267" s="349">
        <v>2.0743237044383835E-2</v>
      </c>
      <c r="D393267" s="349">
        <f t="shared" si="24"/>
        <v>7.2846542568870451E-2</v>
      </c>
      <c r="E393267" s="349">
        <v>2.7846542568870453E-2</v>
      </c>
      <c r="F393267" s="349">
        <v>0.125</v>
      </c>
    </row>
    <row r="393268" spans="1:6" ht="16">
      <c r="A393268" s="347" t="s">
        <v>273</v>
      </c>
      <c r="B393268" s="348" t="s">
        <v>580</v>
      </c>
      <c r="C393268" s="349">
        <v>6.5302783287875029E-3</v>
      </c>
      <c r="D393268" s="349">
        <f t="shared" si="24"/>
        <v>5.3766504142051808E-2</v>
      </c>
      <c r="E393268" s="349">
        <v>8.7665041420518092E-3</v>
      </c>
      <c r="F393268" s="349">
        <v>0.19</v>
      </c>
    </row>
    <row r="393269" spans="1:6" ht="16">
      <c r="A393269" s="347" t="s">
        <v>274</v>
      </c>
      <c r="B393269" s="348" t="s">
        <v>574</v>
      </c>
      <c r="C393269" s="349">
        <v>0</v>
      </c>
      <c r="D393269" s="349">
        <f t="shared" si="24"/>
        <v>4.4999999999999998E-2</v>
      </c>
      <c r="E393269" s="349">
        <v>0</v>
      </c>
      <c r="F393269" s="349">
        <v>0.22</v>
      </c>
    </row>
    <row r="393270" spans="1:6" ht="16">
      <c r="A393270" s="347" t="s">
        <v>275</v>
      </c>
      <c r="B393270" s="348" t="s">
        <v>578</v>
      </c>
      <c r="C393270" s="349">
        <v>3.9181669972725021E-2</v>
      </c>
      <c r="D393270" s="349">
        <f t="shared" si="24"/>
        <v>9.7599024852310853E-2</v>
      </c>
      <c r="E393270" s="349">
        <v>5.2599024852310855E-2</v>
      </c>
      <c r="F393270" s="349">
        <v>0.27</v>
      </c>
    </row>
    <row r="393271" spans="1:6" ht="16">
      <c r="A393271" s="347" t="s">
        <v>276</v>
      </c>
      <c r="B393271" s="348" t="s">
        <v>689</v>
      </c>
      <c r="C393271" s="349">
        <v>0.10896601681957188</v>
      </c>
      <c r="D393271" s="349">
        <f t="shared" si="24"/>
        <v>0.19128029460560964</v>
      </c>
      <c r="E393271" s="349">
        <v>0.14628029460560965</v>
      </c>
      <c r="F393271" s="349">
        <v>0.25</v>
      </c>
    </row>
    <row r="393272" spans="1:6" ht="16">
      <c r="A393272" s="347" t="s">
        <v>277</v>
      </c>
      <c r="B393272" s="348" t="s">
        <v>579</v>
      </c>
      <c r="C393272" s="349">
        <v>8.1692501446400528E-2</v>
      </c>
      <c r="D393272" s="349">
        <f t="shared" si="24"/>
        <v>0.15466724789468733</v>
      </c>
      <c r="E393272" s="349">
        <v>0.10966724789468733</v>
      </c>
      <c r="F393272" s="349">
        <v>0.22500000000000001</v>
      </c>
    </row>
    <row r="393273" spans="1:6" ht="16">
      <c r="A393273" s="347" t="s">
        <v>364</v>
      </c>
      <c r="B393273" s="348" t="s">
        <v>689</v>
      </c>
      <c r="C393273" s="349">
        <v>0.10896601681957188</v>
      </c>
      <c r="D393273" s="349">
        <f t="shared" si="24"/>
        <v>0.19128029460560964</v>
      </c>
      <c r="E393273" s="349">
        <v>0.14628029460560965</v>
      </c>
      <c r="F393273" s="349">
        <v>0.3</v>
      </c>
    </row>
    <row r="393274" spans="1:6" ht="16">
      <c r="A393274" s="347" t="s">
        <v>278</v>
      </c>
      <c r="B393274" s="348" t="s">
        <v>585</v>
      </c>
      <c r="C393274" s="349">
        <v>7.6826803868088279E-3</v>
      </c>
      <c r="D393274" s="349">
        <f t="shared" si="24"/>
        <v>5.5313534284766833E-2</v>
      </c>
      <c r="E393274" s="349">
        <v>1.0313534284766834E-2</v>
      </c>
      <c r="F393274" s="349">
        <v>0.2</v>
      </c>
    </row>
    <row r="393275" spans="1:6" ht="16">
      <c r="A393275" s="347" t="s">
        <v>502</v>
      </c>
      <c r="B393275" s="348" t="s">
        <v>586</v>
      </c>
      <c r="C393275" s="349">
        <v>9.8082219604926024E-2</v>
      </c>
      <c r="D393275" s="349">
        <f t="shared" si="24"/>
        <v>0.17666945436885656</v>
      </c>
      <c r="E393275" s="349">
        <v>0.13166945436885658</v>
      </c>
      <c r="F393275" s="349">
        <v>0.3</v>
      </c>
    </row>
    <row r="393276" spans="1:6" ht="16">
      <c r="A393276" s="347" t="s">
        <v>853</v>
      </c>
      <c r="B393276" s="154" t="s">
        <v>687</v>
      </c>
      <c r="C393276" s="277">
        <v>4.2915086193622262E-2</v>
      </c>
      <c r="D393276" s="349">
        <f t="shared" si="24"/>
        <v>0.14861091058162493</v>
      </c>
      <c r="E393276" s="277">
        <v>0.10361091058162493</v>
      </c>
      <c r="F393276" s="277">
        <v>0.31595749426030023</v>
      </c>
    </row>
    <row r="393277" spans="1:6" ht="16">
      <c r="A393277" s="347" t="s">
        <v>279</v>
      </c>
      <c r="B393277" s="348" t="s">
        <v>569</v>
      </c>
      <c r="C393277" s="349">
        <v>4.9041109802463012E-2</v>
      </c>
      <c r="D393277" s="349">
        <f t="shared" si="24"/>
        <v>0.11083472718442829</v>
      </c>
      <c r="E393277" s="349">
        <v>6.5834727184428288E-2</v>
      </c>
      <c r="F393277" s="349">
        <v>0.2</v>
      </c>
    </row>
    <row r="393278" spans="1:6" ht="16">
      <c r="A393278" s="347" t="s">
        <v>280</v>
      </c>
      <c r="B393278" s="348" t="s">
        <v>575</v>
      </c>
      <c r="C393278" s="349">
        <v>4.3535188858583353E-3</v>
      </c>
      <c r="D393278" s="349">
        <f t="shared" si="24"/>
        <v>5.0844336094701202E-2</v>
      </c>
      <c r="E393278" s="349">
        <v>5.8443360947012038E-3</v>
      </c>
      <c r="F393278" s="349">
        <v>0.2</v>
      </c>
    </row>
    <row r="393279" spans="1:6" ht="16">
      <c r="A393279" s="347" t="s">
        <v>281</v>
      </c>
      <c r="B393279" s="348" t="s">
        <v>568</v>
      </c>
      <c r="C393279" s="349">
        <v>5.3778762707661788E-3</v>
      </c>
      <c r="D393279" s="349">
        <f t="shared" si="24"/>
        <v>5.2219473999336782E-2</v>
      </c>
      <c r="E393279" s="349">
        <v>7.219473999336784E-3</v>
      </c>
      <c r="F393279" s="349">
        <v>0.25</v>
      </c>
    </row>
    <row r="393280" spans="1:6" ht="16">
      <c r="A393280" s="347" t="s">
        <v>854</v>
      </c>
      <c r="B393280" s="154" t="s">
        <v>687</v>
      </c>
      <c r="C393280" s="277">
        <v>4.2915086193622262E-2</v>
      </c>
      <c r="D393280" s="349">
        <f t="shared" si="24"/>
        <v>0.14861091058162493</v>
      </c>
      <c r="E393280" s="277">
        <v>0.10361091058162493</v>
      </c>
      <c r="F393280" s="277">
        <v>0.31595749426030023</v>
      </c>
    </row>
    <row r="393281" spans="1:6" ht="16">
      <c r="A393281" s="347" t="s">
        <v>486</v>
      </c>
      <c r="B393281" s="348" t="s">
        <v>579</v>
      </c>
      <c r="C393281" s="349">
        <v>8.1692501446400528E-2</v>
      </c>
      <c r="D393281" s="349">
        <f t="shared" si="24"/>
        <v>0.15466724789468733</v>
      </c>
      <c r="E393281" s="349">
        <v>0.10966724789468733</v>
      </c>
      <c r="F393281" s="349">
        <v>0.3</v>
      </c>
    </row>
    <row r="393282" spans="1:6" ht="16">
      <c r="A393282" s="350" t="s">
        <v>588</v>
      </c>
      <c r="B393282" s="348" t="s">
        <v>687</v>
      </c>
      <c r="C393282" s="349">
        <v>4.9041109802463012E-2</v>
      </c>
      <c r="D393282" s="349">
        <f t="shared" si="24"/>
        <v>0.11083472718442829</v>
      </c>
      <c r="E393282" s="349">
        <v>6.5834727184428288E-2</v>
      </c>
      <c r="F393282" s="349">
        <v>0.31</v>
      </c>
    </row>
    <row r="393283" spans="1:6" ht="16">
      <c r="A393283" s="347" t="s">
        <v>365</v>
      </c>
      <c r="B393283" s="348" t="s">
        <v>576</v>
      </c>
      <c r="C393283" s="349">
        <v>3.2779436317050999E-2</v>
      </c>
      <c r="D393283" s="349">
        <f t="shared" si="24"/>
        <v>8.9004412948338496E-2</v>
      </c>
      <c r="E393283" s="349">
        <v>4.4004412948338498E-2</v>
      </c>
      <c r="F393283" s="349">
        <v>0.15</v>
      </c>
    </row>
    <row r="393284" spans="1:6" ht="16">
      <c r="A393284" s="347" t="s">
        <v>282</v>
      </c>
      <c r="B393284" s="348" t="s">
        <v>574</v>
      </c>
      <c r="C393284" s="349">
        <v>0</v>
      </c>
      <c r="D393284" s="349">
        <f t="shared" si="24"/>
        <v>4.4999999999999998E-2</v>
      </c>
      <c r="E393284" s="349">
        <v>0</v>
      </c>
      <c r="F393284" s="349">
        <v>0.3</v>
      </c>
    </row>
    <row r="393285" spans="1:6" ht="16">
      <c r="A393285" s="347" t="s">
        <v>487</v>
      </c>
      <c r="B393285" s="348" t="s">
        <v>689</v>
      </c>
      <c r="C393285" s="349">
        <v>0.10896601681957188</v>
      </c>
      <c r="D393285" s="349">
        <f t="shared" si="24"/>
        <v>0.19128029460560964</v>
      </c>
      <c r="E393285" s="349">
        <v>0.14628029460560965</v>
      </c>
      <c r="F393285" s="349">
        <v>0.25</v>
      </c>
    </row>
    <row r="393286" spans="1:6" ht="16">
      <c r="A393286" s="347" t="s">
        <v>855</v>
      </c>
      <c r="B393286" s="154" t="s">
        <v>687</v>
      </c>
      <c r="C393286" s="277">
        <v>9.5882201472833571E-3</v>
      </c>
      <c r="D393286" s="349">
        <f t="shared" ref="D393286:D393349" si="25">$B$1+E393286</f>
        <v>0.10387160629364336</v>
      </c>
      <c r="E393286" s="277">
        <v>5.8871606293643367E-2</v>
      </c>
      <c r="F393286" s="277">
        <v>0.24707349543413576</v>
      </c>
    </row>
    <row r="393287" spans="1:6" ht="16">
      <c r="A393287" s="347" t="s">
        <v>283</v>
      </c>
      <c r="B393287" s="348" t="s">
        <v>589</v>
      </c>
      <c r="C393287" s="349">
        <v>2.7273515373171343E-2</v>
      </c>
      <c r="D393287" s="349">
        <f t="shared" si="25"/>
        <v>8.161304671092226E-2</v>
      </c>
      <c r="E393287" s="349">
        <v>3.6613046710922262E-2</v>
      </c>
      <c r="F393287" s="349">
        <v>0.22</v>
      </c>
    </row>
    <row r="393288" spans="1:6" ht="16">
      <c r="A393288" s="347" t="s">
        <v>856</v>
      </c>
      <c r="B393288" s="154" t="s">
        <v>687</v>
      </c>
      <c r="C393288" s="277">
        <f>J393288</f>
        <v>0</v>
      </c>
      <c r="D393288" s="349">
        <f t="shared" si="25"/>
        <v>4.4999999999999998E-2</v>
      </c>
      <c r="E393288" s="277">
        <f>H393288</f>
        <v>0</v>
      </c>
      <c r="F393288" s="277">
        <f>K393288</f>
        <v>0</v>
      </c>
    </row>
    <row r="393289" spans="1:6" ht="16">
      <c r="A393289" s="347" t="s">
        <v>284</v>
      </c>
      <c r="B393289" s="348" t="s">
        <v>589</v>
      </c>
      <c r="C393289" s="349">
        <v>2.7273515373171343E-2</v>
      </c>
      <c r="D393289" s="349">
        <f t="shared" si="25"/>
        <v>8.161304671092226E-2</v>
      </c>
      <c r="E393289" s="349">
        <v>3.6613046710922262E-2</v>
      </c>
      <c r="F393289" s="349">
        <v>0.25</v>
      </c>
    </row>
    <row r="393290" spans="1:6" ht="16">
      <c r="A393290" s="347" t="s">
        <v>690</v>
      </c>
      <c r="B393290" s="348" t="s">
        <v>585</v>
      </c>
      <c r="C393290" s="349">
        <v>7.6826803868088279E-3</v>
      </c>
      <c r="D393290" s="349">
        <f t="shared" si="25"/>
        <v>5.5313534284766833E-2</v>
      </c>
      <c r="E393290" s="349">
        <v>1.0313534284766834E-2</v>
      </c>
      <c r="F393290" s="349">
        <v>0</v>
      </c>
    </row>
    <row r="393291" spans="1:6" ht="16">
      <c r="A393291" s="351" t="s">
        <v>590</v>
      </c>
      <c r="B393291" s="348" t="s">
        <v>687</v>
      </c>
      <c r="C393291" s="349">
        <v>9.8082219604926024E-2</v>
      </c>
      <c r="D393291" s="349">
        <f t="shared" si="25"/>
        <v>0.17666945436885656</v>
      </c>
      <c r="E393291" s="349">
        <v>0.13166945436885658</v>
      </c>
      <c r="F393291" s="349">
        <v>0.29149999999999998</v>
      </c>
    </row>
    <row r="393292" spans="1:6" ht="16">
      <c r="A393292" s="350" t="s">
        <v>591</v>
      </c>
      <c r="B393292" s="348" t="s">
        <v>687</v>
      </c>
      <c r="C393292" s="349">
        <v>5.9924907017108842E-2</v>
      </c>
      <c r="D393292" s="349">
        <f t="shared" si="25"/>
        <v>0.12544556742118129</v>
      </c>
      <c r="E393292" s="349">
        <v>8.0445567421181294E-2</v>
      </c>
      <c r="F393292" s="349">
        <v>0.29149999999999998</v>
      </c>
    </row>
    <row r="393293" spans="1:6" ht="16">
      <c r="A393293" s="351" t="s">
        <v>592</v>
      </c>
      <c r="B393293" s="348" t="s">
        <v>687</v>
      </c>
      <c r="C393293" s="349">
        <v>1.7414075543433345E-2</v>
      </c>
      <c r="D393293" s="349">
        <f t="shared" si="25"/>
        <v>6.8377344378804827E-2</v>
      </c>
      <c r="E393293" s="349">
        <v>2.3377344378804829E-2</v>
      </c>
      <c r="F393293" s="349">
        <v>0.18640000000000001</v>
      </c>
    </row>
    <row r="393294" spans="1:6" ht="16">
      <c r="A393294" s="350" t="s">
        <v>593</v>
      </c>
      <c r="B393294" s="348" t="s">
        <v>687</v>
      </c>
      <c r="C393294" s="349">
        <v>0.10896601681957191</v>
      </c>
      <c r="D393294" s="349">
        <f t="shared" si="25"/>
        <v>0.19128029460560964</v>
      </c>
      <c r="E393294" s="349">
        <v>0.14628029460560965</v>
      </c>
      <c r="F393294" s="349">
        <v>0.18640000000000001</v>
      </c>
    </row>
    <row r="393295" spans="1:6" ht="16">
      <c r="A393295" s="347" t="s">
        <v>285</v>
      </c>
      <c r="B393295" s="348" t="s">
        <v>569</v>
      </c>
      <c r="C393295" s="349">
        <v>4.9041109802463012E-2</v>
      </c>
      <c r="D393295" s="349">
        <f t="shared" si="25"/>
        <v>0.11083472718442829</v>
      </c>
      <c r="E393295" s="349">
        <v>6.5834727184428288E-2</v>
      </c>
      <c r="F393295" s="349">
        <v>0.25</v>
      </c>
    </row>
    <row r="393296" spans="1:6" ht="16">
      <c r="A393296" s="347" t="s">
        <v>286</v>
      </c>
      <c r="B393296" s="348" t="s">
        <v>580</v>
      </c>
      <c r="C393296" s="349">
        <v>6.5302783287875029E-3</v>
      </c>
      <c r="D393296" s="349">
        <f t="shared" si="25"/>
        <v>5.3766504142051808E-2</v>
      </c>
      <c r="E393296" s="349">
        <v>8.7665041420518092E-3</v>
      </c>
      <c r="F393296" s="349">
        <v>0.16500000000000001</v>
      </c>
    </row>
    <row r="393297" spans="1:6" ht="16">
      <c r="A393297" s="347" t="s">
        <v>287</v>
      </c>
      <c r="B393297" s="348" t="s">
        <v>571</v>
      </c>
      <c r="C393297" s="349">
        <v>2.0743237044383835E-2</v>
      </c>
      <c r="D393297" s="349">
        <f t="shared" si="25"/>
        <v>7.2846542568870451E-2</v>
      </c>
      <c r="E393297" s="349">
        <v>2.7846542568870453E-2</v>
      </c>
      <c r="F393297" s="349">
        <v>0.09</v>
      </c>
    </row>
    <row r="393298" spans="1:6" ht="16">
      <c r="A393298" s="347" t="s">
        <v>288</v>
      </c>
      <c r="B393298" s="348" t="s">
        <v>583</v>
      </c>
      <c r="C393298" s="349">
        <v>9.2192164641705932E-3</v>
      </c>
      <c r="D393298" s="349">
        <f t="shared" si="25"/>
        <v>5.73762411417202E-2</v>
      </c>
      <c r="E393298" s="349">
        <v>1.2376241141720201E-2</v>
      </c>
      <c r="F393298" s="349">
        <v>0.2</v>
      </c>
    </row>
    <row r="393299" spans="1:6" ht="16">
      <c r="A393299" s="347" t="s">
        <v>289</v>
      </c>
      <c r="B393299" s="348" t="s">
        <v>577</v>
      </c>
      <c r="C393299" s="349">
        <v>2.3944353872220846E-2</v>
      </c>
      <c r="D393299" s="349">
        <f t="shared" si="25"/>
        <v>7.7143848520856623E-2</v>
      </c>
      <c r="E393299" s="349">
        <v>3.2143848520856624E-2</v>
      </c>
      <c r="F393299" s="349">
        <v>0.3</v>
      </c>
    </row>
    <row r="393300" spans="1:6" ht="16">
      <c r="A393300" s="347" t="s">
        <v>290</v>
      </c>
      <c r="B393300" s="348" t="s">
        <v>571</v>
      </c>
      <c r="C393300" s="349">
        <v>2.0743237044383835E-2</v>
      </c>
      <c r="D393300" s="349">
        <f t="shared" si="25"/>
        <v>7.2846542568870451E-2</v>
      </c>
      <c r="E393300" s="349">
        <v>2.7846542568870453E-2</v>
      </c>
      <c r="F393300" s="349">
        <v>0.22</v>
      </c>
    </row>
    <row r="393301" spans="1:6" ht="16">
      <c r="A393301" s="351" t="s">
        <v>594</v>
      </c>
      <c r="B393301" s="348" t="s">
        <v>687</v>
      </c>
      <c r="C393301" s="349">
        <v>7.0808704231754685E-2</v>
      </c>
      <c r="D393301" s="349">
        <f t="shared" si="25"/>
        <v>0.14005640765793431</v>
      </c>
      <c r="E393301" s="349">
        <v>9.5056407657934314E-2</v>
      </c>
      <c r="F393301" s="349">
        <v>0.20230000000000001</v>
      </c>
    </row>
    <row r="393302" spans="1:6" ht="16">
      <c r="A393302" s="347" t="s">
        <v>559</v>
      </c>
      <c r="B393302" s="348" t="s">
        <v>579</v>
      </c>
      <c r="C393302" s="349">
        <v>8.1692501446400528E-2</v>
      </c>
      <c r="D393302" s="349">
        <f t="shared" si="25"/>
        <v>0.15466724789468733</v>
      </c>
      <c r="E393302" s="349">
        <v>0.10966724789468733</v>
      </c>
      <c r="F393302" s="349">
        <v>0.15</v>
      </c>
    </row>
    <row r="393303" spans="1:6" ht="16">
      <c r="A393303" s="347" t="s">
        <v>291</v>
      </c>
      <c r="B393303" s="348" t="s">
        <v>580</v>
      </c>
      <c r="C393303" s="349">
        <v>6.5302783287875029E-3</v>
      </c>
      <c r="D393303" s="349">
        <f t="shared" si="25"/>
        <v>5.3766504142051808E-2</v>
      </c>
      <c r="E393303" s="349">
        <v>8.7665041420518092E-3</v>
      </c>
      <c r="F393303" s="349">
        <v>0.125</v>
      </c>
    </row>
    <row r="393304" spans="1:6" ht="16">
      <c r="A393304" s="347" t="s">
        <v>292</v>
      </c>
      <c r="B393304" s="348" t="s">
        <v>580</v>
      </c>
      <c r="C393304" s="349">
        <v>6.5302783287875029E-3</v>
      </c>
      <c r="D393304" s="349">
        <f t="shared" si="25"/>
        <v>5.3766504142051808E-2</v>
      </c>
      <c r="E393304" s="349">
        <v>8.7665041420518092E-3</v>
      </c>
      <c r="F393304" s="349">
        <v>0</v>
      </c>
    </row>
    <row r="393305" spans="1:6" ht="16">
      <c r="A393305" s="347" t="s">
        <v>293</v>
      </c>
      <c r="B393305" s="348" t="s">
        <v>585</v>
      </c>
      <c r="C393305" s="349">
        <v>7.6826803868088279E-3</v>
      </c>
      <c r="D393305" s="349">
        <f t="shared" si="25"/>
        <v>5.5313534284766833E-2</v>
      </c>
      <c r="E393305" s="349">
        <v>1.0313534284766834E-2</v>
      </c>
      <c r="F393305" s="349">
        <v>0.23</v>
      </c>
    </row>
    <row r="393306" spans="1:6" ht="16">
      <c r="A393306" s="347" t="s">
        <v>294</v>
      </c>
      <c r="B393306" s="348" t="s">
        <v>577</v>
      </c>
      <c r="C393306" s="349">
        <v>2.3944353872220846E-2</v>
      </c>
      <c r="D393306" s="349">
        <f t="shared" si="25"/>
        <v>7.7143848520856623E-2</v>
      </c>
      <c r="E393306" s="349">
        <v>3.2143848520856624E-2</v>
      </c>
      <c r="F393306" s="349">
        <v>0.24</v>
      </c>
    </row>
    <row r="393307" spans="1:6" ht="16">
      <c r="A393307" s="347" t="s">
        <v>857</v>
      </c>
      <c r="B393307" s="348" t="s">
        <v>578</v>
      </c>
      <c r="C393307" s="349">
        <v>3.9181669972725021E-2</v>
      </c>
      <c r="D393307" s="349">
        <f t="shared" si="25"/>
        <v>9.7599024852310853E-2</v>
      </c>
      <c r="E393307" s="349">
        <v>5.2599024852310855E-2</v>
      </c>
      <c r="F393307" s="349">
        <v>0.25</v>
      </c>
    </row>
    <row r="393308" spans="1:6" ht="16">
      <c r="A393308" s="347" t="s">
        <v>295</v>
      </c>
      <c r="B393308" s="348" t="s">
        <v>569</v>
      </c>
      <c r="C393308" s="349">
        <v>4.9041109802463012E-2</v>
      </c>
      <c r="D393308" s="349">
        <f t="shared" si="25"/>
        <v>0.11083472718442829</v>
      </c>
      <c r="E393308" s="349">
        <v>6.5834727184428288E-2</v>
      </c>
      <c r="F393308" s="349">
        <v>0.25</v>
      </c>
    </row>
    <row r="393309" spans="1:6" ht="16">
      <c r="A393309" s="347" t="s">
        <v>296</v>
      </c>
      <c r="B393309" s="348" t="s">
        <v>585</v>
      </c>
      <c r="C393309" s="349">
        <v>7.6826803868088279E-3</v>
      </c>
      <c r="D393309" s="349">
        <f t="shared" si="25"/>
        <v>5.5313534284766833E-2</v>
      </c>
      <c r="E393309" s="349">
        <v>1.0313534284766834E-2</v>
      </c>
      <c r="F393309" s="349">
        <v>0.30620000000000003</v>
      </c>
    </row>
    <row r="393310" spans="1:6" ht="16">
      <c r="A393310" s="347" t="s">
        <v>691</v>
      </c>
      <c r="B393310" s="348" t="s">
        <v>580</v>
      </c>
      <c r="C393310" s="349">
        <v>6.5302783287875029E-3</v>
      </c>
      <c r="D393310" s="349">
        <f t="shared" si="25"/>
        <v>5.3766504142051808E-2</v>
      </c>
      <c r="E393310" s="349">
        <v>8.7665041420518092E-3</v>
      </c>
      <c r="F393310" s="349">
        <v>0</v>
      </c>
    </row>
    <row r="393311" spans="1:6" ht="16">
      <c r="A393311" s="347" t="s">
        <v>297</v>
      </c>
      <c r="B393311" s="348" t="s">
        <v>569</v>
      </c>
      <c r="C393311" s="349">
        <v>4.9041109802463012E-2</v>
      </c>
      <c r="D393311" s="349">
        <f t="shared" si="25"/>
        <v>0.11083472718442829</v>
      </c>
      <c r="E393311" s="349">
        <v>6.5834727184428288E-2</v>
      </c>
      <c r="F393311" s="349">
        <v>0.2</v>
      </c>
    </row>
    <row r="393312" spans="1:6" ht="16">
      <c r="A393312" s="347" t="s">
        <v>298</v>
      </c>
      <c r="B393312" s="348" t="s">
        <v>571</v>
      </c>
      <c r="C393312" s="349">
        <v>2.0743237044383835E-2</v>
      </c>
      <c r="D393312" s="349">
        <f t="shared" si="25"/>
        <v>7.2846542568870451E-2</v>
      </c>
      <c r="E393312" s="349">
        <v>2.7846542568870453E-2</v>
      </c>
      <c r="F393312" s="349">
        <v>0.2</v>
      </c>
    </row>
    <row r="393313" spans="1:6" ht="16">
      <c r="A393313" s="347" t="s">
        <v>429</v>
      </c>
      <c r="B393313" s="348" t="s">
        <v>581</v>
      </c>
      <c r="C393313" s="349">
        <v>7.0808704231754685E-2</v>
      </c>
      <c r="D393313" s="349">
        <f t="shared" si="25"/>
        <v>0.14005640765793431</v>
      </c>
      <c r="E393313" s="349">
        <v>9.5056407657934314E-2</v>
      </c>
      <c r="F393313" s="349">
        <v>0.3</v>
      </c>
    </row>
    <row r="393314" spans="1:6" ht="16">
      <c r="A393314" s="350" t="s">
        <v>595</v>
      </c>
      <c r="B393314" s="348" t="s">
        <v>687</v>
      </c>
      <c r="C393314" s="349">
        <v>0.17499999999999999</v>
      </c>
      <c r="D393314" s="349">
        <f t="shared" si="25"/>
        <v>0.27992692770782934</v>
      </c>
      <c r="E393314" s="349">
        <v>0.23492692770782936</v>
      </c>
      <c r="F393314" s="349">
        <v>0.23100000000000001</v>
      </c>
    </row>
    <row r="393315" spans="1:6" ht="16">
      <c r="A393315" s="347" t="s">
        <v>299</v>
      </c>
      <c r="B393315" s="348" t="s">
        <v>585</v>
      </c>
      <c r="C393315" s="349">
        <v>7.6826803868088279E-3</v>
      </c>
      <c r="D393315" s="349">
        <f t="shared" si="25"/>
        <v>5.5313534284766833E-2</v>
      </c>
      <c r="E393315" s="349">
        <v>1.0313534284766834E-2</v>
      </c>
      <c r="F393315" s="349">
        <v>0.15</v>
      </c>
    </row>
    <row r="393316" spans="1:6" ht="16">
      <c r="A393316" s="347" t="s">
        <v>488</v>
      </c>
      <c r="B393316" s="348" t="s">
        <v>581</v>
      </c>
      <c r="C393316" s="349">
        <v>7.0808704231754685E-2</v>
      </c>
      <c r="D393316" s="349">
        <f t="shared" si="25"/>
        <v>0.14005640765793431</v>
      </c>
      <c r="E393316" s="349">
        <v>9.5056407657934314E-2</v>
      </c>
      <c r="F393316" s="349">
        <v>0.1</v>
      </c>
    </row>
    <row r="393317" spans="1:6" ht="16">
      <c r="A393317" s="347" t="s">
        <v>622</v>
      </c>
      <c r="B393317" s="348" t="s">
        <v>689</v>
      </c>
      <c r="C393317" s="349">
        <v>0.10896601681957188</v>
      </c>
      <c r="D393317" s="349">
        <f t="shared" si="25"/>
        <v>0.19128029460560964</v>
      </c>
      <c r="E393317" s="349">
        <v>0.14628029460560965</v>
      </c>
      <c r="F393317" s="349">
        <v>0.26860000000000001</v>
      </c>
    </row>
    <row r="393318" spans="1:6" ht="16">
      <c r="A393318" s="347" t="s">
        <v>300</v>
      </c>
      <c r="B393318" s="348" t="s">
        <v>587</v>
      </c>
      <c r="C393318" s="349">
        <v>1.3060556657575006E-2</v>
      </c>
      <c r="D393318" s="349">
        <f t="shared" si="25"/>
        <v>6.2533008284103617E-2</v>
      </c>
      <c r="E393318" s="349">
        <v>1.7533008284103618E-2</v>
      </c>
      <c r="F393318" s="349">
        <v>0.2</v>
      </c>
    </row>
    <row r="393319" spans="1:6" ht="16">
      <c r="A393319" s="347" t="s">
        <v>366</v>
      </c>
      <c r="B393319" s="348" t="s">
        <v>615</v>
      </c>
      <c r="C393319" s="349">
        <v>0.17499999999999999</v>
      </c>
      <c r="D393319" s="349">
        <f t="shared" si="25"/>
        <v>0.27992692770782934</v>
      </c>
      <c r="E393319" s="349">
        <v>0.23492692770782936</v>
      </c>
      <c r="F393319" s="349">
        <v>0.17</v>
      </c>
    </row>
    <row r="393320" spans="1:6" ht="16">
      <c r="A393320" s="351" t="s">
        <v>596</v>
      </c>
      <c r="B393320" s="348" t="s">
        <v>687</v>
      </c>
      <c r="C393320" s="349">
        <v>0.13073361124886354</v>
      </c>
      <c r="D393320" s="349">
        <f t="shared" si="25"/>
        <v>0.22050197507911562</v>
      </c>
      <c r="E393320" s="349">
        <v>0.17550197507911564</v>
      </c>
      <c r="F393320" s="349">
        <v>0.29149999999999998</v>
      </c>
    </row>
    <row r="393321" spans="1:6" ht="16">
      <c r="A393321" s="350" t="s">
        <v>597</v>
      </c>
      <c r="B393321" s="348" t="s">
        <v>687</v>
      </c>
      <c r="C393321" s="349">
        <v>2.0743237044383835E-2</v>
      </c>
      <c r="D393321" s="349">
        <f t="shared" si="25"/>
        <v>7.2846542568870451E-2</v>
      </c>
      <c r="E393321" s="349">
        <v>2.7846542568870453E-2</v>
      </c>
      <c r="F393321" s="349">
        <v>0.2</v>
      </c>
    </row>
    <row r="393322" spans="1:6" ht="16">
      <c r="A393322" s="347" t="s">
        <v>301</v>
      </c>
      <c r="B393322" s="348" t="s">
        <v>574</v>
      </c>
      <c r="C393322" s="349">
        <v>0</v>
      </c>
      <c r="D393322" s="349">
        <f t="shared" si="25"/>
        <v>4.4999999999999998E-2</v>
      </c>
      <c r="E393322" s="349">
        <v>0</v>
      </c>
      <c r="F393322" s="349">
        <v>0.125</v>
      </c>
    </row>
    <row r="393323" spans="1:6" ht="16">
      <c r="A393323" s="347" t="s">
        <v>302</v>
      </c>
      <c r="B393323" s="348" t="s">
        <v>583</v>
      </c>
      <c r="C393323" s="349">
        <v>9.2192164641705932E-3</v>
      </c>
      <c r="D393323" s="349">
        <f t="shared" si="25"/>
        <v>5.73762411417202E-2</v>
      </c>
      <c r="E393323" s="349">
        <v>1.2376241141720201E-2</v>
      </c>
      <c r="F393323" s="349">
        <v>0.15</v>
      </c>
    </row>
    <row r="393324" spans="1:6" ht="16">
      <c r="A393324" s="347" t="s">
        <v>303</v>
      </c>
      <c r="B393324" s="348" t="s">
        <v>574</v>
      </c>
      <c r="C393324" s="349">
        <v>0</v>
      </c>
      <c r="D393324" s="349">
        <f t="shared" si="25"/>
        <v>4.4999999999999998E-2</v>
      </c>
      <c r="E393324" s="349">
        <v>0</v>
      </c>
      <c r="F393324" s="349">
        <v>0.24940000000000001</v>
      </c>
    </row>
    <row r="393325" spans="1:6" ht="16">
      <c r="A393325" s="347" t="s">
        <v>858</v>
      </c>
      <c r="B393325" s="348" t="s">
        <v>580</v>
      </c>
      <c r="C393325" s="349">
        <v>6.5302783287875029E-3</v>
      </c>
      <c r="D393325" s="349">
        <f t="shared" si="25"/>
        <v>5.3766504142051808E-2</v>
      </c>
      <c r="E393325" s="349">
        <v>8.7665041420518092E-3</v>
      </c>
      <c r="F393325" s="349">
        <v>0.26860000000000001</v>
      </c>
    </row>
    <row r="393326" spans="1:6" ht="16">
      <c r="A393326" s="347" t="s">
        <v>304</v>
      </c>
      <c r="B393326" s="348" t="s">
        <v>578</v>
      </c>
      <c r="C393326" s="349">
        <v>3.9181669972725021E-2</v>
      </c>
      <c r="D393326" s="349">
        <f t="shared" si="25"/>
        <v>9.7599024852310853E-2</v>
      </c>
      <c r="E393326" s="349">
        <v>5.2599024852310855E-2</v>
      </c>
      <c r="F393326" s="349">
        <v>0.1</v>
      </c>
    </row>
    <row r="393327" spans="1:6" ht="16">
      <c r="A393327" s="351" t="s">
        <v>598</v>
      </c>
      <c r="B393327" s="348" t="s">
        <v>687</v>
      </c>
      <c r="C393327" s="349">
        <v>7.0808704231754685E-2</v>
      </c>
      <c r="D393327" s="349">
        <f t="shared" si="25"/>
        <v>0.14005640765793431</v>
      </c>
      <c r="E393327" s="349">
        <v>9.5056407657934314E-2</v>
      </c>
      <c r="F393327" s="349">
        <v>0.2</v>
      </c>
    </row>
    <row r="393328" spans="1:6" ht="16">
      <c r="A393328" s="350" t="s">
        <v>599</v>
      </c>
      <c r="B393328" s="348" t="s">
        <v>687</v>
      </c>
      <c r="C393328" s="349">
        <v>0.13073361124886354</v>
      </c>
      <c r="D393328" s="349">
        <f t="shared" si="25"/>
        <v>0.22050197507911562</v>
      </c>
      <c r="E393328" s="349">
        <v>0.17550197507911564</v>
      </c>
      <c r="F393328" s="349">
        <v>0.3</v>
      </c>
    </row>
    <row r="393329" spans="1:6" ht="16">
      <c r="A393329" s="347" t="s">
        <v>305</v>
      </c>
      <c r="B393329" s="348" t="s">
        <v>587</v>
      </c>
      <c r="C393329" s="349">
        <v>1.3060556657575006E-2</v>
      </c>
      <c r="D393329" s="349">
        <f t="shared" si="25"/>
        <v>6.2533008284103617E-2</v>
      </c>
      <c r="E393329" s="349">
        <v>1.7533008284103618E-2</v>
      </c>
      <c r="F393329" s="349">
        <v>0.24</v>
      </c>
    </row>
    <row r="393330" spans="1:6" ht="16">
      <c r="A393330" s="347" t="s">
        <v>692</v>
      </c>
      <c r="B393330" s="348" t="s">
        <v>579</v>
      </c>
      <c r="C393330" s="349">
        <v>8.1692501446400528E-2</v>
      </c>
      <c r="D393330" s="349">
        <f t="shared" si="25"/>
        <v>0.15466724789468733</v>
      </c>
      <c r="E393330" s="349">
        <v>0.10966724789468733</v>
      </c>
      <c r="F393330" s="349">
        <v>0.26860000000000001</v>
      </c>
    </row>
    <row r="393331" spans="1:6" ht="16">
      <c r="A393331" s="347" t="s">
        <v>600</v>
      </c>
      <c r="B393331" s="348" t="s">
        <v>586</v>
      </c>
      <c r="C393331" s="349">
        <v>9.8082219604926024E-2</v>
      </c>
      <c r="D393331" s="349">
        <f t="shared" si="25"/>
        <v>0.17666945436885656</v>
      </c>
      <c r="E393331" s="349">
        <v>0.13166945436885658</v>
      </c>
      <c r="F393331" s="349">
        <v>0.26860000000000001</v>
      </c>
    </row>
    <row r="393332" spans="1:6" ht="16">
      <c r="A393332" s="347" t="s">
        <v>306</v>
      </c>
      <c r="B393332" s="348" t="s">
        <v>583</v>
      </c>
      <c r="C393332" s="349">
        <v>9.2192164641705932E-3</v>
      </c>
      <c r="D393332" s="349">
        <f t="shared" si="25"/>
        <v>5.73762411417202E-2</v>
      </c>
      <c r="E393332" s="349">
        <v>1.2376241141720201E-2</v>
      </c>
      <c r="F393332" s="349">
        <v>0.35</v>
      </c>
    </row>
    <row r="393333" spans="1:6" ht="16">
      <c r="A393333" s="347" t="s">
        <v>859</v>
      </c>
      <c r="B393333" s="154" t="s">
        <v>687</v>
      </c>
      <c r="C393333" s="277">
        <f>J393333</f>
        <v>0</v>
      </c>
      <c r="D393333" s="349">
        <f t="shared" si="25"/>
        <v>4.4999999999999998E-2</v>
      </c>
      <c r="E393333" s="277">
        <f>H393333</f>
        <v>0</v>
      </c>
      <c r="F393333" s="277">
        <f>K393333</f>
        <v>0</v>
      </c>
    </row>
    <row r="393334" spans="1:6" ht="16">
      <c r="A393334" s="347" t="s">
        <v>307</v>
      </c>
      <c r="B393334" s="348" t="s">
        <v>577</v>
      </c>
      <c r="C393334" s="349">
        <v>2.3944353872220846E-2</v>
      </c>
      <c r="D393334" s="349">
        <f t="shared" si="25"/>
        <v>7.7143848520856623E-2</v>
      </c>
      <c r="E393334" s="349">
        <v>3.2143848520856624E-2</v>
      </c>
      <c r="F393334" s="349">
        <v>0.15</v>
      </c>
    </row>
    <row r="393335" spans="1:6" ht="16">
      <c r="A393335" s="347" t="s">
        <v>308</v>
      </c>
      <c r="B393335" s="348" t="s">
        <v>571</v>
      </c>
      <c r="C393335" s="349">
        <v>2.0743237044383835E-2</v>
      </c>
      <c r="D393335" s="349">
        <f t="shared" si="25"/>
        <v>7.2846542568870451E-2</v>
      </c>
      <c r="E393335" s="349">
        <v>2.7846542568870453E-2</v>
      </c>
      <c r="F393335" s="349">
        <v>0.3</v>
      </c>
    </row>
    <row r="393336" spans="1:6" ht="16">
      <c r="A393336" s="347" t="s">
        <v>860</v>
      </c>
      <c r="B393336" s="154" t="s">
        <v>687</v>
      </c>
      <c r="C393336" s="277">
        <v>9.5882201472833571E-3</v>
      </c>
      <c r="D393336" s="349">
        <f t="shared" si="25"/>
        <v>0.10387160629364336</v>
      </c>
      <c r="E393336" s="277">
        <v>5.8871606293643367E-2</v>
      </c>
      <c r="F393336" s="277">
        <v>0.24707349543413576</v>
      </c>
    </row>
    <row r="393337" spans="1:6" ht="16">
      <c r="A393337" s="347" t="s">
        <v>367</v>
      </c>
      <c r="B393337" s="348" t="s">
        <v>581</v>
      </c>
      <c r="C393337" s="349">
        <v>7.0808704231754685E-2</v>
      </c>
      <c r="D393337" s="349">
        <f t="shared" si="25"/>
        <v>0.14005640765793431</v>
      </c>
      <c r="E393337" s="349">
        <v>9.5056407657934314E-2</v>
      </c>
      <c r="F393337" s="349">
        <v>0.12</v>
      </c>
    </row>
    <row r="393338" spans="1:6" ht="16">
      <c r="A393338" s="347" t="s">
        <v>368</v>
      </c>
      <c r="B393338" s="348" t="s">
        <v>581</v>
      </c>
      <c r="C393338" s="349">
        <v>7.0808704231754685E-2</v>
      </c>
      <c r="D393338" s="349">
        <f t="shared" si="25"/>
        <v>0.14005640765793431</v>
      </c>
      <c r="E393338" s="349">
        <v>9.5056407657934314E-2</v>
      </c>
      <c r="F393338" s="349">
        <v>0.25</v>
      </c>
    </row>
    <row r="393339" spans="1:6" ht="16">
      <c r="A393339" s="347" t="s">
        <v>309</v>
      </c>
      <c r="B393339" s="348" t="s">
        <v>569</v>
      </c>
      <c r="C393339" s="349">
        <v>4.9041109802463012E-2</v>
      </c>
      <c r="D393339" s="349">
        <f t="shared" si="25"/>
        <v>0.11083472718442829</v>
      </c>
      <c r="E393339" s="349">
        <v>6.5834727184428288E-2</v>
      </c>
      <c r="F393339" s="349">
        <v>0.15</v>
      </c>
    </row>
    <row r="393340" spans="1:6" ht="16">
      <c r="A393340" s="347" t="s">
        <v>489</v>
      </c>
      <c r="B393340" s="348" t="s">
        <v>577</v>
      </c>
      <c r="C393340" s="349">
        <v>2.3944353872220846E-2</v>
      </c>
      <c r="D393340" s="349">
        <f t="shared" si="25"/>
        <v>7.7143848520856623E-2</v>
      </c>
      <c r="E393340" s="349">
        <v>3.2143848520856624E-2</v>
      </c>
      <c r="F393340" s="349">
        <v>0.2853</v>
      </c>
    </row>
    <row r="393341" spans="1:6" ht="16">
      <c r="A393341" s="347" t="s">
        <v>369</v>
      </c>
      <c r="B393341" s="348" t="s">
        <v>589</v>
      </c>
      <c r="C393341" s="349">
        <v>2.7273515373171343E-2</v>
      </c>
      <c r="D393341" s="349">
        <f t="shared" si="25"/>
        <v>8.161304671092226E-2</v>
      </c>
      <c r="E393341" s="349">
        <v>3.6613046710922262E-2</v>
      </c>
      <c r="F393341" s="349">
        <v>0.32</v>
      </c>
    </row>
    <row r="393342" spans="1:6" ht="16">
      <c r="A393342" s="347" t="s">
        <v>310</v>
      </c>
      <c r="B393342" s="348" t="s">
        <v>586</v>
      </c>
      <c r="C393342" s="349">
        <v>9.8082219604926024E-2</v>
      </c>
      <c r="D393342" s="349">
        <f t="shared" si="25"/>
        <v>0.17666945436885656</v>
      </c>
      <c r="E393342" s="349">
        <v>0.13166945436885658</v>
      </c>
      <c r="F393342" s="349">
        <v>0.32</v>
      </c>
    </row>
    <row r="393343" spans="1:6" ht="16">
      <c r="A393343" s="351" t="s">
        <v>601</v>
      </c>
      <c r="B393343" s="348" t="s">
        <v>687</v>
      </c>
      <c r="C393343" s="349">
        <v>0.10896601681957191</v>
      </c>
      <c r="D393343" s="349">
        <f t="shared" si="25"/>
        <v>0.19128029460560964</v>
      </c>
      <c r="E393343" s="349">
        <v>0.14628029460560965</v>
      </c>
      <c r="F393343" s="349">
        <v>0.25</v>
      </c>
    </row>
    <row r="393344" spans="1:6" ht="16">
      <c r="A393344" s="347" t="s">
        <v>311</v>
      </c>
      <c r="B393344" s="348" t="s">
        <v>569</v>
      </c>
      <c r="C393344" s="349">
        <v>4.9041109802463012E-2</v>
      </c>
      <c r="D393344" s="349">
        <f t="shared" si="25"/>
        <v>0.11083472718442829</v>
      </c>
      <c r="E393344" s="349">
        <v>6.5834727184428288E-2</v>
      </c>
      <c r="F393344" s="349">
        <v>0.32</v>
      </c>
    </row>
    <row r="393345" spans="1:6" ht="16">
      <c r="A393345" s="347" t="s">
        <v>312</v>
      </c>
      <c r="B393345" s="348" t="s">
        <v>574</v>
      </c>
      <c r="C393345" s="349">
        <v>0</v>
      </c>
      <c r="D393345" s="349">
        <f t="shared" si="25"/>
        <v>4.4999999999999998E-2</v>
      </c>
      <c r="E393345" s="349">
        <v>0</v>
      </c>
      <c r="F393345" s="349">
        <v>0.25800000000000001</v>
      </c>
    </row>
    <row r="393346" spans="1:6" ht="16">
      <c r="A393346" s="347" t="s">
        <v>861</v>
      </c>
      <c r="B393346" s="154" t="s">
        <v>687</v>
      </c>
      <c r="C393346" s="277">
        <v>0.1054310997313879</v>
      </c>
      <c r="D393346" s="349">
        <f t="shared" si="25"/>
        <v>0.23253488197001548</v>
      </c>
      <c r="E393346" s="277">
        <v>0.1875348819700155</v>
      </c>
      <c r="F393346" s="277">
        <v>0.2724561140242252</v>
      </c>
    </row>
    <row r="393347" spans="1:6" ht="16">
      <c r="A393347" s="347" t="s">
        <v>313</v>
      </c>
      <c r="B393347" s="348" t="s">
        <v>574</v>
      </c>
      <c r="C393347" s="349">
        <v>0</v>
      </c>
      <c r="D393347" s="349">
        <f t="shared" si="25"/>
        <v>4.4999999999999998E-2</v>
      </c>
      <c r="E393347" s="349">
        <v>0</v>
      </c>
      <c r="F393347" s="349">
        <v>0.28000000000000003</v>
      </c>
    </row>
    <row r="393348" spans="1:6" ht="16">
      <c r="A393348" s="347" t="s">
        <v>370</v>
      </c>
      <c r="B393348" s="348" t="s">
        <v>581</v>
      </c>
      <c r="C393348" s="349">
        <v>7.0808704231754685E-2</v>
      </c>
      <c r="D393348" s="349">
        <f t="shared" si="25"/>
        <v>0.14005640765793431</v>
      </c>
      <c r="E393348" s="349">
        <v>9.5056407657934314E-2</v>
      </c>
      <c r="F393348" s="349">
        <v>0.3</v>
      </c>
    </row>
    <row r="393349" spans="1:6" ht="16">
      <c r="A393349" s="347" t="s">
        <v>602</v>
      </c>
      <c r="B393349" s="348" t="s">
        <v>586</v>
      </c>
      <c r="C393349" s="349">
        <v>9.8082219604926024E-2</v>
      </c>
      <c r="D393349" s="349">
        <f t="shared" si="25"/>
        <v>0.17666945436885656</v>
      </c>
      <c r="E393349" s="349">
        <v>0.13166945436885658</v>
      </c>
      <c r="F393349" s="349">
        <v>0.26860000000000001</v>
      </c>
    </row>
    <row r="393350" spans="1:6" ht="16">
      <c r="A393350" s="347" t="s">
        <v>314</v>
      </c>
      <c r="B393350" s="348" t="s">
        <v>579</v>
      </c>
      <c r="C393350" s="349">
        <v>8.1692501446400528E-2</v>
      </c>
      <c r="D393350" s="349">
        <f t="shared" ref="D393350:D393411" si="26">$B$1+E393350</f>
        <v>0.15466724789468733</v>
      </c>
      <c r="E393350" s="349">
        <v>0.10966724789468733</v>
      </c>
      <c r="F393350" s="349">
        <v>0.3</v>
      </c>
    </row>
    <row r="393351" spans="1:6" ht="16">
      <c r="A393351" s="347" t="s">
        <v>315</v>
      </c>
      <c r="B393351" s="348" t="s">
        <v>574</v>
      </c>
      <c r="C393351" s="349">
        <v>0</v>
      </c>
      <c r="D393351" s="349">
        <f t="shared" si="26"/>
        <v>4.4999999999999998E-2</v>
      </c>
      <c r="E393351" s="349">
        <v>0</v>
      </c>
      <c r="F393351" s="349">
        <v>0.22</v>
      </c>
    </row>
    <row r="393352" spans="1:6" ht="16">
      <c r="A393352" s="347" t="s">
        <v>316</v>
      </c>
      <c r="B393352" s="348" t="s">
        <v>589</v>
      </c>
      <c r="C393352" s="349">
        <v>2.7273515373171343E-2</v>
      </c>
      <c r="D393352" s="349">
        <f t="shared" si="26"/>
        <v>8.161304671092226E-2</v>
      </c>
      <c r="E393352" s="349">
        <v>3.6613046710922262E-2</v>
      </c>
      <c r="F393352" s="349">
        <v>0.15</v>
      </c>
    </row>
    <row r="393353" spans="1:6" ht="16">
      <c r="A393353" s="347" t="s">
        <v>317</v>
      </c>
      <c r="B393353" s="348" t="s">
        <v>689</v>
      </c>
      <c r="C393353" s="349">
        <v>0.10896601681957188</v>
      </c>
      <c r="D393353" s="349">
        <f t="shared" si="26"/>
        <v>0.19128029460560964</v>
      </c>
      <c r="E393353" s="349">
        <v>0.14628029460560965</v>
      </c>
      <c r="F393353" s="349">
        <v>0.28999999999999998</v>
      </c>
    </row>
    <row r="393354" spans="1:6" ht="16">
      <c r="A393354" s="347" t="s">
        <v>862</v>
      </c>
      <c r="B393354" s="154" t="s">
        <v>687</v>
      </c>
      <c r="C393354" s="277">
        <v>1.6082653627874467E-2</v>
      </c>
      <c r="D393354" s="349">
        <f t="shared" si="26"/>
        <v>0.11258999089248985</v>
      </c>
      <c r="E393354" s="277">
        <v>6.7589990892489848E-2</v>
      </c>
      <c r="F393354" s="277">
        <v>0.18760152153615242</v>
      </c>
    </row>
    <row r="393355" spans="1:6" ht="16">
      <c r="A393355" s="347" t="s">
        <v>318</v>
      </c>
      <c r="B393355" s="348" t="s">
        <v>571</v>
      </c>
      <c r="C393355" s="349">
        <v>2.0743237044383835E-2</v>
      </c>
      <c r="D393355" s="349">
        <f t="shared" si="26"/>
        <v>7.2846542568870451E-2</v>
      </c>
      <c r="E393355" s="349">
        <v>2.7846542568870453E-2</v>
      </c>
      <c r="F393355" s="349">
        <v>0.25</v>
      </c>
    </row>
    <row r="393356" spans="1:6" ht="16">
      <c r="A393356" s="347" t="s">
        <v>319</v>
      </c>
      <c r="B393356" s="348" t="s">
        <v>572</v>
      </c>
      <c r="C393356" s="349">
        <v>5.9924907017108855E-2</v>
      </c>
      <c r="D393356" s="349">
        <f t="shared" si="26"/>
        <v>0.12544556742118129</v>
      </c>
      <c r="E393356" s="349">
        <v>8.0445567421181294E-2</v>
      </c>
      <c r="F393356" s="349">
        <v>0.3</v>
      </c>
    </row>
    <row r="393357" spans="1:6" ht="16">
      <c r="A393357" s="347" t="s">
        <v>320</v>
      </c>
      <c r="B393357" s="348" t="s">
        <v>589</v>
      </c>
      <c r="C393357" s="349">
        <v>2.7273515373171343E-2</v>
      </c>
      <c r="D393357" s="349">
        <f t="shared" si="26"/>
        <v>8.161304671092226E-2</v>
      </c>
      <c r="E393357" s="349">
        <v>3.6613046710922262E-2</v>
      </c>
      <c r="F393357" s="349">
        <v>0.1</v>
      </c>
    </row>
    <row r="393358" spans="1:6" ht="16">
      <c r="A393358" s="347" t="s">
        <v>321</v>
      </c>
      <c r="B393358" s="348" t="s">
        <v>573</v>
      </c>
      <c r="C393358" s="349">
        <v>1.7414075543433341E-2</v>
      </c>
      <c r="D393358" s="349">
        <f t="shared" si="26"/>
        <v>6.8377344378804827E-2</v>
      </c>
      <c r="E393358" s="349">
        <v>2.3377344378804829E-2</v>
      </c>
      <c r="F393358" s="349">
        <v>0.29499999999999998</v>
      </c>
    </row>
    <row r="393359" spans="1:6" ht="16">
      <c r="A393359" s="347" t="s">
        <v>322</v>
      </c>
      <c r="B393359" s="348" t="s">
        <v>571</v>
      </c>
      <c r="C393359" s="349">
        <v>2.0743237044383835E-2</v>
      </c>
      <c r="D393359" s="349">
        <f t="shared" si="26"/>
        <v>7.2846542568870451E-2</v>
      </c>
      <c r="E393359" s="349">
        <v>2.7846542568870453E-2</v>
      </c>
      <c r="F393359" s="349">
        <v>0.25</v>
      </c>
    </row>
    <row r="393360" spans="1:6" ht="16">
      <c r="A393360" s="347" t="s">
        <v>323</v>
      </c>
      <c r="B393360" s="348" t="s">
        <v>583</v>
      </c>
      <c r="C393360" s="349">
        <v>9.2192164641705932E-3</v>
      </c>
      <c r="D393360" s="349">
        <f t="shared" si="26"/>
        <v>5.73762411417202E-2</v>
      </c>
      <c r="E393360" s="349">
        <v>1.2376241141720201E-2</v>
      </c>
      <c r="F393360" s="349">
        <v>0.19</v>
      </c>
    </row>
    <row r="393361" spans="1:6" ht="16">
      <c r="A393361" s="347" t="s">
        <v>324</v>
      </c>
      <c r="B393361" s="348" t="s">
        <v>587</v>
      </c>
      <c r="C393361" s="349">
        <v>1.3060556657575006E-2</v>
      </c>
      <c r="D393361" s="349">
        <f t="shared" si="26"/>
        <v>6.2533008284103617E-2</v>
      </c>
      <c r="E393361" s="349">
        <v>1.7533008284103618E-2</v>
      </c>
      <c r="F393361" s="349">
        <v>0.21</v>
      </c>
    </row>
    <row r="393362" spans="1:6" ht="16">
      <c r="A393362" s="347" t="s">
        <v>325</v>
      </c>
      <c r="B393362" s="348" t="s">
        <v>580</v>
      </c>
      <c r="C393362" s="349">
        <v>6.5302783287875029E-3</v>
      </c>
      <c r="D393362" s="349">
        <f t="shared" si="26"/>
        <v>5.3766504142051808E-2</v>
      </c>
      <c r="E393362" s="349">
        <v>8.7665041420518092E-3</v>
      </c>
      <c r="F393362" s="349">
        <v>0.1</v>
      </c>
    </row>
    <row r="393363" spans="1:6" ht="16">
      <c r="A393363" s="347" t="s">
        <v>503</v>
      </c>
      <c r="B393363" s="348" t="s">
        <v>587</v>
      </c>
      <c r="C393363" s="349">
        <v>1.3060556657575006E-2</v>
      </c>
      <c r="D393363" s="349">
        <f t="shared" si="26"/>
        <v>6.2533008284103617E-2</v>
      </c>
      <c r="E393363" s="349">
        <v>1.7533008284103618E-2</v>
      </c>
      <c r="F393363" s="349">
        <v>0</v>
      </c>
    </row>
    <row r="393364" spans="1:6" ht="16">
      <c r="A393364" s="347" t="s">
        <v>863</v>
      </c>
      <c r="B393364" s="154" t="s">
        <v>687</v>
      </c>
      <c r="C393364" s="277">
        <v>1.2518555898193178E-2</v>
      </c>
      <c r="D393364" s="349">
        <f t="shared" si="26"/>
        <v>0.10780540500857855</v>
      </c>
      <c r="E393364" s="277">
        <v>6.2805405008578549E-2</v>
      </c>
      <c r="F393364" s="277">
        <v>0.2576437502455447</v>
      </c>
    </row>
    <row r="393365" spans="1:6" ht="16">
      <c r="A393365" s="347" t="s">
        <v>326</v>
      </c>
      <c r="B393365" s="348" t="s">
        <v>577</v>
      </c>
      <c r="C393365" s="349">
        <v>2.3944353872220846E-2</v>
      </c>
      <c r="D393365" s="349">
        <f t="shared" si="26"/>
        <v>7.7143848520856623E-2</v>
      </c>
      <c r="E393365" s="349">
        <v>3.2143848520856624E-2</v>
      </c>
      <c r="F393365" s="349">
        <v>0.16</v>
      </c>
    </row>
    <row r="393366" spans="1:6" ht="16">
      <c r="A393366" s="347" t="s">
        <v>327</v>
      </c>
      <c r="B393366" s="348" t="s">
        <v>687</v>
      </c>
      <c r="C393366" s="349">
        <v>4.9041109802463012E-2</v>
      </c>
      <c r="D393366" s="349">
        <f t="shared" si="26"/>
        <v>0.11083472718442829</v>
      </c>
      <c r="E393366" s="349">
        <v>6.5834727184428288E-2</v>
      </c>
      <c r="F393366" s="349">
        <v>0.25</v>
      </c>
    </row>
    <row r="393367" spans="1:6" ht="16">
      <c r="A393367" s="347" t="s">
        <v>490</v>
      </c>
      <c r="B393367" s="348" t="s">
        <v>572</v>
      </c>
      <c r="C393367" s="349">
        <v>5.9924907017108855E-2</v>
      </c>
      <c r="D393367" s="349">
        <f t="shared" si="26"/>
        <v>0.12544556742118129</v>
      </c>
      <c r="E393367" s="349">
        <v>8.0445567421181294E-2</v>
      </c>
      <c r="F393367" s="349">
        <v>0.3</v>
      </c>
    </row>
    <row r="393368" spans="1:6" ht="16">
      <c r="A393368" s="347" t="s">
        <v>864</v>
      </c>
      <c r="B393368" s="154" t="s">
        <v>687</v>
      </c>
      <c r="C393368" s="277">
        <v>0.1054310997313879</v>
      </c>
      <c r="D393368" s="349">
        <f t="shared" si="26"/>
        <v>0.23253488197001548</v>
      </c>
      <c r="E393368" s="277">
        <v>0.1875348819700155</v>
      </c>
      <c r="F393368" s="277">
        <v>0.2724561140242252</v>
      </c>
    </row>
    <row r="393369" spans="1:6" ht="16">
      <c r="A393369" s="347" t="s">
        <v>328</v>
      </c>
      <c r="B393369" s="348" t="s">
        <v>585</v>
      </c>
      <c r="C393369" s="349">
        <v>7.6826803868088279E-3</v>
      </c>
      <c r="D393369" s="349">
        <f t="shared" si="26"/>
        <v>5.5313534284766833E-2</v>
      </c>
      <c r="E393369" s="349">
        <v>1.0313534284766834E-2</v>
      </c>
      <c r="F393369" s="349">
        <v>0.2</v>
      </c>
    </row>
    <row r="393370" spans="1:6" ht="16">
      <c r="A393370" s="347" t="s">
        <v>371</v>
      </c>
      <c r="B393370" s="348" t="s">
        <v>578</v>
      </c>
      <c r="C393370" s="349">
        <v>3.9181669972725021E-2</v>
      </c>
      <c r="D393370" s="349">
        <f t="shared" si="26"/>
        <v>9.7599024852310853E-2</v>
      </c>
      <c r="E393370" s="349">
        <v>5.2599024852310855E-2</v>
      </c>
      <c r="F393370" s="349">
        <v>0.3</v>
      </c>
    </row>
    <row r="393371" spans="1:6" ht="16">
      <c r="A393371" s="347" t="s">
        <v>329</v>
      </c>
      <c r="B393371" s="348" t="s">
        <v>576</v>
      </c>
      <c r="C393371" s="349">
        <v>3.2779436317050999E-2</v>
      </c>
      <c r="D393371" s="349">
        <f t="shared" si="26"/>
        <v>8.9004412948338496E-2</v>
      </c>
      <c r="E393371" s="349">
        <v>4.4004412948338498E-2</v>
      </c>
      <c r="F393371" s="349">
        <v>0.15</v>
      </c>
    </row>
    <row r="393372" spans="1:6" ht="16">
      <c r="A393372" s="347" t="s">
        <v>504</v>
      </c>
      <c r="B393372" s="348" t="s">
        <v>589</v>
      </c>
      <c r="C393372" s="349">
        <v>2.7273515373171343E-2</v>
      </c>
      <c r="D393372" s="349">
        <f t="shared" si="26"/>
        <v>8.161304671092226E-2</v>
      </c>
      <c r="E393372" s="349">
        <v>3.6613046710922262E-2</v>
      </c>
      <c r="F393372" s="349">
        <v>0</v>
      </c>
    </row>
    <row r="393373" spans="1:6" ht="16">
      <c r="A393373" s="350" t="s">
        <v>603</v>
      </c>
      <c r="B393373" s="348" t="s">
        <v>687</v>
      </c>
      <c r="C393373" s="349">
        <v>0.10896601681957191</v>
      </c>
      <c r="D393373" s="349">
        <f t="shared" si="26"/>
        <v>0.19128029460560964</v>
      </c>
      <c r="E393373" s="349">
        <v>0.14628029460560965</v>
      </c>
      <c r="F393373" s="349">
        <v>0.3</v>
      </c>
    </row>
    <row r="393374" spans="1:6" ht="16">
      <c r="A393374" s="347" t="s">
        <v>330</v>
      </c>
      <c r="B393374" s="348" t="s">
        <v>574</v>
      </c>
      <c r="C393374" s="349">
        <v>0</v>
      </c>
      <c r="D393374" s="349">
        <f t="shared" si="26"/>
        <v>4.4999999999999998E-2</v>
      </c>
      <c r="E393374" s="349">
        <v>0</v>
      </c>
      <c r="F393374" s="349">
        <v>0.17</v>
      </c>
    </row>
    <row r="393375" spans="1:6" ht="16">
      <c r="A393375" s="347" t="s">
        <v>372</v>
      </c>
      <c r="B393375" s="348" t="s">
        <v>583</v>
      </c>
      <c r="C393375" s="349">
        <v>9.2192164641705932E-3</v>
      </c>
      <c r="D393375" s="349">
        <f t="shared" si="26"/>
        <v>5.73762411417202E-2</v>
      </c>
      <c r="E393375" s="349">
        <v>1.2376241141720201E-2</v>
      </c>
      <c r="F393375" s="349">
        <v>0.21</v>
      </c>
    </row>
    <row r="393376" spans="1:6" ht="16">
      <c r="A393376" s="347" t="s">
        <v>331</v>
      </c>
      <c r="B393376" s="348" t="s">
        <v>587</v>
      </c>
      <c r="C393376" s="349">
        <v>1.3060556657575006E-2</v>
      </c>
      <c r="D393376" s="349">
        <f t="shared" si="26"/>
        <v>6.2533008284103617E-2</v>
      </c>
      <c r="E393376" s="349">
        <v>1.7533008284103618E-2</v>
      </c>
      <c r="F393376" s="349">
        <v>0.19</v>
      </c>
    </row>
    <row r="393377" spans="1:6" ht="16">
      <c r="A393377" s="347" t="s">
        <v>604</v>
      </c>
      <c r="B393377" s="348" t="s">
        <v>579</v>
      </c>
      <c r="C393377" s="349">
        <v>8.1692501446400528E-2</v>
      </c>
      <c r="D393377" s="349">
        <f t="shared" si="26"/>
        <v>0.15466724789468733</v>
      </c>
      <c r="E393377" s="349">
        <v>0.10966724789468733</v>
      </c>
      <c r="F393377" s="349">
        <v>0.3</v>
      </c>
    </row>
    <row r="393378" spans="1:6" ht="16">
      <c r="A393378" s="351" t="s">
        <v>605</v>
      </c>
      <c r="B393378" s="348" t="s">
        <v>687</v>
      </c>
      <c r="C393378" s="349">
        <v>0.13073361124886354</v>
      </c>
      <c r="D393378" s="349">
        <f t="shared" si="26"/>
        <v>0.22050197507911562</v>
      </c>
      <c r="E393378" s="349">
        <v>0.17550197507911564</v>
      </c>
      <c r="F393378" s="349">
        <v>0.29149999999999998</v>
      </c>
    </row>
    <row r="393379" spans="1:6" ht="16">
      <c r="A393379" s="347" t="s">
        <v>332</v>
      </c>
      <c r="B393379" s="348" t="s">
        <v>576</v>
      </c>
      <c r="C393379" s="349">
        <v>3.2779436317050999E-2</v>
      </c>
      <c r="D393379" s="349">
        <f t="shared" si="26"/>
        <v>8.9004412948338496E-2</v>
      </c>
      <c r="E393379" s="349">
        <v>4.4004412948338498E-2</v>
      </c>
      <c r="F393379" s="349">
        <v>0.27</v>
      </c>
    </row>
    <row r="393380" spans="1:6" ht="16">
      <c r="A393380" s="347" t="s">
        <v>865</v>
      </c>
      <c r="B393380" s="348" t="s">
        <v>568</v>
      </c>
      <c r="C393380" s="349">
        <v>5.3778762707661788E-3</v>
      </c>
      <c r="D393380" s="349">
        <f t="shared" si="26"/>
        <v>5.2219473999336782E-2</v>
      </c>
      <c r="E393380" s="349">
        <v>7.219473999336784E-3</v>
      </c>
      <c r="F393380" s="349">
        <v>0.25</v>
      </c>
    </row>
    <row r="393381" spans="1:6" ht="16">
      <c r="A393381" s="347" t="s">
        <v>333</v>
      </c>
      <c r="B393381" s="348" t="s">
        <v>573</v>
      </c>
      <c r="C393381" s="349">
        <v>1.7414075543433341E-2</v>
      </c>
      <c r="D393381" s="349">
        <f t="shared" si="26"/>
        <v>6.8377344378804827E-2</v>
      </c>
      <c r="E393381" s="349">
        <v>2.3377344378804829E-2</v>
      </c>
      <c r="F393381" s="349">
        <v>0.25</v>
      </c>
    </row>
    <row r="393382" spans="1:6" ht="16">
      <c r="A393382" s="347" t="s">
        <v>334</v>
      </c>
      <c r="B393382" s="348" t="s">
        <v>688</v>
      </c>
      <c r="C393382" s="349">
        <v>0.13073361124886354</v>
      </c>
      <c r="D393382" s="349">
        <f t="shared" si="26"/>
        <v>0.22050197507911562</v>
      </c>
      <c r="E393382" s="349">
        <v>0.17550197507911564</v>
      </c>
      <c r="F393382" s="349">
        <v>0.24</v>
      </c>
    </row>
    <row r="393383" spans="1:6" ht="16">
      <c r="A393383" s="347" t="s">
        <v>430</v>
      </c>
      <c r="B393383" s="348" t="s">
        <v>576</v>
      </c>
      <c r="C393383" s="349">
        <v>3.2779436317050999E-2</v>
      </c>
      <c r="D393383" s="349">
        <f t="shared" si="26"/>
        <v>8.9004412948338496E-2</v>
      </c>
      <c r="E393383" s="349">
        <v>4.4004412948338498E-2</v>
      </c>
      <c r="F393383" s="349">
        <v>0.2853</v>
      </c>
    </row>
    <row r="393384" spans="1:6" ht="16">
      <c r="A393384" s="347" t="s">
        <v>373</v>
      </c>
      <c r="B393384" s="348" t="s">
        <v>581</v>
      </c>
      <c r="C393384" s="349">
        <v>7.0808704231754685E-2</v>
      </c>
      <c r="D393384" s="349">
        <f t="shared" si="26"/>
        <v>0.14005640765793431</v>
      </c>
      <c r="E393384" s="349">
        <v>9.5056407657934314E-2</v>
      </c>
      <c r="F393384" s="349">
        <v>0.2853</v>
      </c>
    </row>
    <row r="393385" spans="1:6" ht="16">
      <c r="A393385" s="350" t="s">
        <v>606</v>
      </c>
      <c r="B393385" s="348" t="s">
        <v>687</v>
      </c>
      <c r="C393385" s="349">
        <v>0.17499999999999999</v>
      </c>
      <c r="D393385" s="349">
        <f t="shared" si="26"/>
        <v>0.27992692770782934</v>
      </c>
      <c r="E393385" s="349">
        <v>0.23492692770782936</v>
      </c>
      <c r="F393385" s="349">
        <v>0.35</v>
      </c>
    </row>
    <row r="393386" spans="1:6" ht="16">
      <c r="A393386" s="347" t="s">
        <v>374</v>
      </c>
      <c r="B393386" s="348" t="s">
        <v>689</v>
      </c>
      <c r="C393386" s="349">
        <v>0.10896601681957188</v>
      </c>
      <c r="D393386" s="349">
        <f t="shared" si="26"/>
        <v>0.19128029460560964</v>
      </c>
      <c r="E393386" s="349">
        <v>0.14628029460560965</v>
      </c>
      <c r="F393386" s="349">
        <v>0.36</v>
      </c>
    </row>
    <row r="393387" spans="1:6" ht="16">
      <c r="A393387" s="347" t="s">
        <v>607</v>
      </c>
      <c r="B393387" s="348" t="s">
        <v>581</v>
      </c>
      <c r="C393387" s="349">
        <v>7.0808704231754685E-2</v>
      </c>
      <c r="D393387" s="349">
        <f t="shared" si="26"/>
        <v>0.14005640765793431</v>
      </c>
      <c r="E393387" s="349">
        <v>9.5056407657934314E-2</v>
      </c>
      <c r="F393387" s="349">
        <v>0.27500000000000002</v>
      </c>
    </row>
    <row r="393388" spans="1:6" ht="16">
      <c r="A393388" s="347" t="s">
        <v>335</v>
      </c>
      <c r="B393388" s="348" t="s">
        <v>574</v>
      </c>
      <c r="C393388" s="349">
        <v>0</v>
      </c>
      <c r="D393388" s="349">
        <f t="shared" si="26"/>
        <v>4.4999999999999998E-2</v>
      </c>
      <c r="E393388" s="349">
        <v>0</v>
      </c>
      <c r="F393388" s="349">
        <v>0.20600000000000002</v>
      </c>
    </row>
    <row r="393389" spans="1:6" ht="16">
      <c r="A393389" s="347" t="s">
        <v>336</v>
      </c>
      <c r="B393389" s="348" t="s">
        <v>574</v>
      </c>
      <c r="C393389" s="349">
        <v>0</v>
      </c>
      <c r="D393389" s="349">
        <f t="shared" si="26"/>
        <v>4.4999999999999998E-2</v>
      </c>
      <c r="E393389" s="349">
        <v>0</v>
      </c>
      <c r="F393389" s="349">
        <v>0.14599999999999999</v>
      </c>
    </row>
    <row r="393390" spans="1:6" ht="16">
      <c r="A393390" s="351" t="s">
        <v>608</v>
      </c>
      <c r="B393390" s="348" t="s">
        <v>687</v>
      </c>
      <c r="C393390" s="349">
        <v>0.17499999999999999</v>
      </c>
      <c r="D393390" s="349">
        <f t="shared" si="26"/>
        <v>0.27992692770782934</v>
      </c>
      <c r="E393390" s="349">
        <v>0.23492692770782936</v>
      </c>
      <c r="F393390" s="349">
        <v>0.28000000000000003</v>
      </c>
    </row>
    <row r="393391" spans="1:6" ht="16">
      <c r="A393391" s="347" t="s">
        <v>337</v>
      </c>
      <c r="B393391" s="348" t="s">
        <v>580</v>
      </c>
      <c r="C393391" s="349">
        <v>6.5302783287875029E-3</v>
      </c>
      <c r="D393391" s="349">
        <f t="shared" si="26"/>
        <v>5.3766504142051808E-2</v>
      </c>
      <c r="E393391" s="349">
        <v>8.7665041420518092E-3</v>
      </c>
      <c r="F393391" s="349">
        <v>0.2</v>
      </c>
    </row>
    <row r="393392" spans="1:6" ht="16">
      <c r="A393392" s="347" t="s">
        <v>609</v>
      </c>
      <c r="B393392" s="348" t="s">
        <v>581</v>
      </c>
      <c r="C393392" s="349">
        <v>7.0808704231754685E-2</v>
      </c>
      <c r="D393392" s="349">
        <f t="shared" si="26"/>
        <v>0.14005640765793431</v>
      </c>
      <c r="E393392" s="349">
        <v>9.5056407657934314E-2</v>
      </c>
      <c r="F393392" s="349">
        <v>0.18</v>
      </c>
    </row>
    <row r="393393" spans="1:6" ht="16">
      <c r="A393393" s="347" t="s">
        <v>610</v>
      </c>
      <c r="B393393" s="348" t="s">
        <v>572</v>
      </c>
      <c r="C393393" s="349">
        <v>5.9924907017108855E-2</v>
      </c>
      <c r="D393393" s="349">
        <f t="shared" si="26"/>
        <v>0.12544556742118129</v>
      </c>
      <c r="E393393" s="349">
        <v>8.0445567421181294E-2</v>
      </c>
      <c r="F393393" s="349">
        <v>0.3</v>
      </c>
    </row>
    <row r="393394" spans="1:6" ht="16">
      <c r="A393394" s="347" t="s">
        <v>338</v>
      </c>
      <c r="B393394" s="348" t="s">
        <v>573</v>
      </c>
      <c r="C393394" s="349">
        <v>1.7414075543433341E-2</v>
      </c>
      <c r="D393394" s="349">
        <f t="shared" si="26"/>
        <v>6.8377344378804827E-2</v>
      </c>
      <c r="E393394" s="349">
        <v>2.3377344378804829E-2</v>
      </c>
      <c r="F393394" s="349">
        <v>0.2</v>
      </c>
    </row>
    <row r="393395" spans="1:6" ht="16">
      <c r="A393395" s="347" t="s">
        <v>611</v>
      </c>
      <c r="B393395" s="348" t="s">
        <v>581</v>
      </c>
      <c r="C393395" s="349">
        <v>7.0808704231754685E-2</v>
      </c>
      <c r="D393395" s="349">
        <f t="shared" si="26"/>
        <v>0.14005640765793431</v>
      </c>
      <c r="E393395" s="349">
        <v>9.5056407657934314E-2</v>
      </c>
      <c r="F393395" s="349">
        <v>0.26860000000000001</v>
      </c>
    </row>
    <row r="393396" spans="1:6" ht="16">
      <c r="A393396" s="347" t="s">
        <v>866</v>
      </c>
      <c r="B393396" s="348" t="s">
        <v>576</v>
      </c>
      <c r="C393396" s="349">
        <v>3.2779436317050999E-2</v>
      </c>
      <c r="D393396" s="349">
        <f t="shared" si="26"/>
        <v>8.9004412948338496E-2</v>
      </c>
      <c r="E393396" s="349">
        <v>4.4004412948338498E-2</v>
      </c>
      <c r="F393396" s="349">
        <v>0.3</v>
      </c>
    </row>
    <row r="393397" spans="1:6" ht="16">
      <c r="A393397" s="347" t="s">
        <v>339</v>
      </c>
      <c r="B393397" s="348" t="s">
        <v>586</v>
      </c>
      <c r="C393397" s="349">
        <v>9.8082219604926024E-2</v>
      </c>
      <c r="D393397" s="349">
        <f t="shared" si="26"/>
        <v>0.17666945436885656</v>
      </c>
      <c r="E393397" s="349">
        <v>0.13166945436885658</v>
      </c>
      <c r="F393397" s="349">
        <v>0.15</v>
      </c>
    </row>
    <row r="393398" spans="1:6" ht="16">
      <c r="A393398" s="347" t="s">
        <v>340</v>
      </c>
      <c r="B393398" s="348" t="s">
        <v>581</v>
      </c>
      <c r="C393398" s="349">
        <v>7.0808704231754685E-2</v>
      </c>
      <c r="D393398" s="349">
        <f t="shared" si="26"/>
        <v>0.14005640765793431</v>
      </c>
      <c r="E393398" s="349">
        <v>9.5056407657934314E-2</v>
      </c>
      <c r="F393398" s="349">
        <v>0.25</v>
      </c>
    </row>
    <row r="393399" spans="1:6" ht="16">
      <c r="A393399" s="353" t="s">
        <v>867</v>
      </c>
      <c r="B393399" s="348" t="s">
        <v>573</v>
      </c>
      <c r="C393399" s="349">
        <v>1.7414075543433341E-2</v>
      </c>
      <c r="D393399" s="349">
        <f t="shared" si="26"/>
        <v>6.8377344378804827E-2</v>
      </c>
      <c r="E393399" s="349">
        <v>2.3377344378804829E-2</v>
      </c>
      <c r="F393399" s="349">
        <v>0</v>
      </c>
    </row>
    <row r="393400" spans="1:6" ht="16">
      <c r="A393400" s="347" t="s">
        <v>431</v>
      </c>
      <c r="B393400" s="348" t="s">
        <v>572</v>
      </c>
      <c r="C393400" s="349">
        <v>5.9924907017108855E-2</v>
      </c>
      <c r="D393400" s="349">
        <f t="shared" si="26"/>
        <v>0.12544556742118129</v>
      </c>
      <c r="E393400" s="349">
        <v>8.0445567421181294E-2</v>
      </c>
      <c r="F393400" s="349">
        <v>0.3</v>
      </c>
    </row>
    <row r="393401" spans="1:6" ht="16">
      <c r="A393401" s="347" t="s">
        <v>341</v>
      </c>
      <c r="B393401" s="348" t="s">
        <v>688</v>
      </c>
      <c r="C393401" s="349">
        <v>0.13073361124886354</v>
      </c>
      <c r="D393401" s="349">
        <f t="shared" si="26"/>
        <v>0.22050197507911562</v>
      </c>
      <c r="E393401" s="349">
        <v>0.17550197507911564</v>
      </c>
      <c r="F393401" s="349">
        <v>0.18</v>
      </c>
    </row>
    <row r="393402" spans="1:6" ht="16">
      <c r="A393402" s="347" t="s">
        <v>342</v>
      </c>
      <c r="B393402" s="348" t="s">
        <v>568</v>
      </c>
      <c r="C393402" s="349">
        <v>5.3778762707661788E-3</v>
      </c>
      <c r="D393402" s="349">
        <f t="shared" si="26"/>
        <v>5.2219473999336782E-2</v>
      </c>
      <c r="E393402" s="349">
        <v>7.219473999336784E-3</v>
      </c>
      <c r="F393402" s="349">
        <v>0.25</v>
      </c>
    </row>
    <row r="393403" spans="1:6" ht="16">
      <c r="A393403" s="347" t="s">
        <v>343</v>
      </c>
      <c r="B393403" s="348" t="s">
        <v>580</v>
      </c>
      <c r="C393403" s="349">
        <v>6.5302783287875029E-3</v>
      </c>
      <c r="D393403" s="349">
        <f t="shared" si="26"/>
        <v>5.3766504142051808E-2</v>
      </c>
      <c r="E393403" s="349">
        <v>8.7665041420518092E-3</v>
      </c>
      <c r="F393403" s="349">
        <v>0.25</v>
      </c>
    </row>
    <row r="393404" spans="1:6" ht="16">
      <c r="A393404" s="347" t="s">
        <v>344</v>
      </c>
      <c r="B393404" s="348" t="s">
        <v>574</v>
      </c>
      <c r="C393404" s="349">
        <v>0</v>
      </c>
      <c r="D393404" s="349">
        <f t="shared" si="26"/>
        <v>4.4999999999999998E-2</v>
      </c>
      <c r="E393404" s="349">
        <v>0</v>
      </c>
      <c r="F393404" s="349">
        <v>0.25</v>
      </c>
    </row>
    <row r="393405" spans="1:6" ht="16">
      <c r="A393405" s="347" t="s">
        <v>345</v>
      </c>
      <c r="B393405" s="348" t="s">
        <v>571</v>
      </c>
      <c r="C393405" s="349">
        <v>2.0743237044383835E-2</v>
      </c>
      <c r="D393405" s="349">
        <f t="shared" si="26"/>
        <v>7.2846542568870451E-2</v>
      </c>
      <c r="E393405" s="349">
        <v>2.7846542568870453E-2</v>
      </c>
      <c r="F393405" s="349">
        <v>0.25</v>
      </c>
    </row>
    <row r="393406" spans="1:6" ht="16">
      <c r="A393406" s="347" t="s">
        <v>693</v>
      </c>
      <c r="B393406" s="348" t="s">
        <v>578</v>
      </c>
      <c r="C393406" s="349">
        <v>3.9181669972725021E-2</v>
      </c>
      <c r="D393406" s="349">
        <f t="shared" si="26"/>
        <v>9.7599024852310853E-2</v>
      </c>
      <c r="E393406" s="349">
        <v>5.2599024852310855E-2</v>
      </c>
      <c r="F393406" s="349">
        <v>0.15</v>
      </c>
    </row>
    <row r="393407" spans="1:6" ht="16">
      <c r="A393407" s="347" t="s">
        <v>346</v>
      </c>
      <c r="B393407" s="348" t="s">
        <v>615</v>
      </c>
      <c r="C393407" s="349">
        <v>0.17499999999999999</v>
      </c>
      <c r="D393407" s="349">
        <f t="shared" si="26"/>
        <v>0.27992692770782934</v>
      </c>
      <c r="E393407" s="349">
        <v>0.23492692770782936</v>
      </c>
      <c r="F393407" s="349">
        <v>0.34</v>
      </c>
    </row>
    <row r="393408" spans="1:6" ht="16">
      <c r="A393408" s="347" t="s">
        <v>347</v>
      </c>
      <c r="B393408" s="348" t="s">
        <v>576</v>
      </c>
      <c r="C393408" s="349">
        <v>3.2779436317050999E-2</v>
      </c>
      <c r="D393408" s="349">
        <f t="shared" si="26"/>
        <v>8.9004412948338496E-2</v>
      </c>
      <c r="E393408" s="349">
        <v>4.4004412948338498E-2</v>
      </c>
      <c r="F393408" s="349">
        <v>0.2</v>
      </c>
    </row>
    <row r="393409" spans="1:6" ht="16">
      <c r="A393409" s="350" t="s">
        <v>868</v>
      </c>
      <c r="B393409" s="348" t="s">
        <v>687</v>
      </c>
      <c r="C393409" s="349">
        <v>0.10896601681957191</v>
      </c>
      <c r="D393409" s="349">
        <f t="shared" si="26"/>
        <v>0.19128029460560964</v>
      </c>
      <c r="E393409" s="349">
        <v>0.14628029460560965</v>
      </c>
      <c r="F393409" s="349">
        <v>0.2</v>
      </c>
    </row>
    <row r="393410" spans="1:6" ht="16">
      <c r="A393410" s="347" t="s">
        <v>348</v>
      </c>
      <c r="B393410" s="348" t="s">
        <v>689</v>
      </c>
      <c r="C393410" s="349">
        <v>0.10896601681957188</v>
      </c>
      <c r="D393410" s="349">
        <f t="shared" si="26"/>
        <v>0.19128029460560964</v>
      </c>
      <c r="E393410" s="349">
        <v>0.14628029460560965</v>
      </c>
      <c r="F393410" s="349">
        <v>0.35</v>
      </c>
    </row>
    <row r="393411" spans="1:6" ht="16">
      <c r="A393411" s="351" t="s">
        <v>612</v>
      </c>
      <c r="B393411" s="348" t="s">
        <v>687</v>
      </c>
      <c r="C393411" s="349">
        <v>9.8082219604926024E-2</v>
      </c>
      <c r="D393411" s="349">
        <f t="shared" si="26"/>
        <v>0.17666945436885656</v>
      </c>
      <c r="E393411" s="349">
        <v>0.13166945436885658</v>
      </c>
      <c r="F393411" s="349">
        <v>0.25</v>
      </c>
    </row>
    <row r="393416" spans="1:6">
      <c r="A393416" s="354" t="s">
        <v>352</v>
      </c>
      <c r="B393416" s="355" t="s">
        <v>376</v>
      </c>
      <c r="C393416" s="355" t="s">
        <v>869</v>
      </c>
      <c r="D393416" s="355" t="s">
        <v>694</v>
      </c>
      <c r="E393416" s="355" t="s">
        <v>870</v>
      </c>
    </row>
    <row r="393417" spans="1:6">
      <c r="A393417" s="356" t="s">
        <v>355</v>
      </c>
      <c r="B393417" s="357">
        <f>$B$1+E393417</f>
        <v>0.13663852306889546</v>
      </c>
      <c r="C393417" s="357">
        <v>6.8262679351091926E-2</v>
      </c>
      <c r="D393417" s="357">
        <v>0.27302836489005694</v>
      </c>
      <c r="E393417" s="357">
        <v>9.1638523068895444E-2</v>
      </c>
    </row>
    <row r="393418" spans="1:6">
      <c r="A393418" s="356" t="s">
        <v>428</v>
      </c>
      <c r="B393418" s="357">
        <f t="shared" ref="B393418:B393426" si="27">$B$1+E393418</f>
        <v>6.1805405008578562E-2</v>
      </c>
      <c r="C393418" s="357">
        <v>1.2518555898193178E-2</v>
      </c>
      <c r="D393418" s="357">
        <v>0.2576437502455447</v>
      </c>
      <c r="E393418" s="357">
        <v>1.6805405008578567E-2</v>
      </c>
    </row>
    <row r="393419" spans="1:6">
      <c r="A393419" s="356" t="s">
        <v>357</v>
      </c>
      <c r="B393419" s="357">
        <f t="shared" si="27"/>
        <v>4.5047923618641933E-2</v>
      </c>
      <c r="C393419" s="357">
        <v>3.5698901544265913E-5</v>
      </c>
      <c r="D393419" s="357">
        <v>0.29744361328762281</v>
      </c>
      <c r="E393419" s="357">
        <v>4.7923618641935289E-5</v>
      </c>
    </row>
    <row r="393420" spans="1:6">
      <c r="A393420" s="356" t="s">
        <v>359</v>
      </c>
      <c r="B393420" s="357">
        <f t="shared" si="27"/>
        <v>0.1865348819700155</v>
      </c>
      <c r="C393420" s="357">
        <v>0.1054310997313879</v>
      </c>
      <c r="D393420" s="357">
        <v>0.2724561140242252</v>
      </c>
      <c r="E393420" s="357">
        <v>0.14153488197001549</v>
      </c>
    </row>
    <row r="393421" spans="1:6">
      <c r="A393421" s="356" t="s">
        <v>356</v>
      </c>
      <c r="B393421" s="357">
        <f t="shared" si="27"/>
        <v>0.10261091058162494</v>
      </c>
      <c r="C393421" s="357">
        <v>4.2915086193622262E-2</v>
      </c>
      <c r="D393421" s="357">
        <v>0.31595749426030023</v>
      </c>
      <c r="E393421" s="357">
        <v>5.7610910581624951E-2</v>
      </c>
    </row>
    <row r="393422" spans="1:6">
      <c r="A393422" s="356" t="s">
        <v>354</v>
      </c>
      <c r="B393422" s="357">
        <f t="shared" si="27"/>
        <v>9.5579383477192262E-2</v>
      </c>
      <c r="C393422" s="357">
        <v>3.7670398345457844E-2</v>
      </c>
      <c r="D393422" s="357">
        <v>0.18485819102180306</v>
      </c>
      <c r="E393422" s="357">
        <v>5.0579383477192263E-2</v>
      </c>
    </row>
    <row r="393423" spans="1:6">
      <c r="A393423" s="356" t="s">
        <v>360</v>
      </c>
      <c r="B393423" s="357">
        <f t="shared" si="27"/>
        <v>6.6589990892489848E-2</v>
      </c>
      <c r="C393423" s="357">
        <v>1.6082653627874467E-2</v>
      </c>
      <c r="D393423" s="357">
        <v>0.18760152153615242</v>
      </c>
      <c r="E393423" s="357">
        <v>2.1589990892489853E-2</v>
      </c>
    </row>
    <row r="393424" spans="1:6">
      <c r="A393424" s="356" t="s">
        <v>362</v>
      </c>
      <c r="B393424" s="357">
        <f t="shared" si="27"/>
        <v>4.4999999999999998E-2</v>
      </c>
      <c r="C393424" s="357">
        <v>0</v>
      </c>
      <c r="D393424" s="357">
        <v>0.25116286561170831</v>
      </c>
      <c r="E393424" s="357">
        <v>0</v>
      </c>
    </row>
    <row r="393425" spans="1:5">
      <c r="A393425" s="356" t="s">
        <v>353</v>
      </c>
      <c r="B393425" s="357">
        <f t="shared" si="27"/>
        <v>5.7871606293643366E-2</v>
      </c>
      <c r="C393425" s="357">
        <v>9.5882201472833571E-3</v>
      </c>
      <c r="D393425" s="357">
        <v>0.24707349543413576</v>
      </c>
      <c r="E393425" s="357">
        <v>1.2871606293643371E-2</v>
      </c>
    </row>
    <row r="393426" spans="1:5">
      <c r="A393426" s="356" t="s">
        <v>491</v>
      </c>
      <c r="B393426" s="357">
        <f t="shared" si="27"/>
        <v>6.3100000000000003E-2</v>
      </c>
      <c r="C393426" s="357">
        <v>1.35E-2</v>
      </c>
      <c r="D393426" s="357">
        <v>0.25225942509764748</v>
      </c>
      <c r="E393426" s="357">
        <v>1.8100000000000002E-2</v>
      </c>
    </row>
    <row r="458753" spans="1:6">
      <c r="A458753" t="s">
        <v>613</v>
      </c>
      <c r="B458753" s="242">
        <v>4.5999999999999999E-2</v>
      </c>
      <c r="C458753" t="s">
        <v>847</v>
      </c>
    </row>
    <row r="458754" spans="1:6" ht="14">
      <c r="A458754" s="275" t="s">
        <v>686</v>
      </c>
      <c r="B458754" s="275"/>
      <c r="C458754" s="275"/>
      <c r="D458754" s="275"/>
      <c r="E458754" s="275"/>
      <c r="F458754" s="275"/>
    </row>
    <row r="458756" spans="1:6" ht="16">
      <c r="A458756" s="344" t="s">
        <v>349</v>
      </c>
      <c r="B458756" s="345" t="s">
        <v>566</v>
      </c>
      <c r="C458756" s="346" t="s">
        <v>350</v>
      </c>
      <c r="D458756" s="346" t="s">
        <v>567</v>
      </c>
      <c r="E458756" s="346" t="s">
        <v>351</v>
      </c>
      <c r="F458756" s="346" t="s">
        <v>519</v>
      </c>
    </row>
    <row r="458757" spans="1:6" ht="16">
      <c r="A458757" s="347" t="s">
        <v>481</v>
      </c>
      <c r="B458757" s="348" t="s">
        <v>568</v>
      </c>
      <c r="C458757" s="349">
        <v>5.3778762707661788E-3</v>
      </c>
      <c r="D458757" s="349">
        <f>$B$1+E458757</f>
        <v>5.2219473999336782E-2</v>
      </c>
      <c r="E458757" s="349">
        <v>7.219473999336784E-3</v>
      </c>
      <c r="F458757" s="349">
        <v>0.15</v>
      </c>
    </row>
    <row r="458758" spans="1:6" ht="16">
      <c r="A458758" s="347" t="s">
        <v>245</v>
      </c>
      <c r="B458758" s="348" t="s">
        <v>569</v>
      </c>
      <c r="C458758" s="349">
        <v>4.9041109802463012E-2</v>
      </c>
      <c r="D458758" s="349">
        <f t="shared" ref="D458758:D458821" si="28">$B$1+E458758</f>
        <v>0.11083472718442829</v>
      </c>
      <c r="E458758" s="349">
        <v>6.5834727184428288E-2</v>
      </c>
      <c r="F458758" s="349">
        <v>0.15</v>
      </c>
    </row>
    <row r="458759" spans="1:6" ht="16">
      <c r="A458759" s="350" t="s">
        <v>570</v>
      </c>
      <c r="B458759" s="348" t="s">
        <v>687</v>
      </c>
      <c r="C458759" s="349">
        <v>4.9041109802463012E-2</v>
      </c>
      <c r="D458759" s="349">
        <f t="shared" si="28"/>
        <v>0.11083472718442829</v>
      </c>
      <c r="E458759" s="349">
        <v>6.5834727184428288E-2</v>
      </c>
      <c r="F458759" s="349">
        <v>0.26</v>
      </c>
    </row>
    <row r="458760" spans="1:6" ht="16">
      <c r="A458760" s="347" t="s">
        <v>499</v>
      </c>
      <c r="B458760" s="348" t="s">
        <v>571</v>
      </c>
      <c r="C458760" s="349">
        <v>2.0743237044383835E-2</v>
      </c>
      <c r="D458760" s="349">
        <f t="shared" si="28"/>
        <v>7.2846542568870451E-2</v>
      </c>
      <c r="E458760" s="349">
        <v>2.7846542568870453E-2</v>
      </c>
      <c r="F458760" s="349">
        <v>0.1898</v>
      </c>
    </row>
    <row r="458761" spans="1:6" ht="16">
      <c r="A458761" s="347" t="s">
        <v>246</v>
      </c>
      <c r="B458761" s="348" t="s">
        <v>581</v>
      </c>
      <c r="C458761" s="349">
        <v>7.0808704231754685E-2</v>
      </c>
      <c r="D458761" s="349">
        <f t="shared" si="28"/>
        <v>0.14005640765793431</v>
      </c>
      <c r="E458761" s="349">
        <v>9.5056407657934314E-2</v>
      </c>
      <c r="F458761" s="349">
        <v>0.25</v>
      </c>
    </row>
    <row r="458762" spans="1:6" ht="16">
      <c r="A458762" s="347" t="s">
        <v>848</v>
      </c>
      <c r="B458762" s="154" t="s">
        <v>687</v>
      </c>
      <c r="C458762" s="277">
        <v>0.1054310997313879</v>
      </c>
      <c r="D458762" s="349">
        <f t="shared" si="28"/>
        <v>0.23253488197001548</v>
      </c>
      <c r="E458762" s="277">
        <v>0.1875348819700155</v>
      </c>
      <c r="F458762" s="277">
        <v>0.2724561140242252</v>
      </c>
    </row>
    <row r="458763" spans="1:6" ht="16">
      <c r="A458763" s="347" t="s">
        <v>849</v>
      </c>
      <c r="B458763" s="154" t="s">
        <v>687</v>
      </c>
      <c r="C458763" s="277">
        <v>0.1054310997313879</v>
      </c>
      <c r="D458763" s="349">
        <f t="shared" si="28"/>
        <v>0.23253488197001548</v>
      </c>
      <c r="E458763" s="277">
        <v>0.1875348819700155</v>
      </c>
      <c r="F458763" s="277">
        <v>0.2724561140242252</v>
      </c>
    </row>
    <row r="458764" spans="1:6" ht="16">
      <c r="A458764" s="347" t="s">
        <v>247</v>
      </c>
      <c r="B458764" s="348" t="s">
        <v>688</v>
      </c>
      <c r="C458764" s="349">
        <v>0.13073361124886354</v>
      </c>
      <c r="D458764" s="349">
        <f t="shared" si="28"/>
        <v>0.22050197507911562</v>
      </c>
      <c r="E458764" s="349">
        <v>0.17550197507911564</v>
      </c>
      <c r="F458764" s="349">
        <v>0.35</v>
      </c>
    </row>
    <row r="458765" spans="1:6" ht="16">
      <c r="A458765" s="347" t="s">
        <v>248</v>
      </c>
      <c r="B458765" s="348" t="s">
        <v>578</v>
      </c>
      <c r="C458765" s="349">
        <v>3.9181669972725021E-2</v>
      </c>
      <c r="D458765" s="349">
        <f t="shared" si="28"/>
        <v>9.7599024852310853E-2</v>
      </c>
      <c r="E458765" s="349">
        <v>5.2599024852310855E-2</v>
      </c>
      <c r="F458765" s="349">
        <v>0.18</v>
      </c>
    </row>
    <row r="458766" spans="1:6" ht="16">
      <c r="A458766" s="347" t="s">
        <v>249</v>
      </c>
      <c r="B458766" s="348" t="s">
        <v>571</v>
      </c>
      <c r="C458766" s="349">
        <v>2.0743237044383835E-2</v>
      </c>
      <c r="D458766" s="349">
        <f t="shared" si="28"/>
        <v>7.2846542568870451E-2</v>
      </c>
      <c r="E458766" s="349">
        <v>2.7846542568870453E-2</v>
      </c>
      <c r="F458766" s="349">
        <v>0.25</v>
      </c>
    </row>
    <row r="458767" spans="1:6" ht="16">
      <c r="A458767" s="347" t="s">
        <v>250</v>
      </c>
      <c r="B458767" s="348" t="s">
        <v>574</v>
      </c>
      <c r="C458767" s="349">
        <v>0</v>
      </c>
      <c r="D458767" s="349">
        <f t="shared" si="28"/>
        <v>4.4999999999999998E-2</v>
      </c>
      <c r="E458767" s="349">
        <v>0</v>
      </c>
      <c r="F458767" s="349">
        <v>0.3</v>
      </c>
    </row>
    <row r="458768" spans="1:6" ht="16">
      <c r="A458768" s="347" t="s">
        <v>251</v>
      </c>
      <c r="B458768" s="348" t="s">
        <v>575</v>
      </c>
      <c r="C458768" s="349">
        <v>4.3535188858583353E-3</v>
      </c>
      <c r="D458768" s="349">
        <f t="shared" si="28"/>
        <v>5.0844336094701202E-2</v>
      </c>
      <c r="E458768" s="349">
        <v>5.8443360947012038E-3</v>
      </c>
      <c r="F458768" s="349">
        <v>0.24</v>
      </c>
    </row>
    <row r="458769" spans="1:6" ht="16">
      <c r="A458769" s="347" t="s">
        <v>358</v>
      </c>
      <c r="B458769" s="348" t="s">
        <v>589</v>
      </c>
      <c r="C458769" s="349">
        <v>2.7273515373171343E-2</v>
      </c>
      <c r="D458769" s="349">
        <f t="shared" si="28"/>
        <v>8.161304671092226E-2</v>
      </c>
      <c r="E458769" s="349">
        <v>3.6613046710922262E-2</v>
      </c>
      <c r="F458769" s="349">
        <v>0.2</v>
      </c>
    </row>
    <row r="458770" spans="1:6" ht="16">
      <c r="A458770" s="347" t="s">
        <v>252</v>
      </c>
      <c r="B458770" s="348" t="s">
        <v>569</v>
      </c>
      <c r="C458770" s="349">
        <v>4.9041109802463012E-2</v>
      </c>
      <c r="D458770" s="349">
        <f t="shared" si="28"/>
        <v>0.11083472718442829</v>
      </c>
      <c r="E458770" s="349">
        <v>6.5834727184428288E-2</v>
      </c>
      <c r="F458770" s="349">
        <v>0</v>
      </c>
    </row>
    <row r="458771" spans="1:6" ht="16">
      <c r="A458771" s="347" t="s">
        <v>253</v>
      </c>
      <c r="B458771" s="348" t="s">
        <v>572</v>
      </c>
      <c r="C458771" s="349">
        <v>5.9924907017108855E-2</v>
      </c>
      <c r="D458771" s="349">
        <f t="shared" si="28"/>
        <v>0.12544556742118129</v>
      </c>
      <c r="E458771" s="349">
        <v>8.0445567421181294E-2</v>
      </c>
      <c r="F458771" s="349">
        <v>0</v>
      </c>
    </row>
    <row r="458772" spans="1:6" ht="16">
      <c r="A458772" s="347" t="s">
        <v>254</v>
      </c>
      <c r="B458772" s="348" t="s">
        <v>569</v>
      </c>
      <c r="C458772" s="349">
        <v>4.9041109802463012E-2</v>
      </c>
      <c r="D458772" s="349">
        <f t="shared" si="28"/>
        <v>0.11083472718442829</v>
      </c>
      <c r="E458772" s="349">
        <v>6.5834727184428288E-2</v>
      </c>
      <c r="F458772" s="349">
        <v>0.3</v>
      </c>
    </row>
    <row r="458773" spans="1:6" ht="16">
      <c r="A458773" s="347" t="s">
        <v>255</v>
      </c>
      <c r="B458773" s="348" t="s">
        <v>581</v>
      </c>
      <c r="C458773" s="349">
        <v>7.0808704231754685E-2</v>
      </c>
      <c r="D458773" s="349">
        <f t="shared" si="28"/>
        <v>0.14005640765793431</v>
      </c>
      <c r="E458773" s="349">
        <v>9.5056407657934314E-2</v>
      </c>
      <c r="F458773" s="349">
        <v>5.5E-2</v>
      </c>
    </row>
    <row r="458774" spans="1:6" ht="16">
      <c r="A458774" s="347" t="s">
        <v>256</v>
      </c>
      <c r="B458774" s="348" t="s">
        <v>615</v>
      </c>
      <c r="C458774" s="349">
        <v>0.17499999999999999</v>
      </c>
      <c r="D458774" s="349">
        <f t="shared" si="28"/>
        <v>0.27992692770782934</v>
      </c>
      <c r="E458774" s="349">
        <v>0.23492692770782936</v>
      </c>
      <c r="F458774" s="349">
        <v>0.18</v>
      </c>
    </row>
    <row r="458775" spans="1:6" ht="16">
      <c r="A458775" s="347" t="s">
        <v>257</v>
      </c>
      <c r="B458775" s="348" t="s">
        <v>580</v>
      </c>
      <c r="C458775" s="349">
        <v>6.5302783287875029E-3</v>
      </c>
      <c r="D458775" s="349">
        <f t="shared" si="28"/>
        <v>5.3766504142051808E-2</v>
      </c>
      <c r="E458775" s="349">
        <v>8.7665041420518092E-3</v>
      </c>
      <c r="F458775" s="349">
        <v>0.25</v>
      </c>
    </row>
    <row r="458776" spans="1:6" ht="16">
      <c r="A458776" s="347" t="s">
        <v>361</v>
      </c>
      <c r="B458776" s="348" t="s">
        <v>586</v>
      </c>
      <c r="C458776" s="349">
        <v>9.8082219604926024E-2</v>
      </c>
      <c r="D458776" s="349">
        <f t="shared" si="28"/>
        <v>0.17666945436885656</v>
      </c>
      <c r="E458776" s="349">
        <v>0.13166945436885658</v>
      </c>
      <c r="F458776" s="349">
        <v>0.2853</v>
      </c>
    </row>
    <row r="458777" spans="1:6" ht="16">
      <c r="A458777" s="347" t="s">
        <v>582</v>
      </c>
      <c r="B458777" s="348" t="s">
        <v>569</v>
      </c>
      <c r="C458777" s="349">
        <v>4.9041109802463012E-2</v>
      </c>
      <c r="D458777" s="349">
        <f t="shared" si="28"/>
        <v>0.11083472718442829</v>
      </c>
      <c r="E458777" s="349">
        <v>6.5834727184428288E-2</v>
      </c>
      <c r="F458777" s="349">
        <v>0.3</v>
      </c>
    </row>
    <row r="458778" spans="1:6" ht="16">
      <c r="A458778" s="347" t="s">
        <v>258</v>
      </c>
      <c r="B458778" s="348" t="s">
        <v>583</v>
      </c>
      <c r="C458778" s="349">
        <v>9.2192164641705932E-3</v>
      </c>
      <c r="D458778" s="349">
        <f t="shared" si="28"/>
        <v>5.73762411417202E-2</v>
      </c>
      <c r="E458778" s="349">
        <v>1.2376241141720201E-2</v>
      </c>
      <c r="F458778" s="349">
        <v>0</v>
      </c>
    </row>
    <row r="458779" spans="1:6" ht="16">
      <c r="A458779" s="347" t="s">
        <v>259</v>
      </c>
      <c r="B458779" s="348" t="s">
        <v>579</v>
      </c>
      <c r="C458779" s="349">
        <v>8.1692501446400528E-2</v>
      </c>
      <c r="D458779" s="349">
        <f t="shared" si="28"/>
        <v>0.15466724789468733</v>
      </c>
      <c r="E458779" s="349">
        <v>0.10966724789468733</v>
      </c>
      <c r="F458779" s="349">
        <v>0.25</v>
      </c>
    </row>
    <row r="458780" spans="1:6" ht="16">
      <c r="A458780" s="347" t="s">
        <v>260</v>
      </c>
      <c r="B458780" s="348" t="s">
        <v>581</v>
      </c>
      <c r="C458780" s="349">
        <v>7.0808704231754685E-2</v>
      </c>
      <c r="D458780" s="349">
        <f t="shared" si="28"/>
        <v>0.14005640765793431</v>
      </c>
      <c r="E458780" s="349">
        <v>9.5056407657934314E-2</v>
      </c>
      <c r="F458780" s="349">
        <v>0.1</v>
      </c>
    </row>
    <row r="458781" spans="1:6" ht="16">
      <c r="A458781" s="347" t="s">
        <v>261</v>
      </c>
      <c r="B458781" s="348" t="s">
        <v>587</v>
      </c>
      <c r="C458781" s="349">
        <v>1.3060556657575006E-2</v>
      </c>
      <c r="D458781" s="349">
        <f t="shared" si="28"/>
        <v>6.2533008284103617E-2</v>
      </c>
      <c r="E458781" s="349">
        <v>1.7533008284103618E-2</v>
      </c>
      <c r="F458781" s="349">
        <v>0.22</v>
      </c>
    </row>
    <row r="458782" spans="1:6" ht="16">
      <c r="A458782" s="347" t="s">
        <v>262</v>
      </c>
      <c r="B458782" s="348" t="s">
        <v>576</v>
      </c>
      <c r="C458782" s="349">
        <v>3.2779436317050999E-2</v>
      </c>
      <c r="D458782" s="349">
        <f t="shared" si="28"/>
        <v>8.9004412948338496E-2</v>
      </c>
      <c r="E458782" s="349">
        <v>4.4004412948338498E-2</v>
      </c>
      <c r="F458782" s="349">
        <v>0.34</v>
      </c>
    </row>
    <row r="458783" spans="1:6" ht="16">
      <c r="A458783" s="347" t="s">
        <v>850</v>
      </c>
      <c r="B458783" s="348" t="s">
        <v>576</v>
      </c>
      <c r="C458783" s="349">
        <v>3.2779436317050999E-2</v>
      </c>
      <c r="D458783" s="349">
        <f t="shared" si="28"/>
        <v>8.9004412948338496E-2</v>
      </c>
      <c r="E458783" s="349">
        <v>4.4004412948338498E-2</v>
      </c>
      <c r="F458783" s="349">
        <v>0.34</v>
      </c>
    </row>
    <row r="458784" spans="1:6" ht="16">
      <c r="A458784" s="351" t="s">
        <v>584</v>
      </c>
      <c r="B458784" s="348" t="s">
        <v>687</v>
      </c>
      <c r="C458784" s="349">
        <v>6.5302783287875029E-3</v>
      </c>
      <c r="D458784" s="349">
        <f t="shared" si="28"/>
        <v>5.3766504142051808E-2</v>
      </c>
      <c r="E458784" s="349">
        <v>8.7665041420518092E-3</v>
      </c>
      <c r="F458784" s="349">
        <v>0.185</v>
      </c>
    </row>
    <row r="458785" spans="1:6" ht="16">
      <c r="A458785" s="347" t="s">
        <v>263</v>
      </c>
      <c r="B458785" s="348" t="s">
        <v>573</v>
      </c>
      <c r="C458785" s="349">
        <v>1.7414075543433341E-2</v>
      </c>
      <c r="D458785" s="349">
        <f t="shared" si="28"/>
        <v>6.8377344378804827E-2</v>
      </c>
      <c r="E458785" s="349">
        <v>2.3377344378804829E-2</v>
      </c>
      <c r="F458785" s="349">
        <v>0.1</v>
      </c>
    </row>
    <row r="458786" spans="1:6" ht="16">
      <c r="A458786" s="347" t="s">
        <v>482</v>
      </c>
      <c r="B458786" s="348" t="s">
        <v>579</v>
      </c>
      <c r="C458786" s="349">
        <v>8.1692501446400528E-2</v>
      </c>
      <c r="D458786" s="349">
        <f t="shared" si="28"/>
        <v>0.15466724789468733</v>
      </c>
      <c r="E458786" s="349">
        <v>0.10966724789468733</v>
      </c>
      <c r="F458786" s="349">
        <v>0.28000000000000003</v>
      </c>
    </row>
    <row r="458787" spans="1:6" ht="16">
      <c r="A458787" s="347" t="s">
        <v>264</v>
      </c>
      <c r="B458787" s="348" t="s">
        <v>572</v>
      </c>
      <c r="C458787" s="349">
        <v>5.9924907017108855E-2</v>
      </c>
      <c r="D458787" s="349">
        <f t="shared" si="28"/>
        <v>0.12544556742118129</v>
      </c>
      <c r="E458787" s="349">
        <v>8.0445567421181294E-2</v>
      </c>
      <c r="F458787" s="349">
        <v>0.2</v>
      </c>
    </row>
    <row r="458788" spans="1:6" ht="16">
      <c r="A458788" s="347" t="s">
        <v>483</v>
      </c>
      <c r="B458788" s="348" t="s">
        <v>579</v>
      </c>
      <c r="C458788" s="349">
        <v>8.1692501446400528E-2</v>
      </c>
      <c r="D458788" s="349">
        <f t="shared" si="28"/>
        <v>0.15466724789468733</v>
      </c>
      <c r="E458788" s="349">
        <v>0.10966724789468733</v>
      </c>
      <c r="F458788" s="349">
        <v>0.33</v>
      </c>
    </row>
    <row r="458789" spans="1:6" ht="16">
      <c r="A458789" s="347" t="s">
        <v>265</v>
      </c>
      <c r="B458789" s="348" t="s">
        <v>574</v>
      </c>
      <c r="C458789" s="349">
        <v>0</v>
      </c>
      <c r="D458789" s="349">
        <f t="shared" si="28"/>
        <v>4.4999999999999998E-2</v>
      </c>
      <c r="E458789" s="349">
        <v>0</v>
      </c>
      <c r="F458789" s="349">
        <v>0.26500000000000001</v>
      </c>
    </row>
    <row r="458790" spans="1:6" ht="16">
      <c r="A458790" s="347" t="s">
        <v>484</v>
      </c>
      <c r="B458790" s="348" t="s">
        <v>581</v>
      </c>
      <c r="C458790" s="349">
        <v>7.0808704231754685E-2</v>
      </c>
      <c r="D458790" s="349">
        <f t="shared" si="28"/>
        <v>0.14005640765793431</v>
      </c>
      <c r="E458790" s="349">
        <v>9.5056407657934314E-2</v>
      </c>
      <c r="F458790" s="349">
        <v>0</v>
      </c>
    </row>
    <row r="458791" spans="1:6" ht="16">
      <c r="A458791" s="347" t="s">
        <v>266</v>
      </c>
      <c r="B458791" s="348" t="s">
        <v>580</v>
      </c>
      <c r="C458791" s="349">
        <v>6.5302783287875029E-3</v>
      </c>
      <c r="D458791" s="349">
        <f t="shared" si="28"/>
        <v>5.3766504142051808E-2</v>
      </c>
      <c r="E458791" s="349">
        <v>8.7665041420518092E-3</v>
      </c>
      <c r="F458791" s="349">
        <v>0</v>
      </c>
    </row>
    <row r="458792" spans="1:6" ht="16">
      <c r="A458792" s="347" t="s">
        <v>851</v>
      </c>
      <c r="B458792" s="154" t="s">
        <v>687</v>
      </c>
      <c r="C458792" s="277">
        <v>9.5882201472833571E-3</v>
      </c>
      <c r="D458792" s="349">
        <f t="shared" si="28"/>
        <v>0.10387160629364336</v>
      </c>
      <c r="E458792" s="277">
        <v>5.8871606293643367E-2</v>
      </c>
      <c r="F458792" s="277">
        <v>0.24707349543413576</v>
      </c>
    </row>
    <row r="458793" spans="1:6" ht="16">
      <c r="A458793" s="347" t="s">
        <v>267</v>
      </c>
      <c r="B458793" s="348" t="s">
        <v>583</v>
      </c>
      <c r="C458793" s="349">
        <v>9.2192164641705932E-3</v>
      </c>
      <c r="D458793" s="349">
        <f t="shared" si="28"/>
        <v>5.73762411417202E-2</v>
      </c>
      <c r="E458793" s="349">
        <v>1.2376241141720201E-2</v>
      </c>
      <c r="F458793" s="349">
        <v>0.27</v>
      </c>
    </row>
    <row r="458794" spans="1:6" ht="16">
      <c r="A458794" s="347" t="s">
        <v>268</v>
      </c>
      <c r="B458794" s="348" t="s">
        <v>585</v>
      </c>
      <c r="C458794" s="349">
        <v>7.6826803868088279E-3</v>
      </c>
      <c r="D458794" s="349">
        <f t="shared" si="28"/>
        <v>5.5313534284766833E-2</v>
      </c>
      <c r="E458794" s="349">
        <v>1.0313534284766834E-2</v>
      </c>
      <c r="F458794" s="349">
        <v>0.25</v>
      </c>
    </row>
    <row r="458795" spans="1:6" ht="16">
      <c r="A458795" s="347" t="s">
        <v>269</v>
      </c>
      <c r="B458795" s="348" t="s">
        <v>571</v>
      </c>
      <c r="C458795" s="349">
        <v>2.0743237044383835E-2</v>
      </c>
      <c r="D458795" s="349">
        <f t="shared" si="28"/>
        <v>7.2846542568870451E-2</v>
      </c>
      <c r="E458795" s="349">
        <v>2.7846542568870453E-2</v>
      </c>
      <c r="F458795" s="349">
        <v>0.35</v>
      </c>
    </row>
    <row r="458796" spans="1:6" ht="16">
      <c r="A458796" s="347" t="s">
        <v>500</v>
      </c>
      <c r="B458796" s="348" t="s">
        <v>581</v>
      </c>
      <c r="C458796" s="349">
        <v>7.0808704231754685E-2</v>
      </c>
      <c r="D458796" s="349">
        <f t="shared" si="28"/>
        <v>0.14005640765793431</v>
      </c>
      <c r="E458796" s="349">
        <v>9.5056407657934314E-2</v>
      </c>
      <c r="F458796" s="349">
        <v>0.3</v>
      </c>
    </row>
    <row r="458797" spans="1:6" ht="16">
      <c r="A458797" s="347" t="s">
        <v>501</v>
      </c>
      <c r="B458797" s="348" t="s">
        <v>586</v>
      </c>
      <c r="C458797" s="349">
        <v>9.8082219604926024E-2</v>
      </c>
      <c r="D458797" s="349">
        <f t="shared" si="28"/>
        <v>0.17666945436885656</v>
      </c>
      <c r="E458797" s="349">
        <v>0.13166945436885658</v>
      </c>
      <c r="F458797" s="349">
        <v>0.28000000000000003</v>
      </c>
    </row>
    <row r="458798" spans="1:6" ht="16">
      <c r="A458798" s="347" t="s">
        <v>485</v>
      </c>
      <c r="B458798" s="348" t="s">
        <v>569</v>
      </c>
      <c r="C458798" s="349">
        <v>4.9041109802463012E-2</v>
      </c>
      <c r="D458798" s="349">
        <f t="shared" si="28"/>
        <v>0.11083472718442829</v>
      </c>
      <c r="E458798" s="349">
        <v>6.5834727184428288E-2</v>
      </c>
      <c r="F458798" s="349">
        <v>0.2974</v>
      </c>
    </row>
    <row r="458799" spans="1:6" ht="16">
      <c r="A458799" s="347" t="s">
        <v>270</v>
      </c>
      <c r="B458799" s="348" t="s">
        <v>569</v>
      </c>
      <c r="C458799" s="349">
        <v>4.9041109802463012E-2</v>
      </c>
      <c r="D458799" s="349">
        <f t="shared" si="28"/>
        <v>0.11083472718442829</v>
      </c>
      <c r="E458799" s="349">
        <v>6.5834727184428288E-2</v>
      </c>
      <c r="F458799" s="349">
        <v>0.3</v>
      </c>
    </row>
    <row r="458800" spans="1:6" ht="16">
      <c r="A458800" s="347" t="s">
        <v>271</v>
      </c>
      <c r="B458800" s="348" t="s">
        <v>571</v>
      </c>
      <c r="C458800" s="349">
        <v>2.0743237044383835E-2</v>
      </c>
      <c r="D458800" s="349">
        <f t="shared" si="28"/>
        <v>7.2846542568870451E-2</v>
      </c>
      <c r="E458800" s="349">
        <v>2.7846542568870453E-2</v>
      </c>
      <c r="F458800" s="349">
        <v>0.18</v>
      </c>
    </row>
    <row r="458801" spans="1:6" ht="16">
      <c r="A458801" s="347" t="s">
        <v>363</v>
      </c>
      <c r="B458801" s="348" t="s">
        <v>688</v>
      </c>
      <c r="C458801" s="349">
        <v>0.13073361124886354</v>
      </c>
      <c r="D458801" s="349">
        <f t="shared" si="28"/>
        <v>0.22050197507911562</v>
      </c>
      <c r="E458801" s="349">
        <v>0.17550197507911564</v>
      </c>
      <c r="F458801" s="349">
        <v>0.2853</v>
      </c>
    </row>
    <row r="458802" spans="1:6" ht="16">
      <c r="A458802" s="352" t="s">
        <v>852</v>
      </c>
      <c r="B458802" s="348" t="s">
        <v>571</v>
      </c>
      <c r="C458802" s="349">
        <v>2.0743237044383835E-2</v>
      </c>
      <c r="D458802" s="349">
        <f t="shared" si="28"/>
        <v>7.2846542568870451E-2</v>
      </c>
      <c r="E458802" s="349">
        <v>2.7846542568870453E-2</v>
      </c>
      <c r="F458802" s="349">
        <v>0.22</v>
      </c>
    </row>
    <row r="458803" spans="1:6" ht="16">
      <c r="A458803" s="347" t="s">
        <v>272</v>
      </c>
      <c r="B458803" s="348" t="s">
        <v>571</v>
      </c>
      <c r="C458803" s="349">
        <v>2.0743237044383835E-2</v>
      </c>
      <c r="D458803" s="349">
        <f t="shared" si="28"/>
        <v>7.2846542568870451E-2</v>
      </c>
      <c r="E458803" s="349">
        <v>2.7846542568870453E-2</v>
      </c>
      <c r="F458803" s="349">
        <v>0.125</v>
      </c>
    </row>
    <row r="458804" spans="1:6" ht="16">
      <c r="A458804" s="347" t="s">
        <v>273</v>
      </c>
      <c r="B458804" s="348" t="s">
        <v>580</v>
      </c>
      <c r="C458804" s="349">
        <v>6.5302783287875029E-3</v>
      </c>
      <c r="D458804" s="349">
        <f t="shared" si="28"/>
        <v>5.3766504142051808E-2</v>
      </c>
      <c r="E458804" s="349">
        <v>8.7665041420518092E-3</v>
      </c>
      <c r="F458804" s="349">
        <v>0.19</v>
      </c>
    </row>
    <row r="458805" spans="1:6" ht="16">
      <c r="A458805" s="347" t="s">
        <v>274</v>
      </c>
      <c r="B458805" s="348" t="s">
        <v>574</v>
      </c>
      <c r="C458805" s="349">
        <v>0</v>
      </c>
      <c r="D458805" s="349">
        <f t="shared" si="28"/>
        <v>4.4999999999999998E-2</v>
      </c>
      <c r="E458805" s="349">
        <v>0</v>
      </c>
      <c r="F458805" s="349">
        <v>0.22</v>
      </c>
    </row>
    <row r="458806" spans="1:6" ht="16">
      <c r="A458806" s="347" t="s">
        <v>275</v>
      </c>
      <c r="B458806" s="348" t="s">
        <v>578</v>
      </c>
      <c r="C458806" s="349">
        <v>3.9181669972725021E-2</v>
      </c>
      <c r="D458806" s="349">
        <f t="shared" si="28"/>
        <v>9.7599024852310853E-2</v>
      </c>
      <c r="E458806" s="349">
        <v>5.2599024852310855E-2</v>
      </c>
      <c r="F458806" s="349">
        <v>0.27</v>
      </c>
    </row>
    <row r="458807" spans="1:6" ht="16">
      <c r="A458807" s="347" t="s">
        <v>276</v>
      </c>
      <c r="B458807" s="348" t="s">
        <v>689</v>
      </c>
      <c r="C458807" s="349">
        <v>0.10896601681957188</v>
      </c>
      <c r="D458807" s="349">
        <f t="shared" si="28"/>
        <v>0.19128029460560964</v>
      </c>
      <c r="E458807" s="349">
        <v>0.14628029460560965</v>
      </c>
      <c r="F458807" s="349">
        <v>0.25</v>
      </c>
    </row>
    <row r="458808" spans="1:6" ht="16">
      <c r="A458808" s="347" t="s">
        <v>277</v>
      </c>
      <c r="B458808" s="348" t="s">
        <v>579</v>
      </c>
      <c r="C458808" s="349">
        <v>8.1692501446400528E-2</v>
      </c>
      <c r="D458808" s="349">
        <f t="shared" si="28"/>
        <v>0.15466724789468733</v>
      </c>
      <c r="E458808" s="349">
        <v>0.10966724789468733</v>
      </c>
      <c r="F458808" s="349">
        <v>0.22500000000000001</v>
      </c>
    </row>
    <row r="458809" spans="1:6" ht="16">
      <c r="A458809" s="347" t="s">
        <v>364</v>
      </c>
      <c r="B458809" s="348" t="s">
        <v>689</v>
      </c>
      <c r="C458809" s="349">
        <v>0.10896601681957188</v>
      </c>
      <c r="D458809" s="349">
        <f t="shared" si="28"/>
        <v>0.19128029460560964</v>
      </c>
      <c r="E458809" s="349">
        <v>0.14628029460560965</v>
      </c>
      <c r="F458809" s="349">
        <v>0.3</v>
      </c>
    </row>
    <row r="458810" spans="1:6" ht="16">
      <c r="A458810" s="347" t="s">
        <v>278</v>
      </c>
      <c r="B458810" s="348" t="s">
        <v>585</v>
      </c>
      <c r="C458810" s="349">
        <v>7.6826803868088279E-3</v>
      </c>
      <c r="D458810" s="349">
        <f t="shared" si="28"/>
        <v>5.5313534284766833E-2</v>
      </c>
      <c r="E458810" s="349">
        <v>1.0313534284766834E-2</v>
      </c>
      <c r="F458810" s="349">
        <v>0.2</v>
      </c>
    </row>
    <row r="458811" spans="1:6" ht="16">
      <c r="A458811" s="347" t="s">
        <v>502</v>
      </c>
      <c r="B458811" s="348" t="s">
        <v>586</v>
      </c>
      <c r="C458811" s="349">
        <v>9.8082219604926024E-2</v>
      </c>
      <c r="D458811" s="349">
        <f t="shared" si="28"/>
        <v>0.17666945436885656</v>
      </c>
      <c r="E458811" s="349">
        <v>0.13166945436885658</v>
      </c>
      <c r="F458811" s="349">
        <v>0.3</v>
      </c>
    </row>
    <row r="458812" spans="1:6" ht="16">
      <c r="A458812" s="347" t="s">
        <v>853</v>
      </c>
      <c r="B458812" s="154" t="s">
        <v>687</v>
      </c>
      <c r="C458812" s="277">
        <v>4.2915086193622262E-2</v>
      </c>
      <c r="D458812" s="349">
        <f t="shared" si="28"/>
        <v>0.14861091058162493</v>
      </c>
      <c r="E458812" s="277">
        <v>0.10361091058162493</v>
      </c>
      <c r="F458812" s="277">
        <v>0.31595749426030023</v>
      </c>
    </row>
    <row r="458813" spans="1:6" ht="16">
      <c r="A458813" s="347" t="s">
        <v>279</v>
      </c>
      <c r="B458813" s="348" t="s">
        <v>569</v>
      </c>
      <c r="C458813" s="349">
        <v>4.9041109802463012E-2</v>
      </c>
      <c r="D458813" s="349">
        <f t="shared" si="28"/>
        <v>0.11083472718442829</v>
      </c>
      <c r="E458813" s="349">
        <v>6.5834727184428288E-2</v>
      </c>
      <c r="F458813" s="349">
        <v>0.2</v>
      </c>
    </row>
    <row r="458814" spans="1:6" ht="16">
      <c r="A458814" s="347" t="s">
        <v>280</v>
      </c>
      <c r="B458814" s="348" t="s">
        <v>575</v>
      </c>
      <c r="C458814" s="349">
        <v>4.3535188858583353E-3</v>
      </c>
      <c r="D458814" s="349">
        <f t="shared" si="28"/>
        <v>5.0844336094701202E-2</v>
      </c>
      <c r="E458814" s="349">
        <v>5.8443360947012038E-3</v>
      </c>
      <c r="F458814" s="349">
        <v>0.2</v>
      </c>
    </row>
    <row r="458815" spans="1:6" ht="16">
      <c r="A458815" s="347" t="s">
        <v>281</v>
      </c>
      <c r="B458815" s="348" t="s">
        <v>568</v>
      </c>
      <c r="C458815" s="349">
        <v>5.3778762707661788E-3</v>
      </c>
      <c r="D458815" s="349">
        <f t="shared" si="28"/>
        <v>5.2219473999336782E-2</v>
      </c>
      <c r="E458815" s="349">
        <v>7.219473999336784E-3</v>
      </c>
      <c r="F458815" s="349">
        <v>0.25</v>
      </c>
    </row>
    <row r="458816" spans="1:6" ht="16">
      <c r="A458816" s="347" t="s">
        <v>854</v>
      </c>
      <c r="B458816" s="154" t="s">
        <v>687</v>
      </c>
      <c r="C458816" s="277">
        <v>4.2915086193622262E-2</v>
      </c>
      <c r="D458816" s="349">
        <f t="shared" si="28"/>
        <v>0.14861091058162493</v>
      </c>
      <c r="E458816" s="277">
        <v>0.10361091058162493</v>
      </c>
      <c r="F458816" s="277">
        <v>0.31595749426030023</v>
      </c>
    </row>
    <row r="458817" spans="1:6" ht="16">
      <c r="A458817" s="347" t="s">
        <v>486</v>
      </c>
      <c r="B458817" s="348" t="s">
        <v>579</v>
      </c>
      <c r="C458817" s="349">
        <v>8.1692501446400528E-2</v>
      </c>
      <c r="D458817" s="349">
        <f t="shared" si="28"/>
        <v>0.15466724789468733</v>
      </c>
      <c r="E458817" s="349">
        <v>0.10966724789468733</v>
      </c>
      <c r="F458817" s="349">
        <v>0.3</v>
      </c>
    </row>
    <row r="458818" spans="1:6" ht="16">
      <c r="A458818" s="350" t="s">
        <v>588</v>
      </c>
      <c r="B458818" s="348" t="s">
        <v>687</v>
      </c>
      <c r="C458818" s="349">
        <v>4.9041109802463012E-2</v>
      </c>
      <c r="D458818" s="349">
        <f t="shared" si="28"/>
        <v>0.11083472718442829</v>
      </c>
      <c r="E458818" s="349">
        <v>6.5834727184428288E-2</v>
      </c>
      <c r="F458818" s="349">
        <v>0.31</v>
      </c>
    </row>
    <row r="458819" spans="1:6" ht="16">
      <c r="A458819" s="347" t="s">
        <v>365</v>
      </c>
      <c r="B458819" s="348" t="s">
        <v>576</v>
      </c>
      <c r="C458819" s="349">
        <v>3.2779436317050999E-2</v>
      </c>
      <c r="D458819" s="349">
        <f t="shared" si="28"/>
        <v>8.9004412948338496E-2</v>
      </c>
      <c r="E458819" s="349">
        <v>4.4004412948338498E-2</v>
      </c>
      <c r="F458819" s="349">
        <v>0.15</v>
      </c>
    </row>
    <row r="458820" spans="1:6" ht="16">
      <c r="A458820" s="347" t="s">
        <v>282</v>
      </c>
      <c r="B458820" s="348" t="s">
        <v>574</v>
      </c>
      <c r="C458820" s="349">
        <v>0</v>
      </c>
      <c r="D458820" s="349">
        <f t="shared" si="28"/>
        <v>4.4999999999999998E-2</v>
      </c>
      <c r="E458820" s="349">
        <v>0</v>
      </c>
      <c r="F458820" s="349">
        <v>0.3</v>
      </c>
    </row>
    <row r="458821" spans="1:6" ht="16">
      <c r="A458821" s="347" t="s">
        <v>487</v>
      </c>
      <c r="B458821" s="348" t="s">
        <v>689</v>
      </c>
      <c r="C458821" s="349">
        <v>0.10896601681957188</v>
      </c>
      <c r="D458821" s="349">
        <f t="shared" si="28"/>
        <v>0.19128029460560964</v>
      </c>
      <c r="E458821" s="349">
        <v>0.14628029460560965</v>
      </c>
      <c r="F458821" s="349">
        <v>0.25</v>
      </c>
    </row>
    <row r="458822" spans="1:6" ht="16">
      <c r="A458822" s="347" t="s">
        <v>855</v>
      </c>
      <c r="B458822" s="154" t="s">
        <v>687</v>
      </c>
      <c r="C458822" s="277">
        <v>9.5882201472833571E-3</v>
      </c>
      <c r="D458822" s="349">
        <f t="shared" ref="D458822:D458885" si="29">$B$1+E458822</f>
        <v>0.10387160629364336</v>
      </c>
      <c r="E458822" s="277">
        <v>5.8871606293643367E-2</v>
      </c>
      <c r="F458822" s="277">
        <v>0.24707349543413576</v>
      </c>
    </row>
    <row r="458823" spans="1:6" ht="16">
      <c r="A458823" s="347" t="s">
        <v>283</v>
      </c>
      <c r="B458823" s="348" t="s">
        <v>589</v>
      </c>
      <c r="C458823" s="349">
        <v>2.7273515373171343E-2</v>
      </c>
      <c r="D458823" s="349">
        <f t="shared" si="29"/>
        <v>8.161304671092226E-2</v>
      </c>
      <c r="E458823" s="349">
        <v>3.6613046710922262E-2</v>
      </c>
      <c r="F458823" s="349">
        <v>0.22</v>
      </c>
    </row>
    <row r="458824" spans="1:6" ht="16">
      <c r="A458824" s="347" t="s">
        <v>856</v>
      </c>
      <c r="B458824" s="154" t="s">
        <v>687</v>
      </c>
      <c r="C458824" s="277">
        <f>J458824</f>
        <v>0</v>
      </c>
      <c r="D458824" s="349">
        <f t="shared" si="29"/>
        <v>4.4999999999999998E-2</v>
      </c>
      <c r="E458824" s="277">
        <f>H458824</f>
        <v>0</v>
      </c>
      <c r="F458824" s="277">
        <f>K458824</f>
        <v>0</v>
      </c>
    </row>
    <row r="458825" spans="1:6" ht="16">
      <c r="A458825" s="347" t="s">
        <v>284</v>
      </c>
      <c r="B458825" s="348" t="s">
        <v>589</v>
      </c>
      <c r="C458825" s="349">
        <v>2.7273515373171343E-2</v>
      </c>
      <c r="D458825" s="349">
        <f t="shared" si="29"/>
        <v>8.161304671092226E-2</v>
      </c>
      <c r="E458825" s="349">
        <v>3.6613046710922262E-2</v>
      </c>
      <c r="F458825" s="349">
        <v>0.25</v>
      </c>
    </row>
    <row r="458826" spans="1:6" ht="16">
      <c r="A458826" s="347" t="s">
        <v>690</v>
      </c>
      <c r="B458826" s="348" t="s">
        <v>585</v>
      </c>
      <c r="C458826" s="349">
        <v>7.6826803868088279E-3</v>
      </c>
      <c r="D458826" s="349">
        <f t="shared" si="29"/>
        <v>5.5313534284766833E-2</v>
      </c>
      <c r="E458826" s="349">
        <v>1.0313534284766834E-2</v>
      </c>
      <c r="F458826" s="349">
        <v>0</v>
      </c>
    </row>
    <row r="458827" spans="1:6" ht="16">
      <c r="A458827" s="351" t="s">
        <v>590</v>
      </c>
      <c r="B458827" s="348" t="s">
        <v>687</v>
      </c>
      <c r="C458827" s="349">
        <v>9.8082219604926024E-2</v>
      </c>
      <c r="D458827" s="349">
        <f t="shared" si="29"/>
        <v>0.17666945436885656</v>
      </c>
      <c r="E458827" s="349">
        <v>0.13166945436885658</v>
      </c>
      <c r="F458827" s="349">
        <v>0.29149999999999998</v>
      </c>
    </row>
    <row r="458828" spans="1:6" ht="16">
      <c r="A458828" s="350" t="s">
        <v>591</v>
      </c>
      <c r="B458828" s="348" t="s">
        <v>687</v>
      </c>
      <c r="C458828" s="349">
        <v>5.9924907017108842E-2</v>
      </c>
      <c r="D458828" s="349">
        <f t="shared" si="29"/>
        <v>0.12544556742118129</v>
      </c>
      <c r="E458828" s="349">
        <v>8.0445567421181294E-2</v>
      </c>
      <c r="F458828" s="349">
        <v>0.29149999999999998</v>
      </c>
    </row>
    <row r="458829" spans="1:6" ht="16">
      <c r="A458829" s="351" t="s">
        <v>592</v>
      </c>
      <c r="B458829" s="348" t="s">
        <v>687</v>
      </c>
      <c r="C458829" s="349">
        <v>1.7414075543433345E-2</v>
      </c>
      <c r="D458829" s="349">
        <f t="shared" si="29"/>
        <v>6.8377344378804827E-2</v>
      </c>
      <c r="E458829" s="349">
        <v>2.3377344378804829E-2</v>
      </c>
      <c r="F458829" s="349">
        <v>0.18640000000000001</v>
      </c>
    </row>
    <row r="458830" spans="1:6" ht="16">
      <c r="A458830" s="350" t="s">
        <v>593</v>
      </c>
      <c r="B458830" s="348" t="s">
        <v>687</v>
      </c>
      <c r="C458830" s="349">
        <v>0.10896601681957191</v>
      </c>
      <c r="D458830" s="349">
        <f t="shared" si="29"/>
        <v>0.19128029460560964</v>
      </c>
      <c r="E458830" s="349">
        <v>0.14628029460560965</v>
      </c>
      <c r="F458830" s="349">
        <v>0.18640000000000001</v>
      </c>
    </row>
    <row r="458831" spans="1:6" ht="16">
      <c r="A458831" s="347" t="s">
        <v>285</v>
      </c>
      <c r="B458831" s="348" t="s">
        <v>569</v>
      </c>
      <c r="C458831" s="349">
        <v>4.9041109802463012E-2</v>
      </c>
      <c r="D458831" s="349">
        <f t="shared" si="29"/>
        <v>0.11083472718442829</v>
      </c>
      <c r="E458831" s="349">
        <v>6.5834727184428288E-2</v>
      </c>
      <c r="F458831" s="349">
        <v>0.25</v>
      </c>
    </row>
    <row r="458832" spans="1:6" ht="16">
      <c r="A458832" s="347" t="s">
        <v>286</v>
      </c>
      <c r="B458832" s="348" t="s">
        <v>580</v>
      </c>
      <c r="C458832" s="349">
        <v>6.5302783287875029E-3</v>
      </c>
      <c r="D458832" s="349">
        <f t="shared" si="29"/>
        <v>5.3766504142051808E-2</v>
      </c>
      <c r="E458832" s="349">
        <v>8.7665041420518092E-3</v>
      </c>
      <c r="F458832" s="349">
        <v>0.16500000000000001</v>
      </c>
    </row>
    <row r="458833" spans="1:6" ht="16">
      <c r="A458833" s="347" t="s">
        <v>287</v>
      </c>
      <c r="B458833" s="348" t="s">
        <v>571</v>
      </c>
      <c r="C458833" s="349">
        <v>2.0743237044383835E-2</v>
      </c>
      <c r="D458833" s="349">
        <f t="shared" si="29"/>
        <v>7.2846542568870451E-2</v>
      </c>
      <c r="E458833" s="349">
        <v>2.7846542568870453E-2</v>
      </c>
      <c r="F458833" s="349">
        <v>0.09</v>
      </c>
    </row>
    <row r="458834" spans="1:6" ht="16">
      <c r="A458834" s="347" t="s">
        <v>288</v>
      </c>
      <c r="B458834" s="348" t="s">
        <v>583</v>
      </c>
      <c r="C458834" s="349">
        <v>9.2192164641705932E-3</v>
      </c>
      <c r="D458834" s="349">
        <f t="shared" si="29"/>
        <v>5.73762411417202E-2</v>
      </c>
      <c r="E458834" s="349">
        <v>1.2376241141720201E-2</v>
      </c>
      <c r="F458834" s="349">
        <v>0.2</v>
      </c>
    </row>
    <row r="458835" spans="1:6" ht="16">
      <c r="A458835" s="347" t="s">
        <v>289</v>
      </c>
      <c r="B458835" s="348" t="s">
        <v>577</v>
      </c>
      <c r="C458835" s="349">
        <v>2.3944353872220846E-2</v>
      </c>
      <c r="D458835" s="349">
        <f t="shared" si="29"/>
        <v>7.7143848520856623E-2</v>
      </c>
      <c r="E458835" s="349">
        <v>3.2143848520856624E-2</v>
      </c>
      <c r="F458835" s="349">
        <v>0.3</v>
      </c>
    </row>
    <row r="458836" spans="1:6" ht="16">
      <c r="A458836" s="347" t="s">
        <v>290</v>
      </c>
      <c r="B458836" s="348" t="s">
        <v>571</v>
      </c>
      <c r="C458836" s="349">
        <v>2.0743237044383835E-2</v>
      </c>
      <c r="D458836" s="349">
        <f t="shared" si="29"/>
        <v>7.2846542568870451E-2</v>
      </c>
      <c r="E458836" s="349">
        <v>2.7846542568870453E-2</v>
      </c>
      <c r="F458836" s="349">
        <v>0.22</v>
      </c>
    </row>
    <row r="458837" spans="1:6" ht="16">
      <c r="A458837" s="351" t="s">
        <v>594</v>
      </c>
      <c r="B458837" s="348" t="s">
        <v>687</v>
      </c>
      <c r="C458837" s="349">
        <v>7.0808704231754685E-2</v>
      </c>
      <c r="D458837" s="349">
        <f t="shared" si="29"/>
        <v>0.14005640765793431</v>
      </c>
      <c r="E458837" s="349">
        <v>9.5056407657934314E-2</v>
      </c>
      <c r="F458837" s="349">
        <v>0.20230000000000001</v>
      </c>
    </row>
    <row r="458838" spans="1:6" ht="16">
      <c r="A458838" s="347" t="s">
        <v>559</v>
      </c>
      <c r="B458838" s="348" t="s">
        <v>579</v>
      </c>
      <c r="C458838" s="349">
        <v>8.1692501446400528E-2</v>
      </c>
      <c r="D458838" s="349">
        <f t="shared" si="29"/>
        <v>0.15466724789468733</v>
      </c>
      <c r="E458838" s="349">
        <v>0.10966724789468733</v>
      </c>
      <c r="F458838" s="349">
        <v>0.15</v>
      </c>
    </row>
    <row r="458839" spans="1:6" ht="16">
      <c r="A458839" s="347" t="s">
        <v>291</v>
      </c>
      <c r="B458839" s="348" t="s">
        <v>580</v>
      </c>
      <c r="C458839" s="349">
        <v>6.5302783287875029E-3</v>
      </c>
      <c r="D458839" s="349">
        <f t="shared" si="29"/>
        <v>5.3766504142051808E-2</v>
      </c>
      <c r="E458839" s="349">
        <v>8.7665041420518092E-3</v>
      </c>
      <c r="F458839" s="349">
        <v>0.125</v>
      </c>
    </row>
    <row r="458840" spans="1:6" ht="16">
      <c r="A458840" s="347" t="s">
        <v>292</v>
      </c>
      <c r="B458840" s="348" t="s">
        <v>580</v>
      </c>
      <c r="C458840" s="349">
        <v>6.5302783287875029E-3</v>
      </c>
      <c r="D458840" s="349">
        <f t="shared" si="29"/>
        <v>5.3766504142051808E-2</v>
      </c>
      <c r="E458840" s="349">
        <v>8.7665041420518092E-3</v>
      </c>
      <c r="F458840" s="349">
        <v>0</v>
      </c>
    </row>
    <row r="458841" spans="1:6" ht="16">
      <c r="A458841" s="347" t="s">
        <v>293</v>
      </c>
      <c r="B458841" s="348" t="s">
        <v>585</v>
      </c>
      <c r="C458841" s="349">
        <v>7.6826803868088279E-3</v>
      </c>
      <c r="D458841" s="349">
        <f t="shared" si="29"/>
        <v>5.5313534284766833E-2</v>
      </c>
      <c r="E458841" s="349">
        <v>1.0313534284766834E-2</v>
      </c>
      <c r="F458841" s="349">
        <v>0.23</v>
      </c>
    </row>
    <row r="458842" spans="1:6" ht="16">
      <c r="A458842" s="347" t="s">
        <v>294</v>
      </c>
      <c r="B458842" s="348" t="s">
        <v>577</v>
      </c>
      <c r="C458842" s="349">
        <v>2.3944353872220846E-2</v>
      </c>
      <c r="D458842" s="349">
        <f t="shared" si="29"/>
        <v>7.7143848520856623E-2</v>
      </c>
      <c r="E458842" s="349">
        <v>3.2143848520856624E-2</v>
      </c>
      <c r="F458842" s="349">
        <v>0.24</v>
      </c>
    </row>
    <row r="458843" spans="1:6" ht="16">
      <c r="A458843" s="347" t="s">
        <v>857</v>
      </c>
      <c r="B458843" s="348" t="s">
        <v>578</v>
      </c>
      <c r="C458843" s="349">
        <v>3.9181669972725021E-2</v>
      </c>
      <c r="D458843" s="349">
        <f t="shared" si="29"/>
        <v>9.7599024852310853E-2</v>
      </c>
      <c r="E458843" s="349">
        <v>5.2599024852310855E-2</v>
      </c>
      <c r="F458843" s="349">
        <v>0.25</v>
      </c>
    </row>
    <row r="458844" spans="1:6" ht="16">
      <c r="A458844" s="347" t="s">
        <v>295</v>
      </c>
      <c r="B458844" s="348" t="s">
        <v>569</v>
      </c>
      <c r="C458844" s="349">
        <v>4.9041109802463012E-2</v>
      </c>
      <c r="D458844" s="349">
        <f t="shared" si="29"/>
        <v>0.11083472718442829</v>
      </c>
      <c r="E458844" s="349">
        <v>6.5834727184428288E-2</v>
      </c>
      <c r="F458844" s="349">
        <v>0.25</v>
      </c>
    </row>
    <row r="458845" spans="1:6" ht="16">
      <c r="A458845" s="347" t="s">
        <v>296</v>
      </c>
      <c r="B458845" s="348" t="s">
        <v>585</v>
      </c>
      <c r="C458845" s="349">
        <v>7.6826803868088279E-3</v>
      </c>
      <c r="D458845" s="349">
        <f t="shared" si="29"/>
        <v>5.5313534284766833E-2</v>
      </c>
      <c r="E458845" s="349">
        <v>1.0313534284766834E-2</v>
      </c>
      <c r="F458845" s="349">
        <v>0.30620000000000003</v>
      </c>
    </row>
    <row r="458846" spans="1:6" ht="16">
      <c r="A458846" s="347" t="s">
        <v>691</v>
      </c>
      <c r="B458846" s="348" t="s">
        <v>580</v>
      </c>
      <c r="C458846" s="349">
        <v>6.5302783287875029E-3</v>
      </c>
      <c r="D458846" s="349">
        <f t="shared" si="29"/>
        <v>5.3766504142051808E-2</v>
      </c>
      <c r="E458846" s="349">
        <v>8.7665041420518092E-3</v>
      </c>
      <c r="F458846" s="349">
        <v>0</v>
      </c>
    </row>
    <row r="458847" spans="1:6" ht="16">
      <c r="A458847" s="347" t="s">
        <v>297</v>
      </c>
      <c r="B458847" s="348" t="s">
        <v>569</v>
      </c>
      <c r="C458847" s="349">
        <v>4.9041109802463012E-2</v>
      </c>
      <c r="D458847" s="349">
        <f t="shared" si="29"/>
        <v>0.11083472718442829</v>
      </c>
      <c r="E458847" s="349">
        <v>6.5834727184428288E-2</v>
      </c>
      <c r="F458847" s="349">
        <v>0.2</v>
      </c>
    </row>
    <row r="458848" spans="1:6" ht="16">
      <c r="A458848" s="347" t="s">
        <v>298</v>
      </c>
      <c r="B458848" s="348" t="s">
        <v>571</v>
      </c>
      <c r="C458848" s="349">
        <v>2.0743237044383835E-2</v>
      </c>
      <c r="D458848" s="349">
        <f t="shared" si="29"/>
        <v>7.2846542568870451E-2</v>
      </c>
      <c r="E458848" s="349">
        <v>2.7846542568870453E-2</v>
      </c>
      <c r="F458848" s="349">
        <v>0.2</v>
      </c>
    </row>
    <row r="458849" spans="1:6" ht="16">
      <c r="A458849" s="347" t="s">
        <v>429</v>
      </c>
      <c r="B458849" s="348" t="s">
        <v>581</v>
      </c>
      <c r="C458849" s="349">
        <v>7.0808704231754685E-2</v>
      </c>
      <c r="D458849" s="349">
        <f t="shared" si="29"/>
        <v>0.14005640765793431</v>
      </c>
      <c r="E458849" s="349">
        <v>9.5056407657934314E-2</v>
      </c>
      <c r="F458849" s="349">
        <v>0.3</v>
      </c>
    </row>
    <row r="458850" spans="1:6" ht="16">
      <c r="A458850" s="350" t="s">
        <v>595</v>
      </c>
      <c r="B458850" s="348" t="s">
        <v>687</v>
      </c>
      <c r="C458850" s="349">
        <v>0.17499999999999999</v>
      </c>
      <c r="D458850" s="349">
        <f t="shared" si="29"/>
        <v>0.27992692770782934</v>
      </c>
      <c r="E458850" s="349">
        <v>0.23492692770782936</v>
      </c>
      <c r="F458850" s="349">
        <v>0.23100000000000001</v>
      </c>
    </row>
    <row r="458851" spans="1:6" ht="16">
      <c r="A458851" s="347" t="s">
        <v>299</v>
      </c>
      <c r="B458851" s="348" t="s">
        <v>585</v>
      </c>
      <c r="C458851" s="349">
        <v>7.6826803868088279E-3</v>
      </c>
      <c r="D458851" s="349">
        <f t="shared" si="29"/>
        <v>5.5313534284766833E-2</v>
      </c>
      <c r="E458851" s="349">
        <v>1.0313534284766834E-2</v>
      </c>
      <c r="F458851" s="349">
        <v>0.15</v>
      </c>
    </row>
    <row r="458852" spans="1:6" ht="16">
      <c r="A458852" s="347" t="s">
        <v>488</v>
      </c>
      <c r="B458852" s="348" t="s">
        <v>581</v>
      </c>
      <c r="C458852" s="349">
        <v>7.0808704231754685E-2</v>
      </c>
      <c r="D458852" s="349">
        <f t="shared" si="29"/>
        <v>0.14005640765793431</v>
      </c>
      <c r="E458852" s="349">
        <v>9.5056407657934314E-2</v>
      </c>
      <c r="F458852" s="349">
        <v>0.1</v>
      </c>
    </row>
    <row r="458853" spans="1:6" ht="16">
      <c r="A458853" s="347" t="s">
        <v>622</v>
      </c>
      <c r="B458853" s="348" t="s">
        <v>689</v>
      </c>
      <c r="C458853" s="349">
        <v>0.10896601681957188</v>
      </c>
      <c r="D458853" s="349">
        <f t="shared" si="29"/>
        <v>0.19128029460560964</v>
      </c>
      <c r="E458853" s="349">
        <v>0.14628029460560965</v>
      </c>
      <c r="F458853" s="349">
        <v>0.26860000000000001</v>
      </c>
    </row>
    <row r="458854" spans="1:6" ht="16">
      <c r="A458854" s="347" t="s">
        <v>300</v>
      </c>
      <c r="B458854" s="348" t="s">
        <v>587</v>
      </c>
      <c r="C458854" s="349">
        <v>1.3060556657575006E-2</v>
      </c>
      <c r="D458854" s="349">
        <f t="shared" si="29"/>
        <v>6.2533008284103617E-2</v>
      </c>
      <c r="E458854" s="349">
        <v>1.7533008284103618E-2</v>
      </c>
      <c r="F458854" s="349">
        <v>0.2</v>
      </c>
    </row>
    <row r="458855" spans="1:6" ht="16">
      <c r="A458855" s="347" t="s">
        <v>366</v>
      </c>
      <c r="B458855" s="348" t="s">
        <v>615</v>
      </c>
      <c r="C458855" s="349">
        <v>0.17499999999999999</v>
      </c>
      <c r="D458855" s="349">
        <f t="shared" si="29"/>
        <v>0.27992692770782934</v>
      </c>
      <c r="E458855" s="349">
        <v>0.23492692770782936</v>
      </c>
      <c r="F458855" s="349">
        <v>0.17</v>
      </c>
    </row>
    <row r="458856" spans="1:6" ht="16">
      <c r="A458856" s="351" t="s">
        <v>596</v>
      </c>
      <c r="B458856" s="348" t="s">
        <v>687</v>
      </c>
      <c r="C458856" s="349">
        <v>0.13073361124886354</v>
      </c>
      <c r="D458856" s="349">
        <f t="shared" si="29"/>
        <v>0.22050197507911562</v>
      </c>
      <c r="E458856" s="349">
        <v>0.17550197507911564</v>
      </c>
      <c r="F458856" s="349">
        <v>0.29149999999999998</v>
      </c>
    </row>
    <row r="458857" spans="1:6" ht="16">
      <c r="A458857" s="350" t="s">
        <v>597</v>
      </c>
      <c r="B458857" s="348" t="s">
        <v>687</v>
      </c>
      <c r="C458857" s="349">
        <v>2.0743237044383835E-2</v>
      </c>
      <c r="D458857" s="349">
        <f t="shared" si="29"/>
        <v>7.2846542568870451E-2</v>
      </c>
      <c r="E458857" s="349">
        <v>2.7846542568870453E-2</v>
      </c>
      <c r="F458857" s="349">
        <v>0.2</v>
      </c>
    </row>
    <row r="458858" spans="1:6" ht="16">
      <c r="A458858" s="347" t="s">
        <v>301</v>
      </c>
      <c r="B458858" s="348" t="s">
        <v>574</v>
      </c>
      <c r="C458858" s="349">
        <v>0</v>
      </c>
      <c r="D458858" s="349">
        <f t="shared" si="29"/>
        <v>4.4999999999999998E-2</v>
      </c>
      <c r="E458858" s="349">
        <v>0</v>
      </c>
      <c r="F458858" s="349">
        <v>0.125</v>
      </c>
    </row>
    <row r="458859" spans="1:6" ht="16">
      <c r="A458859" s="347" t="s">
        <v>302</v>
      </c>
      <c r="B458859" s="348" t="s">
        <v>583</v>
      </c>
      <c r="C458859" s="349">
        <v>9.2192164641705932E-3</v>
      </c>
      <c r="D458859" s="349">
        <f t="shared" si="29"/>
        <v>5.73762411417202E-2</v>
      </c>
      <c r="E458859" s="349">
        <v>1.2376241141720201E-2</v>
      </c>
      <c r="F458859" s="349">
        <v>0.15</v>
      </c>
    </row>
    <row r="458860" spans="1:6" ht="16">
      <c r="A458860" s="347" t="s">
        <v>303</v>
      </c>
      <c r="B458860" s="348" t="s">
        <v>574</v>
      </c>
      <c r="C458860" s="349">
        <v>0</v>
      </c>
      <c r="D458860" s="349">
        <f t="shared" si="29"/>
        <v>4.4999999999999998E-2</v>
      </c>
      <c r="E458860" s="349">
        <v>0</v>
      </c>
      <c r="F458860" s="349">
        <v>0.24940000000000001</v>
      </c>
    </row>
    <row r="458861" spans="1:6" ht="16">
      <c r="A458861" s="347" t="s">
        <v>858</v>
      </c>
      <c r="B458861" s="348" t="s">
        <v>580</v>
      </c>
      <c r="C458861" s="349">
        <v>6.5302783287875029E-3</v>
      </c>
      <c r="D458861" s="349">
        <f t="shared" si="29"/>
        <v>5.3766504142051808E-2</v>
      </c>
      <c r="E458861" s="349">
        <v>8.7665041420518092E-3</v>
      </c>
      <c r="F458861" s="349">
        <v>0.26860000000000001</v>
      </c>
    </row>
    <row r="458862" spans="1:6" ht="16">
      <c r="A458862" s="347" t="s">
        <v>304</v>
      </c>
      <c r="B458862" s="348" t="s">
        <v>578</v>
      </c>
      <c r="C458862" s="349">
        <v>3.9181669972725021E-2</v>
      </c>
      <c r="D458862" s="349">
        <f t="shared" si="29"/>
        <v>9.7599024852310853E-2</v>
      </c>
      <c r="E458862" s="349">
        <v>5.2599024852310855E-2</v>
      </c>
      <c r="F458862" s="349">
        <v>0.1</v>
      </c>
    </row>
    <row r="458863" spans="1:6" ht="16">
      <c r="A458863" s="351" t="s">
        <v>598</v>
      </c>
      <c r="B458863" s="348" t="s">
        <v>687</v>
      </c>
      <c r="C458863" s="349">
        <v>7.0808704231754685E-2</v>
      </c>
      <c r="D458863" s="349">
        <f t="shared" si="29"/>
        <v>0.14005640765793431</v>
      </c>
      <c r="E458863" s="349">
        <v>9.5056407657934314E-2</v>
      </c>
      <c r="F458863" s="349">
        <v>0.2</v>
      </c>
    </row>
    <row r="458864" spans="1:6" ht="16">
      <c r="A458864" s="350" t="s">
        <v>599</v>
      </c>
      <c r="B458864" s="348" t="s">
        <v>687</v>
      </c>
      <c r="C458864" s="349">
        <v>0.13073361124886354</v>
      </c>
      <c r="D458864" s="349">
        <f t="shared" si="29"/>
        <v>0.22050197507911562</v>
      </c>
      <c r="E458864" s="349">
        <v>0.17550197507911564</v>
      </c>
      <c r="F458864" s="349">
        <v>0.3</v>
      </c>
    </row>
    <row r="458865" spans="1:6" ht="16">
      <c r="A458865" s="347" t="s">
        <v>305</v>
      </c>
      <c r="B458865" s="348" t="s">
        <v>587</v>
      </c>
      <c r="C458865" s="349">
        <v>1.3060556657575006E-2</v>
      </c>
      <c r="D458865" s="349">
        <f t="shared" si="29"/>
        <v>6.2533008284103617E-2</v>
      </c>
      <c r="E458865" s="349">
        <v>1.7533008284103618E-2</v>
      </c>
      <c r="F458865" s="349">
        <v>0.24</v>
      </c>
    </row>
    <row r="458866" spans="1:6" ht="16">
      <c r="A458866" s="347" t="s">
        <v>692</v>
      </c>
      <c r="B458866" s="348" t="s">
        <v>579</v>
      </c>
      <c r="C458866" s="349">
        <v>8.1692501446400528E-2</v>
      </c>
      <c r="D458866" s="349">
        <f t="shared" si="29"/>
        <v>0.15466724789468733</v>
      </c>
      <c r="E458866" s="349">
        <v>0.10966724789468733</v>
      </c>
      <c r="F458866" s="349">
        <v>0.26860000000000001</v>
      </c>
    </row>
    <row r="458867" spans="1:6" ht="16">
      <c r="A458867" s="347" t="s">
        <v>600</v>
      </c>
      <c r="B458867" s="348" t="s">
        <v>586</v>
      </c>
      <c r="C458867" s="349">
        <v>9.8082219604926024E-2</v>
      </c>
      <c r="D458867" s="349">
        <f t="shared" si="29"/>
        <v>0.17666945436885656</v>
      </c>
      <c r="E458867" s="349">
        <v>0.13166945436885658</v>
      </c>
      <c r="F458867" s="349">
        <v>0.26860000000000001</v>
      </c>
    </row>
    <row r="458868" spans="1:6" ht="16">
      <c r="A458868" s="347" t="s">
        <v>306</v>
      </c>
      <c r="B458868" s="348" t="s">
        <v>583</v>
      </c>
      <c r="C458868" s="349">
        <v>9.2192164641705932E-3</v>
      </c>
      <c r="D458868" s="349">
        <f t="shared" si="29"/>
        <v>5.73762411417202E-2</v>
      </c>
      <c r="E458868" s="349">
        <v>1.2376241141720201E-2</v>
      </c>
      <c r="F458868" s="349">
        <v>0.35</v>
      </c>
    </row>
    <row r="458869" spans="1:6" ht="16">
      <c r="A458869" s="347" t="s">
        <v>859</v>
      </c>
      <c r="B458869" s="154" t="s">
        <v>687</v>
      </c>
      <c r="C458869" s="277">
        <f>J458869</f>
        <v>0</v>
      </c>
      <c r="D458869" s="349">
        <f t="shared" si="29"/>
        <v>4.4999999999999998E-2</v>
      </c>
      <c r="E458869" s="277">
        <f>H458869</f>
        <v>0</v>
      </c>
      <c r="F458869" s="277">
        <f>K458869</f>
        <v>0</v>
      </c>
    </row>
    <row r="458870" spans="1:6" ht="16">
      <c r="A458870" s="347" t="s">
        <v>307</v>
      </c>
      <c r="B458870" s="348" t="s">
        <v>577</v>
      </c>
      <c r="C458870" s="349">
        <v>2.3944353872220846E-2</v>
      </c>
      <c r="D458870" s="349">
        <f t="shared" si="29"/>
        <v>7.7143848520856623E-2</v>
      </c>
      <c r="E458870" s="349">
        <v>3.2143848520856624E-2</v>
      </c>
      <c r="F458870" s="349">
        <v>0.15</v>
      </c>
    </row>
    <row r="458871" spans="1:6" ht="16">
      <c r="A458871" s="347" t="s">
        <v>308</v>
      </c>
      <c r="B458871" s="348" t="s">
        <v>571</v>
      </c>
      <c r="C458871" s="349">
        <v>2.0743237044383835E-2</v>
      </c>
      <c r="D458871" s="349">
        <f t="shared" si="29"/>
        <v>7.2846542568870451E-2</v>
      </c>
      <c r="E458871" s="349">
        <v>2.7846542568870453E-2</v>
      </c>
      <c r="F458871" s="349">
        <v>0.3</v>
      </c>
    </row>
    <row r="458872" spans="1:6" ht="16">
      <c r="A458872" s="347" t="s">
        <v>860</v>
      </c>
      <c r="B458872" s="154" t="s">
        <v>687</v>
      </c>
      <c r="C458872" s="277">
        <v>9.5882201472833571E-3</v>
      </c>
      <c r="D458872" s="349">
        <f t="shared" si="29"/>
        <v>0.10387160629364336</v>
      </c>
      <c r="E458872" s="277">
        <v>5.8871606293643367E-2</v>
      </c>
      <c r="F458872" s="277">
        <v>0.24707349543413576</v>
      </c>
    </row>
    <row r="458873" spans="1:6" ht="16">
      <c r="A458873" s="347" t="s">
        <v>367</v>
      </c>
      <c r="B458873" s="348" t="s">
        <v>581</v>
      </c>
      <c r="C458873" s="349">
        <v>7.0808704231754685E-2</v>
      </c>
      <c r="D458873" s="349">
        <f t="shared" si="29"/>
        <v>0.14005640765793431</v>
      </c>
      <c r="E458873" s="349">
        <v>9.5056407657934314E-2</v>
      </c>
      <c r="F458873" s="349">
        <v>0.12</v>
      </c>
    </row>
    <row r="458874" spans="1:6" ht="16">
      <c r="A458874" s="347" t="s">
        <v>368</v>
      </c>
      <c r="B458874" s="348" t="s">
        <v>581</v>
      </c>
      <c r="C458874" s="349">
        <v>7.0808704231754685E-2</v>
      </c>
      <c r="D458874" s="349">
        <f t="shared" si="29"/>
        <v>0.14005640765793431</v>
      </c>
      <c r="E458874" s="349">
        <v>9.5056407657934314E-2</v>
      </c>
      <c r="F458874" s="349">
        <v>0.25</v>
      </c>
    </row>
    <row r="458875" spans="1:6" ht="16">
      <c r="A458875" s="347" t="s">
        <v>309</v>
      </c>
      <c r="B458875" s="348" t="s">
        <v>569</v>
      </c>
      <c r="C458875" s="349">
        <v>4.9041109802463012E-2</v>
      </c>
      <c r="D458875" s="349">
        <f t="shared" si="29"/>
        <v>0.11083472718442829</v>
      </c>
      <c r="E458875" s="349">
        <v>6.5834727184428288E-2</v>
      </c>
      <c r="F458875" s="349">
        <v>0.15</v>
      </c>
    </row>
    <row r="458876" spans="1:6" ht="16">
      <c r="A458876" s="347" t="s">
        <v>489</v>
      </c>
      <c r="B458876" s="348" t="s">
        <v>577</v>
      </c>
      <c r="C458876" s="349">
        <v>2.3944353872220846E-2</v>
      </c>
      <c r="D458876" s="349">
        <f t="shared" si="29"/>
        <v>7.7143848520856623E-2</v>
      </c>
      <c r="E458876" s="349">
        <v>3.2143848520856624E-2</v>
      </c>
      <c r="F458876" s="349">
        <v>0.2853</v>
      </c>
    </row>
    <row r="458877" spans="1:6" ht="16">
      <c r="A458877" s="347" t="s">
        <v>369</v>
      </c>
      <c r="B458877" s="348" t="s">
        <v>589</v>
      </c>
      <c r="C458877" s="349">
        <v>2.7273515373171343E-2</v>
      </c>
      <c r="D458877" s="349">
        <f t="shared" si="29"/>
        <v>8.161304671092226E-2</v>
      </c>
      <c r="E458877" s="349">
        <v>3.6613046710922262E-2</v>
      </c>
      <c r="F458877" s="349">
        <v>0.32</v>
      </c>
    </row>
    <row r="458878" spans="1:6" ht="16">
      <c r="A458878" s="347" t="s">
        <v>310</v>
      </c>
      <c r="B458878" s="348" t="s">
        <v>586</v>
      </c>
      <c r="C458878" s="349">
        <v>9.8082219604926024E-2</v>
      </c>
      <c r="D458878" s="349">
        <f t="shared" si="29"/>
        <v>0.17666945436885656</v>
      </c>
      <c r="E458878" s="349">
        <v>0.13166945436885658</v>
      </c>
      <c r="F458878" s="349">
        <v>0.32</v>
      </c>
    </row>
    <row r="458879" spans="1:6" ht="16">
      <c r="A458879" s="351" t="s">
        <v>601</v>
      </c>
      <c r="B458879" s="348" t="s">
        <v>687</v>
      </c>
      <c r="C458879" s="349">
        <v>0.10896601681957191</v>
      </c>
      <c r="D458879" s="349">
        <f t="shared" si="29"/>
        <v>0.19128029460560964</v>
      </c>
      <c r="E458879" s="349">
        <v>0.14628029460560965</v>
      </c>
      <c r="F458879" s="349">
        <v>0.25</v>
      </c>
    </row>
    <row r="458880" spans="1:6" ht="16">
      <c r="A458880" s="347" t="s">
        <v>311</v>
      </c>
      <c r="B458880" s="348" t="s">
        <v>569</v>
      </c>
      <c r="C458880" s="349">
        <v>4.9041109802463012E-2</v>
      </c>
      <c r="D458880" s="349">
        <f t="shared" si="29"/>
        <v>0.11083472718442829</v>
      </c>
      <c r="E458880" s="349">
        <v>6.5834727184428288E-2</v>
      </c>
      <c r="F458880" s="349">
        <v>0.32</v>
      </c>
    </row>
    <row r="458881" spans="1:6" ht="16">
      <c r="A458881" s="347" t="s">
        <v>312</v>
      </c>
      <c r="B458881" s="348" t="s">
        <v>574</v>
      </c>
      <c r="C458881" s="349">
        <v>0</v>
      </c>
      <c r="D458881" s="349">
        <f t="shared" si="29"/>
        <v>4.4999999999999998E-2</v>
      </c>
      <c r="E458881" s="349">
        <v>0</v>
      </c>
      <c r="F458881" s="349">
        <v>0.25800000000000001</v>
      </c>
    </row>
    <row r="458882" spans="1:6" ht="16">
      <c r="A458882" s="347" t="s">
        <v>861</v>
      </c>
      <c r="B458882" s="154" t="s">
        <v>687</v>
      </c>
      <c r="C458882" s="277">
        <v>0.1054310997313879</v>
      </c>
      <c r="D458882" s="349">
        <f t="shared" si="29"/>
        <v>0.23253488197001548</v>
      </c>
      <c r="E458882" s="277">
        <v>0.1875348819700155</v>
      </c>
      <c r="F458882" s="277">
        <v>0.2724561140242252</v>
      </c>
    </row>
    <row r="458883" spans="1:6" ht="16">
      <c r="A458883" s="347" t="s">
        <v>313</v>
      </c>
      <c r="B458883" s="348" t="s">
        <v>574</v>
      </c>
      <c r="C458883" s="349">
        <v>0</v>
      </c>
      <c r="D458883" s="349">
        <f t="shared" si="29"/>
        <v>4.4999999999999998E-2</v>
      </c>
      <c r="E458883" s="349">
        <v>0</v>
      </c>
      <c r="F458883" s="349">
        <v>0.28000000000000003</v>
      </c>
    </row>
    <row r="458884" spans="1:6" ht="16">
      <c r="A458884" s="347" t="s">
        <v>370</v>
      </c>
      <c r="B458884" s="348" t="s">
        <v>581</v>
      </c>
      <c r="C458884" s="349">
        <v>7.0808704231754685E-2</v>
      </c>
      <c r="D458884" s="349">
        <f t="shared" si="29"/>
        <v>0.14005640765793431</v>
      </c>
      <c r="E458884" s="349">
        <v>9.5056407657934314E-2</v>
      </c>
      <c r="F458884" s="349">
        <v>0.3</v>
      </c>
    </row>
    <row r="458885" spans="1:6" ht="16">
      <c r="A458885" s="347" t="s">
        <v>602</v>
      </c>
      <c r="B458885" s="348" t="s">
        <v>586</v>
      </c>
      <c r="C458885" s="349">
        <v>9.8082219604926024E-2</v>
      </c>
      <c r="D458885" s="349">
        <f t="shared" si="29"/>
        <v>0.17666945436885656</v>
      </c>
      <c r="E458885" s="349">
        <v>0.13166945436885658</v>
      </c>
      <c r="F458885" s="349">
        <v>0.26860000000000001</v>
      </c>
    </row>
    <row r="458886" spans="1:6" ht="16">
      <c r="A458886" s="347" t="s">
        <v>314</v>
      </c>
      <c r="B458886" s="348" t="s">
        <v>579</v>
      </c>
      <c r="C458886" s="349">
        <v>8.1692501446400528E-2</v>
      </c>
      <c r="D458886" s="349">
        <f t="shared" ref="D458886:D458947" si="30">$B$1+E458886</f>
        <v>0.15466724789468733</v>
      </c>
      <c r="E458886" s="349">
        <v>0.10966724789468733</v>
      </c>
      <c r="F458886" s="349">
        <v>0.3</v>
      </c>
    </row>
    <row r="458887" spans="1:6" ht="16">
      <c r="A458887" s="347" t="s">
        <v>315</v>
      </c>
      <c r="B458887" s="348" t="s">
        <v>574</v>
      </c>
      <c r="C458887" s="349">
        <v>0</v>
      </c>
      <c r="D458887" s="349">
        <f t="shared" si="30"/>
        <v>4.4999999999999998E-2</v>
      </c>
      <c r="E458887" s="349">
        <v>0</v>
      </c>
      <c r="F458887" s="349">
        <v>0.22</v>
      </c>
    </row>
    <row r="458888" spans="1:6" ht="16">
      <c r="A458888" s="347" t="s">
        <v>316</v>
      </c>
      <c r="B458888" s="348" t="s">
        <v>589</v>
      </c>
      <c r="C458888" s="349">
        <v>2.7273515373171343E-2</v>
      </c>
      <c r="D458888" s="349">
        <f t="shared" si="30"/>
        <v>8.161304671092226E-2</v>
      </c>
      <c r="E458888" s="349">
        <v>3.6613046710922262E-2</v>
      </c>
      <c r="F458888" s="349">
        <v>0.15</v>
      </c>
    </row>
    <row r="458889" spans="1:6" ht="16">
      <c r="A458889" s="347" t="s">
        <v>317</v>
      </c>
      <c r="B458889" s="348" t="s">
        <v>689</v>
      </c>
      <c r="C458889" s="349">
        <v>0.10896601681957188</v>
      </c>
      <c r="D458889" s="349">
        <f t="shared" si="30"/>
        <v>0.19128029460560964</v>
      </c>
      <c r="E458889" s="349">
        <v>0.14628029460560965</v>
      </c>
      <c r="F458889" s="349">
        <v>0.28999999999999998</v>
      </c>
    </row>
    <row r="458890" spans="1:6" ht="16">
      <c r="A458890" s="347" t="s">
        <v>862</v>
      </c>
      <c r="B458890" s="154" t="s">
        <v>687</v>
      </c>
      <c r="C458890" s="277">
        <v>1.6082653627874467E-2</v>
      </c>
      <c r="D458890" s="349">
        <f t="shared" si="30"/>
        <v>0.11258999089248985</v>
      </c>
      <c r="E458890" s="277">
        <v>6.7589990892489848E-2</v>
      </c>
      <c r="F458890" s="277">
        <v>0.18760152153615242</v>
      </c>
    </row>
    <row r="458891" spans="1:6" ht="16">
      <c r="A458891" s="347" t="s">
        <v>318</v>
      </c>
      <c r="B458891" s="348" t="s">
        <v>571</v>
      </c>
      <c r="C458891" s="349">
        <v>2.0743237044383835E-2</v>
      </c>
      <c r="D458891" s="349">
        <f t="shared" si="30"/>
        <v>7.2846542568870451E-2</v>
      </c>
      <c r="E458891" s="349">
        <v>2.7846542568870453E-2</v>
      </c>
      <c r="F458891" s="349">
        <v>0.25</v>
      </c>
    </row>
    <row r="458892" spans="1:6" ht="16">
      <c r="A458892" s="347" t="s">
        <v>319</v>
      </c>
      <c r="B458892" s="348" t="s">
        <v>572</v>
      </c>
      <c r="C458892" s="349">
        <v>5.9924907017108855E-2</v>
      </c>
      <c r="D458892" s="349">
        <f t="shared" si="30"/>
        <v>0.12544556742118129</v>
      </c>
      <c r="E458892" s="349">
        <v>8.0445567421181294E-2</v>
      </c>
      <c r="F458892" s="349">
        <v>0.3</v>
      </c>
    </row>
    <row r="458893" spans="1:6" ht="16">
      <c r="A458893" s="347" t="s">
        <v>320</v>
      </c>
      <c r="B458893" s="348" t="s">
        <v>589</v>
      </c>
      <c r="C458893" s="349">
        <v>2.7273515373171343E-2</v>
      </c>
      <c r="D458893" s="349">
        <f t="shared" si="30"/>
        <v>8.161304671092226E-2</v>
      </c>
      <c r="E458893" s="349">
        <v>3.6613046710922262E-2</v>
      </c>
      <c r="F458893" s="349">
        <v>0.1</v>
      </c>
    </row>
    <row r="458894" spans="1:6" ht="16">
      <c r="A458894" s="347" t="s">
        <v>321</v>
      </c>
      <c r="B458894" s="348" t="s">
        <v>573</v>
      </c>
      <c r="C458894" s="349">
        <v>1.7414075543433341E-2</v>
      </c>
      <c r="D458894" s="349">
        <f t="shared" si="30"/>
        <v>6.8377344378804827E-2</v>
      </c>
      <c r="E458894" s="349">
        <v>2.3377344378804829E-2</v>
      </c>
      <c r="F458894" s="349">
        <v>0.29499999999999998</v>
      </c>
    </row>
    <row r="458895" spans="1:6" ht="16">
      <c r="A458895" s="347" t="s">
        <v>322</v>
      </c>
      <c r="B458895" s="348" t="s">
        <v>571</v>
      </c>
      <c r="C458895" s="349">
        <v>2.0743237044383835E-2</v>
      </c>
      <c r="D458895" s="349">
        <f t="shared" si="30"/>
        <v>7.2846542568870451E-2</v>
      </c>
      <c r="E458895" s="349">
        <v>2.7846542568870453E-2</v>
      </c>
      <c r="F458895" s="349">
        <v>0.25</v>
      </c>
    </row>
    <row r="458896" spans="1:6" ht="16">
      <c r="A458896" s="347" t="s">
        <v>323</v>
      </c>
      <c r="B458896" s="348" t="s">
        <v>583</v>
      </c>
      <c r="C458896" s="349">
        <v>9.2192164641705932E-3</v>
      </c>
      <c r="D458896" s="349">
        <f t="shared" si="30"/>
        <v>5.73762411417202E-2</v>
      </c>
      <c r="E458896" s="349">
        <v>1.2376241141720201E-2</v>
      </c>
      <c r="F458896" s="349">
        <v>0.19</v>
      </c>
    </row>
    <row r="458897" spans="1:6" ht="16">
      <c r="A458897" s="347" t="s">
        <v>324</v>
      </c>
      <c r="B458897" s="348" t="s">
        <v>587</v>
      </c>
      <c r="C458897" s="349">
        <v>1.3060556657575006E-2</v>
      </c>
      <c r="D458897" s="349">
        <f t="shared" si="30"/>
        <v>6.2533008284103617E-2</v>
      </c>
      <c r="E458897" s="349">
        <v>1.7533008284103618E-2</v>
      </c>
      <c r="F458897" s="349">
        <v>0.21</v>
      </c>
    </row>
    <row r="458898" spans="1:6" ht="16">
      <c r="A458898" s="347" t="s">
        <v>325</v>
      </c>
      <c r="B458898" s="348" t="s">
        <v>580</v>
      </c>
      <c r="C458898" s="349">
        <v>6.5302783287875029E-3</v>
      </c>
      <c r="D458898" s="349">
        <f t="shared" si="30"/>
        <v>5.3766504142051808E-2</v>
      </c>
      <c r="E458898" s="349">
        <v>8.7665041420518092E-3</v>
      </c>
      <c r="F458898" s="349">
        <v>0.1</v>
      </c>
    </row>
    <row r="458899" spans="1:6" ht="16">
      <c r="A458899" s="347" t="s">
        <v>503</v>
      </c>
      <c r="B458899" s="348" t="s">
        <v>587</v>
      </c>
      <c r="C458899" s="349">
        <v>1.3060556657575006E-2</v>
      </c>
      <c r="D458899" s="349">
        <f t="shared" si="30"/>
        <v>6.2533008284103617E-2</v>
      </c>
      <c r="E458899" s="349">
        <v>1.7533008284103618E-2</v>
      </c>
      <c r="F458899" s="349">
        <v>0</v>
      </c>
    </row>
    <row r="458900" spans="1:6" ht="16">
      <c r="A458900" s="347" t="s">
        <v>863</v>
      </c>
      <c r="B458900" s="154" t="s">
        <v>687</v>
      </c>
      <c r="C458900" s="277">
        <v>1.2518555898193178E-2</v>
      </c>
      <c r="D458900" s="349">
        <f t="shared" si="30"/>
        <v>0.10780540500857855</v>
      </c>
      <c r="E458900" s="277">
        <v>6.2805405008578549E-2</v>
      </c>
      <c r="F458900" s="277">
        <v>0.2576437502455447</v>
      </c>
    </row>
    <row r="458901" spans="1:6" ht="16">
      <c r="A458901" s="347" t="s">
        <v>326</v>
      </c>
      <c r="B458901" s="348" t="s">
        <v>577</v>
      </c>
      <c r="C458901" s="349">
        <v>2.3944353872220846E-2</v>
      </c>
      <c r="D458901" s="349">
        <f t="shared" si="30"/>
        <v>7.7143848520856623E-2</v>
      </c>
      <c r="E458901" s="349">
        <v>3.2143848520856624E-2</v>
      </c>
      <c r="F458901" s="349">
        <v>0.16</v>
      </c>
    </row>
    <row r="458902" spans="1:6" ht="16">
      <c r="A458902" s="347" t="s">
        <v>327</v>
      </c>
      <c r="B458902" s="348" t="s">
        <v>687</v>
      </c>
      <c r="C458902" s="349">
        <v>4.9041109802463012E-2</v>
      </c>
      <c r="D458902" s="349">
        <f t="shared" si="30"/>
        <v>0.11083472718442829</v>
      </c>
      <c r="E458902" s="349">
        <v>6.5834727184428288E-2</v>
      </c>
      <c r="F458902" s="349">
        <v>0.25</v>
      </c>
    </row>
    <row r="458903" spans="1:6" ht="16">
      <c r="A458903" s="347" t="s">
        <v>490</v>
      </c>
      <c r="B458903" s="348" t="s">
        <v>572</v>
      </c>
      <c r="C458903" s="349">
        <v>5.9924907017108855E-2</v>
      </c>
      <c r="D458903" s="349">
        <f t="shared" si="30"/>
        <v>0.12544556742118129</v>
      </c>
      <c r="E458903" s="349">
        <v>8.0445567421181294E-2</v>
      </c>
      <c r="F458903" s="349">
        <v>0.3</v>
      </c>
    </row>
    <row r="458904" spans="1:6" ht="16">
      <c r="A458904" s="347" t="s">
        <v>864</v>
      </c>
      <c r="B458904" s="154" t="s">
        <v>687</v>
      </c>
      <c r="C458904" s="277">
        <v>0.1054310997313879</v>
      </c>
      <c r="D458904" s="349">
        <f t="shared" si="30"/>
        <v>0.23253488197001548</v>
      </c>
      <c r="E458904" s="277">
        <v>0.1875348819700155</v>
      </c>
      <c r="F458904" s="277">
        <v>0.2724561140242252</v>
      </c>
    </row>
    <row r="458905" spans="1:6" ht="16">
      <c r="A458905" s="347" t="s">
        <v>328</v>
      </c>
      <c r="B458905" s="348" t="s">
        <v>585</v>
      </c>
      <c r="C458905" s="349">
        <v>7.6826803868088279E-3</v>
      </c>
      <c r="D458905" s="349">
        <f t="shared" si="30"/>
        <v>5.5313534284766833E-2</v>
      </c>
      <c r="E458905" s="349">
        <v>1.0313534284766834E-2</v>
      </c>
      <c r="F458905" s="349">
        <v>0.2</v>
      </c>
    </row>
    <row r="458906" spans="1:6" ht="16">
      <c r="A458906" s="347" t="s">
        <v>371</v>
      </c>
      <c r="B458906" s="348" t="s">
        <v>578</v>
      </c>
      <c r="C458906" s="349">
        <v>3.9181669972725021E-2</v>
      </c>
      <c r="D458906" s="349">
        <f t="shared" si="30"/>
        <v>9.7599024852310853E-2</v>
      </c>
      <c r="E458906" s="349">
        <v>5.2599024852310855E-2</v>
      </c>
      <c r="F458906" s="349">
        <v>0.3</v>
      </c>
    </row>
    <row r="458907" spans="1:6" ht="16">
      <c r="A458907" s="347" t="s">
        <v>329</v>
      </c>
      <c r="B458907" s="348" t="s">
        <v>576</v>
      </c>
      <c r="C458907" s="349">
        <v>3.2779436317050999E-2</v>
      </c>
      <c r="D458907" s="349">
        <f t="shared" si="30"/>
        <v>8.9004412948338496E-2</v>
      </c>
      <c r="E458907" s="349">
        <v>4.4004412948338498E-2</v>
      </c>
      <c r="F458907" s="349">
        <v>0.15</v>
      </c>
    </row>
    <row r="458908" spans="1:6" ht="16">
      <c r="A458908" s="347" t="s">
        <v>504</v>
      </c>
      <c r="B458908" s="348" t="s">
        <v>589</v>
      </c>
      <c r="C458908" s="349">
        <v>2.7273515373171343E-2</v>
      </c>
      <c r="D458908" s="349">
        <f t="shared" si="30"/>
        <v>8.161304671092226E-2</v>
      </c>
      <c r="E458908" s="349">
        <v>3.6613046710922262E-2</v>
      </c>
      <c r="F458908" s="349">
        <v>0</v>
      </c>
    </row>
    <row r="458909" spans="1:6" ht="16">
      <c r="A458909" s="350" t="s">
        <v>603</v>
      </c>
      <c r="B458909" s="348" t="s">
        <v>687</v>
      </c>
      <c r="C458909" s="349">
        <v>0.10896601681957191</v>
      </c>
      <c r="D458909" s="349">
        <f t="shared" si="30"/>
        <v>0.19128029460560964</v>
      </c>
      <c r="E458909" s="349">
        <v>0.14628029460560965</v>
      </c>
      <c r="F458909" s="349">
        <v>0.3</v>
      </c>
    </row>
    <row r="458910" spans="1:6" ht="16">
      <c r="A458910" s="347" t="s">
        <v>330</v>
      </c>
      <c r="B458910" s="348" t="s">
        <v>574</v>
      </c>
      <c r="C458910" s="349">
        <v>0</v>
      </c>
      <c r="D458910" s="349">
        <f t="shared" si="30"/>
        <v>4.4999999999999998E-2</v>
      </c>
      <c r="E458910" s="349">
        <v>0</v>
      </c>
      <c r="F458910" s="349">
        <v>0.17</v>
      </c>
    </row>
    <row r="458911" spans="1:6" ht="16">
      <c r="A458911" s="347" t="s">
        <v>372</v>
      </c>
      <c r="B458911" s="348" t="s">
        <v>583</v>
      </c>
      <c r="C458911" s="349">
        <v>9.2192164641705932E-3</v>
      </c>
      <c r="D458911" s="349">
        <f t="shared" si="30"/>
        <v>5.73762411417202E-2</v>
      </c>
      <c r="E458911" s="349">
        <v>1.2376241141720201E-2</v>
      </c>
      <c r="F458911" s="349">
        <v>0.21</v>
      </c>
    </row>
    <row r="458912" spans="1:6" ht="16">
      <c r="A458912" s="347" t="s">
        <v>331</v>
      </c>
      <c r="B458912" s="348" t="s">
        <v>587</v>
      </c>
      <c r="C458912" s="349">
        <v>1.3060556657575006E-2</v>
      </c>
      <c r="D458912" s="349">
        <f t="shared" si="30"/>
        <v>6.2533008284103617E-2</v>
      </c>
      <c r="E458912" s="349">
        <v>1.7533008284103618E-2</v>
      </c>
      <c r="F458912" s="349">
        <v>0.19</v>
      </c>
    </row>
    <row r="458913" spans="1:6" ht="16">
      <c r="A458913" s="347" t="s">
        <v>604</v>
      </c>
      <c r="B458913" s="348" t="s">
        <v>579</v>
      </c>
      <c r="C458913" s="349">
        <v>8.1692501446400528E-2</v>
      </c>
      <c r="D458913" s="349">
        <f t="shared" si="30"/>
        <v>0.15466724789468733</v>
      </c>
      <c r="E458913" s="349">
        <v>0.10966724789468733</v>
      </c>
      <c r="F458913" s="349">
        <v>0.3</v>
      </c>
    </row>
    <row r="458914" spans="1:6" ht="16">
      <c r="A458914" s="351" t="s">
        <v>605</v>
      </c>
      <c r="B458914" s="348" t="s">
        <v>687</v>
      </c>
      <c r="C458914" s="349">
        <v>0.13073361124886354</v>
      </c>
      <c r="D458914" s="349">
        <f t="shared" si="30"/>
        <v>0.22050197507911562</v>
      </c>
      <c r="E458914" s="349">
        <v>0.17550197507911564</v>
      </c>
      <c r="F458914" s="349">
        <v>0.29149999999999998</v>
      </c>
    </row>
    <row r="458915" spans="1:6" ht="16">
      <c r="A458915" s="347" t="s">
        <v>332</v>
      </c>
      <c r="B458915" s="348" t="s">
        <v>576</v>
      </c>
      <c r="C458915" s="349">
        <v>3.2779436317050999E-2</v>
      </c>
      <c r="D458915" s="349">
        <f t="shared" si="30"/>
        <v>8.9004412948338496E-2</v>
      </c>
      <c r="E458915" s="349">
        <v>4.4004412948338498E-2</v>
      </c>
      <c r="F458915" s="349">
        <v>0.27</v>
      </c>
    </row>
    <row r="458916" spans="1:6" ht="16">
      <c r="A458916" s="347" t="s">
        <v>865</v>
      </c>
      <c r="B458916" s="348" t="s">
        <v>568</v>
      </c>
      <c r="C458916" s="349">
        <v>5.3778762707661788E-3</v>
      </c>
      <c r="D458916" s="349">
        <f t="shared" si="30"/>
        <v>5.2219473999336782E-2</v>
      </c>
      <c r="E458916" s="349">
        <v>7.219473999336784E-3</v>
      </c>
      <c r="F458916" s="349">
        <v>0.25</v>
      </c>
    </row>
    <row r="458917" spans="1:6" ht="16">
      <c r="A458917" s="347" t="s">
        <v>333</v>
      </c>
      <c r="B458917" s="348" t="s">
        <v>573</v>
      </c>
      <c r="C458917" s="349">
        <v>1.7414075543433341E-2</v>
      </c>
      <c r="D458917" s="349">
        <f t="shared" si="30"/>
        <v>6.8377344378804827E-2</v>
      </c>
      <c r="E458917" s="349">
        <v>2.3377344378804829E-2</v>
      </c>
      <c r="F458917" s="349">
        <v>0.25</v>
      </c>
    </row>
    <row r="458918" spans="1:6" ht="16">
      <c r="A458918" s="347" t="s">
        <v>334</v>
      </c>
      <c r="B458918" s="348" t="s">
        <v>688</v>
      </c>
      <c r="C458918" s="349">
        <v>0.13073361124886354</v>
      </c>
      <c r="D458918" s="349">
        <f t="shared" si="30"/>
        <v>0.22050197507911562</v>
      </c>
      <c r="E458918" s="349">
        <v>0.17550197507911564</v>
      </c>
      <c r="F458918" s="349">
        <v>0.24</v>
      </c>
    </row>
    <row r="458919" spans="1:6" ht="16">
      <c r="A458919" s="347" t="s">
        <v>430</v>
      </c>
      <c r="B458919" s="348" t="s">
        <v>576</v>
      </c>
      <c r="C458919" s="349">
        <v>3.2779436317050999E-2</v>
      </c>
      <c r="D458919" s="349">
        <f t="shared" si="30"/>
        <v>8.9004412948338496E-2</v>
      </c>
      <c r="E458919" s="349">
        <v>4.4004412948338498E-2</v>
      </c>
      <c r="F458919" s="349">
        <v>0.2853</v>
      </c>
    </row>
    <row r="458920" spans="1:6" ht="16">
      <c r="A458920" s="347" t="s">
        <v>373</v>
      </c>
      <c r="B458920" s="348" t="s">
        <v>581</v>
      </c>
      <c r="C458920" s="349">
        <v>7.0808704231754685E-2</v>
      </c>
      <c r="D458920" s="349">
        <f t="shared" si="30"/>
        <v>0.14005640765793431</v>
      </c>
      <c r="E458920" s="349">
        <v>9.5056407657934314E-2</v>
      </c>
      <c r="F458920" s="349">
        <v>0.2853</v>
      </c>
    </row>
    <row r="458921" spans="1:6" ht="16">
      <c r="A458921" s="350" t="s">
        <v>606</v>
      </c>
      <c r="B458921" s="348" t="s">
        <v>687</v>
      </c>
      <c r="C458921" s="349">
        <v>0.17499999999999999</v>
      </c>
      <c r="D458921" s="349">
        <f t="shared" si="30"/>
        <v>0.27992692770782934</v>
      </c>
      <c r="E458921" s="349">
        <v>0.23492692770782936</v>
      </c>
      <c r="F458921" s="349">
        <v>0.35</v>
      </c>
    </row>
    <row r="458922" spans="1:6" ht="16">
      <c r="A458922" s="347" t="s">
        <v>374</v>
      </c>
      <c r="B458922" s="348" t="s">
        <v>689</v>
      </c>
      <c r="C458922" s="349">
        <v>0.10896601681957188</v>
      </c>
      <c r="D458922" s="349">
        <f t="shared" si="30"/>
        <v>0.19128029460560964</v>
      </c>
      <c r="E458922" s="349">
        <v>0.14628029460560965</v>
      </c>
      <c r="F458922" s="349">
        <v>0.36</v>
      </c>
    </row>
    <row r="458923" spans="1:6" ht="16">
      <c r="A458923" s="347" t="s">
        <v>607</v>
      </c>
      <c r="B458923" s="348" t="s">
        <v>581</v>
      </c>
      <c r="C458923" s="349">
        <v>7.0808704231754685E-2</v>
      </c>
      <c r="D458923" s="349">
        <f t="shared" si="30"/>
        <v>0.14005640765793431</v>
      </c>
      <c r="E458923" s="349">
        <v>9.5056407657934314E-2</v>
      </c>
      <c r="F458923" s="349">
        <v>0.27500000000000002</v>
      </c>
    </row>
    <row r="458924" spans="1:6" ht="16">
      <c r="A458924" s="347" t="s">
        <v>335</v>
      </c>
      <c r="B458924" s="348" t="s">
        <v>574</v>
      </c>
      <c r="C458924" s="349">
        <v>0</v>
      </c>
      <c r="D458924" s="349">
        <f t="shared" si="30"/>
        <v>4.4999999999999998E-2</v>
      </c>
      <c r="E458924" s="349">
        <v>0</v>
      </c>
      <c r="F458924" s="349">
        <v>0.20600000000000002</v>
      </c>
    </row>
    <row r="458925" spans="1:6" ht="16">
      <c r="A458925" s="347" t="s">
        <v>336</v>
      </c>
      <c r="B458925" s="348" t="s">
        <v>574</v>
      </c>
      <c r="C458925" s="349">
        <v>0</v>
      </c>
      <c r="D458925" s="349">
        <f t="shared" si="30"/>
        <v>4.4999999999999998E-2</v>
      </c>
      <c r="E458925" s="349">
        <v>0</v>
      </c>
      <c r="F458925" s="349">
        <v>0.14599999999999999</v>
      </c>
    </row>
    <row r="458926" spans="1:6" ht="16">
      <c r="A458926" s="351" t="s">
        <v>608</v>
      </c>
      <c r="B458926" s="348" t="s">
        <v>687</v>
      </c>
      <c r="C458926" s="349">
        <v>0.17499999999999999</v>
      </c>
      <c r="D458926" s="349">
        <f t="shared" si="30"/>
        <v>0.27992692770782934</v>
      </c>
      <c r="E458926" s="349">
        <v>0.23492692770782936</v>
      </c>
      <c r="F458926" s="349">
        <v>0.28000000000000003</v>
      </c>
    </row>
    <row r="458927" spans="1:6" ht="16">
      <c r="A458927" s="347" t="s">
        <v>337</v>
      </c>
      <c r="B458927" s="348" t="s">
        <v>580</v>
      </c>
      <c r="C458927" s="349">
        <v>6.5302783287875029E-3</v>
      </c>
      <c r="D458927" s="349">
        <f t="shared" si="30"/>
        <v>5.3766504142051808E-2</v>
      </c>
      <c r="E458927" s="349">
        <v>8.7665041420518092E-3</v>
      </c>
      <c r="F458927" s="349">
        <v>0.2</v>
      </c>
    </row>
    <row r="458928" spans="1:6" ht="16">
      <c r="A458928" s="347" t="s">
        <v>609</v>
      </c>
      <c r="B458928" s="348" t="s">
        <v>581</v>
      </c>
      <c r="C458928" s="349">
        <v>7.0808704231754685E-2</v>
      </c>
      <c r="D458928" s="349">
        <f t="shared" si="30"/>
        <v>0.14005640765793431</v>
      </c>
      <c r="E458928" s="349">
        <v>9.5056407657934314E-2</v>
      </c>
      <c r="F458928" s="349">
        <v>0.18</v>
      </c>
    </row>
    <row r="458929" spans="1:6" ht="16">
      <c r="A458929" s="347" t="s">
        <v>610</v>
      </c>
      <c r="B458929" s="348" t="s">
        <v>572</v>
      </c>
      <c r="C458929" s="349">
        <v>5.9924907017108855E-2</v>
      </c>
      <c r="D458929" s="349">
        <f t="shared" si="30"/>
        <v>0.12544556742118129</v>
      </c>
      <c r="E458929" s="349">
        <v>8.0445567421181294E-2</v>
      </c>
      <c r="F458929" s="349">
        <v>0.3</v>
      </c>
    </row>
    <row r="458930" spans="1:6" ht="16">
      <c r="A458930" s="347" t="s">
        <v>338</v>
      </c>
      <c r="B458930" s="348" t="s">
        <v>573</v>
      </c>
      <c r="C458930" s="349">
        <v>1.7414075543433341E-2</v>
      </c>
      <c r="D458930" s="349">
        <f t="shared" si="30"/>
        <v>6.8377344378804827E-2</v>
      </c>
      <c r="E458930" s="349">
        <v>2.3377344378804829E-2</v>
      </c>
      <c r="F458930" s="349">
        <v>0.2</v>
      </c>
    </row>
    <row r="458931" spans="1:6" ht="16">
      <c r="A458931" s="347" t="s">
        <v>611</v>
      </c>
      <c r="B458931" s="348" t="s">
        <v>581</v>
      </c>
      <c r="C458931" s="349">
        <v>7.0808704231754685E-2</v>
      </c>
      <c r="D458931" s="349">
        <f t="shared" si="30"/>
        <v>0.14005640765793431</v>
      </c>
      <c r="E458931" s="349">
        <v>9.5056407657934314E-2</v>
      </c>
      <c r="F458931" s="349">
        <v>0.26860000000000001</v>
      </c>
    </row>
    <row r="458932" spans="1:6" ht="16">
      <c r="A458932" s="347" t="s">
        <v>866</v>
      </c>
      <c r="B458932" s="348" t="s">
        <v>576</v>
      </c>
      <c r="C458932" s="349">
        <v>3.2779436317050999E-2</v>
      </c>
      <c r="D458932" s="349">
        <f t="shared" si="30"/>
        <v>8.9004412948338496E-2</v>
      </c>
      <c r="E458932" s="349">
        <v>4.4004412948338498E-2</v>
      </c>
      <c r="F458932" s="349">
        <v>0.3</v>
      </c>
    </row>
    <row r="458933" spans="1:6" ht="16">
      <c r="A458933" s="347" t="s">
        <v>339</v>
      </c>
      <c r="B458933" s="348" t="s">
        <v>586</v>
      </c>
      <c r="C458933" s="349">
        <v>9.8082219604926024E-2</v>
      </c>
      <c r="D458933" s="349">
        <f t="shared" si="30"/>
        <v>0.17666945436885656</v>
      </c>
      <c r="E458933" s="349">
        <v>0.13166945436885658</v>
      </c>
      <c r="F458933" s="349">
        <v>0.15</v>
      </c>
    </row>
    <row r="458934" spans="1:6" ht="16">
      <c r="A458934" s="347" t="s">
        <v>340</v>
      </c>
      <c r="B458934" s="348" t="s">
        <v>581</v>
      </c>
      <c r="C458934" s="349">
        <v>7.0808704231754685E-2</v>
      </c>
      <c r="D458934" s="349">
        <f t="shared" si="30"/>
        <v>0.14005640765793431</v>
      </c>
      <c r="E458934" s="349">
        <v>9.5056407657934314E-2</v>
      </c>
      <c r="F458934" s="349">
        <v>0.25</v>
      </c>
    </row>
    <row r="458935" spans="1:6" ht="16">
      <c r="A458935" s="353" t="s">
        <v>867</v>
      </c>
      <c r="B458935" s="348" t="s">
        <v>573</v>
      </c>
      <c r="C458935" s="349">
        <v>1.7414075543433341E-2</v>
      </c>
      <c r="D458935" s="349">
        <f t="shared" si="30"/>
        <v>6.8377344378804827E-2</v>
      </c>
      <c r="E458935" s="349">
        <v>2.3377344378804829E-2</v>
      </c>
      <c r="F458935" s="349">
        <v>0</v>
      </c>
    </row>
    <row r="458936" spans="1:6" ht="16">
      <c r="A458936" s="347" t="s">
        <v>431</v>
      </c>
      <c r="B458936" s="348" t="s">
        <v>572</v>
      </c>
      <c r="C458936" s="349">
        <v>5.9924907017108855E-2</v>
      </c>
      <c r="D458936" s="349">
        <f t="shared" si="30"/>
        <v>0.12544556742118129</v>
      </c>
      <c r="E458936" s="349">
        <v>8.0445567421181294E-2</v>
      </c>
      <c r="F458936" s="349">
        <v>0.3</v>
      </c>
    </row>
    <row r="458937" spans="1:6" ht="16">
      <c r="A458937" s="347" t="s">
        <v>341</v>
      </c>
      <c r="B458937" s="348" t="s">
        <v>688</v>
      </c>
      <c r="C458937" s="349">
        <v>0.13073361124886354</v>
      </c>
      <c r="D458937" s="349">
        <f t="shared" si="30"/>
        <v>0.22050197507911562</v>
      </c>
      <c r="E458937" s="349">
        <v>0.17550197507911564</v>
      </c>
      <c r="F458937" s="349">
        <v>0.18</v>
      </c>
    </row>
    <row r="458938" spans="1:6" ht="16">
      <c r="A458938" s="347" t="s">
        <v>342</v>
      </c>
      <c r="B458938" s="348" t="s">
        <v>568</v>
      </c>
      <c r="C458938" s="349">
        <v>5.3778762707661788E-3</v>
      </c>
      <c r="D458938" s="349">
        <f t="shared" si="30"/>
        <v>5.2219473999336782E-2</v>
      </c>
      <c r="E458938" s="349">
        <v>7.219473999336784E-3</v>
      </c>
      <c r="F458938" s="349">
        <v>0.25</v>
      </c>
    </row>
    <row r="458939" spans="1:6" ht="16">
      <c r="A458939" s="347" t="s">
        <v>343</v>
      </c>
      <c r="B458939" s="348" t="s">
        <v>580</v>
      </c>
      <c r="C458939" s="349">
        <v>6.5302783287875029E-3</v>
      </c>
      <c r="D458939" s="349">
        <f t="shared" si="30"/>
        <v>5.3766504142051808E-2</v>
      </c>
      <c r="E458939" s="349">
        <v>8.7665041420518092E-3</v>
      </c>
      <c r="F458939" s="349">
        <v>0.25</v>
      </c>
    </row>
    <row r="458940" spans="1:6" ht="16">
      <c r="A458940" s="347" t="s">
        <v>344</v>
      </c>
      <c r="B458940" s="348" t="s">
        <v>574</v>
      </c>
      <c r="C458940" s="349">
        <v>0</v>
      </c>
      <c r="D458940" s="349">
        <f t="shared" si="30"/>
        <v>4.4999999999999998E-2</v>
      </c>
      <c r="E458940" s="349">
        <v>0</v>
      </c>
      <c r="F458940" s="349">
        <v>0.25</v>
      </c>
    </row>
    <row r="458941" spans="1:6" ht="16">
      <c r="A458941" s="347" t="s">
        <v>345</v>
      </c>
      <c r="B458941" s="348" t="s">
        <v>571</v>
      </c>
      <c r="C458941" s="349">
        <v>2.0743237044383835E-2</v>
      </c>
      <c r="D458941" s="349">
        <f t="shared" si="30"/>
        <v>7.2846542568870451E-2</v>
      </c>
      <c r="E458941" s="349">
        <v>2.7846542568870453E-2</v>
      </c>
      <c r="F458941" s="349">
        <v>0.25</v>
      </c>
    </row>
    <row r="458942" spans="1:6" ht="16">
      <c r="A458942" s="347" t="s">
        <v>693</v>
      </c>
      <c r="B458942" s="348" t="s">
        <v>578</v>
      </c>
      <c r="C458942" s="349">
        <v>3.9181669972725021E-2</v>
      </c>
      <c r="D458942" s="349">
        <f t="shared" si="30"/>
        <v>9.7599024852310853E-2</v>
      </c>
      <c r="E458942" s="349">
        <v>5.2599024852310855E-2</v>
      </c>
      <c r="F458942" s="349">
        <v>0.15</v>
      </c>
    </row>
    <row r="458943" spans="1:6" ht="16">
      <c r="A458943" s="347" t="s">
        <v>346</v>
      </c>
      <c r="B458943" s="348" t="s">
        <v>615</v>
      </c>
      <c r="C458943" s="349">
        <v>0.17499999999999999</v>
      </c>
      <c r="D458943" s="349">
        <f t="shared" si="30"/>
        <v>0.27992692770782934</v>
      </c>
      <c r="E458943" s="349">
        <v>0.23492692770782936</v>
      </c>
      <c r="F458943" s="349">
        <v>0.34</v>
      </c>
    </row>
    <row r="458944" spans="1:6" ht="16">
      <c r="A458944" s="347" t="s">
        <v>347</v>
      </c>
      <c r="B458944" s="348" t="s">
        <v>576</v>
      </c>
      <c r="C458944" s="349">
        <v>3.2779436317050999E-2</v>
      </c>
      <c r="D458944" s="349">
        <f t="shared" si="30"/>
        <v>8.9004412948338496E-2</v>
      </c>
      <c r="E458944" s="349">
        <v>4.4004412948338498E-2</v>
      </c>
      <c r="F458944" s="349">
        <v>0.2</v>
      </c>
    </row>
    <row r="458945" spans="1:6" ht="16">
      <c r="A458945" s="350" t="s">
        <v>868</v>
      </c>
      <c r="B458945" s="348" t="s">
        <v>687</v>
      </c>
      <c r="C458945" s="349">
        <v>0.10896601681957191</v>
      </c>
      <c r="D458945" s="349">
        <f t="shared" si="30"/>
        <v>0.19128029460560964</v>
      </c>
      <c r="E458945" s="349">
        <v>0.14628029460560965</v>
      </c>
      <c r="F458945" s="349">
        <v>0.2</v>
      </c>
    </row>
    <row r="458946" spans="1:6" ht="16">
      <c r="A458946" s="347" t="s">
        <v>348</v>
      </c>
      <c r="B458946" s="348" t="s">
        <v>689</v>
      </c>
      <c r="C458946" s="349">
        <v>0.10896601681957188</v>
      </c>
      <c r="D458946" s="349">
        <f t="shared" si="30"/>
        <v>0.19128029460560964</v>
      </c>
      <c r="E458946" s="349">
        <v>0.14628029460560965</v>
      </c>
      <c r="F458946" s="349">
        <v>0.35</v>
      </c>
    </row>
    <row r="458947" spans="1:6" ht="16">
      <c r="A458947" s="351" t="s">
        <v>612</v>
      </c>
      <c r="B458947" s="348" t="s">
        <v>687</v>
      </c>
      <c r="C458947" s="349">
        <v>9.8082219604926024E-2</v>
      </c>
      <c r="D458947" s="349">
        <f t="shared" si="30"/>
        <v>0.17666945436885656</v>
      </c>
      <c r="E458947" s="349">
        <v>0.13166945436885658</v>
      </c>
      <c r="F458947" s="349">
        <v>0.25</v>
      </c>
    </row>
    <row r="458952" spans="1:6">
      <c r="A458952" s="354" t="s">
        <v>352</v>
      </c>
      <c r="B458952" s="355" t="s">
        <v>376</v>
      </c>
      <c r="C458952" s="355" t="s">
        <v>869</v>
      </c>
      <c r="D458952" s="355" t="s">
        <v>694</v>
      </c>
      <c r="E458952" s="355" t="s">
        <v>870</v>
      </c>
    </row>
    <row r="458953" spans="1:6">
      <c r="A458953" s="356" t="s">
        <v>355</v>
      </c>
      <c r="B458953" s="357">
        <f>$B$1+E458953</f>
        <v>0.13663852306889546</v>
      </c>
      <c r="C458953" s="357">
        <v>6.8262679351091926E-2</v>
      </c>
      <c r="D458953" s="357">
        <v>0.27302836489005694</v>
      </c>
      <c r="E458953" s="357">
        <v>9.1638523068895444E-2</v>
      </c>
    </row>
    <row r="458954" spans="1:6">
      <c r="A458954" s="356" t="s">
        <v>428</v>
      </c>
      <c r="B458954" s="357">
        <f t="shared" ref="B458954:B458962" si="31">$B$1+E458954</f>
        <v>6.1805405008578562E-2</v>
      </c>
      <c r="C458954" s="357">
        <v>1.2518555898193178E-2</v>
      </c>
      <c r="D458954" s="357">
        <v>0.2576437502455447</v>
      </c>
      <c r="E458954" s="357">
        <v>1.6805405008578567E-2</v>
      </c>
    </row>
    <row r="458955" spans="1:6">
      <c r="A458955" s="356" t="s">
        <v>357</v>
      </c>
      <c r="B458955" s="357">
        <f t="shared" si="31"/>
        <v>4.5047923618641933E-2</v>
      </c>
      <c r="C458955" s="357">
        <v>3.5698901544265913E-5</v>
      </c>
      <c r="D458955" s="357">
        <v>0.29744361328762281</v>
      </c>
      <c r="E458955" s="357">
        <v>4.7923618641935289E-5</v>
      </c>
    </row>
    <row r="458956" spans="1:6">
      <c r="A458956" s="356" t="s">
        <v>359</v>
      </c>
      <c r="B458956" s="357">
        <f t="shared" si="31"/>
        <v>0.1865348819700155</v>
      </c>
      <c r="C458956" s="357">
        <v>0.1054310997313879</v>
      </c>
      <c r="D458956" s="357">
        <v>0.2724561140242252</v>
      </c>
      <c r="E458956" s="357">
        <v>0.14153488197001549</v>
      </c>
    </row>
    <row r="458957" spans="1:6">
      <c r="A458957" s="356" t="s">
        <v>356</v>
      </c>
      <c r="B458957" s="357">
        <f t="shared" si="31"/>
        <v>0.10261091058162494</v>
      </c>
      <c r="C458957" s="357">
        <v>4.2915086193622262E-2</v>
      </c>
      <c r="D458957" s="357">
        <v>0.31595749426030023</v>
      </c>
      <c r="E458957" s="357">
        <v>5.7610910581624951E-2</v>
      </c>
    </row>
    <row r="458958" spans="1:6">
      <c r="A458958" s="356" t="s">
        <v>354</v>
      </c>
      <c r="B458958" s="357">
        <f t="shared" si="31"/>
        <v>9.5579383477192262E-2</v>
      </c>
      <c r="C458958" s="357">
        <v>3.7670398345457844E-2</v>
      </c>
      <c r="D458958" s="357">
        <v>0.18485819102180306</v>
      </c>
      <c r="E458958" s="357">
        <v>5.0579383477192263E-2</v>
      </c>
    </row>
    <row r="458959" spans="1:6">
      <c r="A458959" s="356" t="s">
        <v>360</v>
      </c>
      <c r="B458959" s="357">
        <f t="shared" si="31"/>
        <v>6.6589990892489848E-2</v>
      </c>
      <c r="C458959" s="357">
        <v>1.6082653627874467E-2</v>
      </c>
      <c r="D458959" s="357">
        <v>0.18760152153615242</v>
      </c>
      <c r="E458959" s="357">
        <v>2.1589990892489853E-2</v>
      </c>
    </row>
    <row r="458960" spans="1:6">
      <c r="A458960" s="356" t="s">
        <v>362</v>
      </c>
      <c r="B458960" s="357">
        <f t="shared" si="31"/>
        <v>4.4999999999999998E-2</v>
      </c>
      <c r="C458960" s="357">
        <v>0</v>
      </c>
      <c r="D458960" s="357">
        <v>0.25116286561170831</v>
      </c>
      <c r="E458960" s="357">
        <v>0</v>
      </c>
    </row>
    <row r="458961" spans="1:5">
      <c r="A458961" s="356" t="s">
        <v>353</v>
      </c>
      <c r="B458961" s="357">
        <f t="shared" si="31"/>
        <v>5.7871606293643366E-2</v>
      </c>
      <c r="C458961" s="357">
        <v>9.5882201472833571E-3</v>
      </c>
      <c r="D458961" s="357">
        <v>0.24707349543413576</v>
      </c>
      <c r="E458961" s="357">
        <v>1.2871606293643371E-2</v>
      </c>
    </row>
    <row r="458962" spans="1:5">
      <c r="A458962" s="356" t="s">
        <v>491</v>
      </c>
      <c r="B458962" s="357">
        <f t="shared" si="31"/>
        <v>6.3100000000000003E-2</v>
      </c>
      <c r="C458962" s="357">
        <v>1.35E-2</v>
      </c>
      <c r="D458962" s="357">
        <v>0.25225942509764748</v>
      </c>
      <c r="E458962" s="357">
        <v>1.8100000000000002E-2</v>
      </c>
    </row>
    <row r="524289" spans="1:6">
      <c r="A524289" t="s">
        <v>613</v>
      </c>
      <c r="B524289" s="242">
        <v>4.5999999999999999E-2</v>
      </c>
      <c r="C524289" t="s">
        <v>847</v>
      </c>
    </row>
    <row r="524290" spans="1:6" ht="14">
      <c r="A524290" s="275" t="s">
        <v>686</v>
      </c>
      <c r="B524290" s="275"/>
      <c r="C524290" s="275"/>
      <c r="D524290" s="275"/>
      <c r="E524290" s="275"/>
      <c r="F524290" s="275"/>
    </row>
    <row r="524292" spans="1:6" ht="16">
      <c r="A524292" s="344" t="s">
        <v>349</v>
      </c>
      <c r="B524292" s="345" t="s">
        <v>566</v>
      </c>
      <c r="C524292" s="346" t="s">
        <v>350</v>
      </c>
      <c r="D524292" s="346" t="s">
        <v>567</v>
      </c>
      <c r="E524292" s="346" t="s">
        <v>351</v>
      </c>
      <c r="F524292" s="346" t="s">
        <v>519</v>
      </c>
    </row>
    <row r="524293" spans="1:6" ht="16">
      <c r="A524293" s="347" t="s">
        <v>481</v>
      </c>
      <c r="B524293" s="348" t="s">
        <v>568</v>
      </c>
      <c r="C524293" s="349">
        <v>5.3778762707661788E-3</v>
      </c>
      <c r="D524293" s="349">
        <f>$B$1+E524293</f>
        <v>5.2219473999336782E-2</v>
      </c>
      <c r="E524293" s="349">
        <v>7.219473999336784E-3</v>
      </c>
      <c r="F524293" s="349">
        <v>0.15</v>
      </c>
    </row>
    <row r="524294" spans="1:6" ht="16">
      <c r="A524294" s="347" t="s">
        <v>245</v>
      </c>
      <c r="B524294" s="348" t="s">
        <v>569</v>
      </c>
      <c r="C524294" s="349">
        <v>4.9041109802463012E-2</v>
      </c>
      <c r="D524294" s="349">
        <f t="shared" ref="D524294:D524357" si="32">$B$1+E524294</f>
        <v>0.11083472718442829</v>
      </c>
      <c r="E524294" s="349">
        <v>6.5834727184428288E-2</v>
      </c>
      <c r="F524294" s="349">
        <v>0.15</v>
      </c>
    </row>
    <row r="524295" spans="1:6" ht="16">
      <c r="A524295" s="350" t="s">
        <v>570</v>
      </c>
      <c r="B524295" s="348" t="s">
        <v>687</v>
      </c>
      <c r="C524295" s="349">
        <v>4.9041109802463012E-2</v>
      </c>
      <c r="D524295" s="349">
        <f t="shared" si="32"/>
        <v>0.11083472718442829</v>
      </c>
      <c r="E524295" s="349">
        <v>6.5834727184428288E-2</v>
      </c>
      <c r="F524295" s="349">
        <v>0.26</v>
      </c>
    </row>
    <row r="524296" spans="1:6" ht="16">
      <c r="A524296" s="347" t="s">
        <v>499</v>
      </c>
      <c r="B524296" s="348" t="s">
        <v>571</v>
      </c>
      <c r="C524296" s="349">
        <v>2.0743237044383835E-2</v>
      </c>
      <c r="D524296" s="349">
        <f t="shared" si="32"/>
        <v>7.2846542568870451E-2</v>
      </c>
      <c r="E524296" s="349">
        <v>2.7846542568870453E-2</v>
      </c>
      <c r="F524296" s="349">
        <v>0.1898</v>
      </c>
    </row>
    <row r="524297" spans="1:6" ht="16">
      <c r="A524297" s="347" t="s">
        <v>246</v>
      </c>
      <c r="B524297" s="348" t="s">
        <v>581</v>
      </c>
      <c r="C524297" s="349">
        <v>7.0808704231754685E-2</v>
      </c>
      <c r="D524297" s="349">
        <f t="shared" si="32"/>
        <v>0.14005640765793431</v>
      </c>
      <c r="E524297" s="349">
        <v>9.5056407657934314E-2</v>
      </c>
      <c r="F524297" s="349">
        <v>0.25</v>
      </c>
    </row>
    <row r="524298" spans="1:6" ht="16">
      <c r="A524298" s="347" t="s">
        <v>848</v>
      </c>
      <c r="B524298" s="154" t="s">
        <v>687</v>
      </c>
      <c r="C524298" s="277">
        <v>0.1054310997313879</v>
      </c>
      <c r="D524298" s="349">
        <f t="shared" si="32"/>
        <v>0.23253488197001548</v>
      </c>
      <c r="E524298" s="277">
        <v>0.1875348819700155</v>
      </c>
      <c r="F524298" s="277">
        <v>0.2724561140242252</v>
      </c>
    </row>
    <row r="524299" spans="1:6" ht="16">
      <c r="A524299" s="347" t="s">
        <v>849</v>
      </c>
      <c r="B524299" s="154" t="s">
        <v>687</v>
      </c>
      <c r="C524299" s="277">
        <v>0.1054310997313879</v>
      </c>
      <c r="D524299" s="349">
        <f t="shared" si="32"/>
        <v>0.23253488197001548</v>
      </c>
      <c r="E524299" s="277">
        <v>0.1875348819700155</v>
      </c>
      <c r="F524299" s="277">
        <v>0.2724561140242252</v>
      </c>
    </row>
    <row r="524300" spans="1:6" ht="16">
      <c r="A524300" s="347" t="s">
        <v>247</v>
      </c>
      <c r="B524300" s="348" t="s">
        <v>688</v>
      </c>
      <c r="C524300" s="349">
        <v>0.13073361124886354</v>
      </c>
      <c r="D524300" s="349">
        <f t="shared" si="32"/>
        <v>0.22050197507911562</v>
      </c>
      <c r="E524300" s="349">
        <v>0.17550197507911564</v>
      </c>
      <c r="F524300" s="349">
        <v>0.35</v>
      </c>
    </row>
    <row r="524301" spans="1:6" ht="16">
      <c r="A524301" s="347" t="s">
        <v>248</v>
      </c>
      <c r="B524301" s="348" t="s">
        <v>578</v>
      </c>
      <c r="C524301" s="349">
        <v>3.9181669972725021E-2</v>
      </c>
      <c r="D524301" s="349">
        <f t="shared" si="32"/>
        <v>9.7599024852310853E-2</v>
      </c>
      <c r="E524301" s="349">
        <v>5.2599024852310855E-2</v>
      </c>
      <c r="F524301" s="349">
        <v>0.18</v>
      </c>
    </row>
    <row r="524302" spans="1:6" ht="16">
      <c r="A524302" s="347" t="s">
        <v>249</v>
      </c>
      <c r="B524302" s="348" t="s">
        <v>571</v>
      </c>
      <c r="C524302" s="349">
        <v>2.0743237044383835E-2</v>
      </c>
      <c r="D524302" s="349">
        <f t="shared" si="32"/>
        <v>7.2846542568870451E-2</v>
      </c>
      <c r="E524302" s="349">
        <v>2.7846542568870453E-2</v>
      </c>
      <c r="F524302" s="349">
        <v>0.25</v>
      </c>
    </row>
    <row r="524303" spans="1:6" ht="16">
      <c r="A524303" s="347" t="s">
        <v>250</v>
      </c>
      <c r="B524303" s="348" t="s">
        <v>574</v>
      </c>
      <c r="C524303" s="349">
        <v>0</v>
      </c>
      <c r="D524303" s="349">
        <f t="shared" si="32"/>
        <v>4.4999999999999998E-2</v>
      </c>
      <c r="E524303" s="349">
        <v>0</v>
      </c>
      <c r="F524303" s="349">
        <v>0.3</v>
      </c>
    </row>
    <row r="524304" spans="1:6" ht="16">
      <c r="A524304" s="347" t="s">
        <v>251</v>
      </c>
      <c r="B524304" s="348" t="s">
        <v>575</v>
      </c>
      <c r="C524304" s="349">
        <v>4.3535188858583353E-3</v>
      </c>
      <c r="D524304" s="349">
        <f t="shared" si="32"/>
        <v>5.0844336094701202E-2</v>
      </c>
      <c r="E524304" s="349">
        <v>5.8443360947012038E-3</v>
      </c>
      <c r="F524304" s="349">
        <v>0.24</v>
      </c>
    </row>
    <row r="524305" spans="1:6" ht="16">
      <c r="A524305" s="347" t="s">
        <v>358</v>
      </c>
      <c r="B524305" s="348" t="s">
        <v>589</v>
      </c>
      <c r="C524305" s="349">
        <v>2.7273515373171343E-2</v>
      </c>
      <c r="D524305" s="349">
        <f t="shared" si="32"/>
        <v>8.161304671092226E-2</v>
      </c>
      <c r="E524305" s="349">
        <v>3.6613046710922262E-2</v>
      </c>
      <c r="F524305" s="349">
        <v>0.2</v>
      </c>
    </row>
    <row r="524306" spans="1:6" ht="16">
      <c r="A524306" s="347" t="s">
        <v>252</v>
      </c>
      <c r="B524306" s="348" t="s">
        <v>569</v>
      </c>
      <c r="C524306" s="349">
        <v>4.9041109802463012E-2</v>
      </c>
      <c r="D524306" s="349">
        <f t="shared" si="32"/>
        <v>0.11083472718442829</v>
      </c>
      <c r="E524306" s="349">
        <v>6.5834727184428288E-2</v>
      </c>
      <c r="F524306" s="349">
        <v>0</v>
      </c>
    </row>
    <row r="524307" spans="1:6" ht="16">
      <c r="A524307" s="347" t="s">
        <v>253</v>
      </c>
      <c r="B524307" s="348" t="s">
        <v>572</v>
      </c>
      <c r="C524307" s="349">
        <v>5.9924907017108855E-2</v>
      </c>
      <c r="D524307" s="349">
        <f t="shared" si="32"/>
        <v>0.12544556742118129</v>
      </c>
      <c r="E524307" s="349">
        <v>8.0445567421181294E-2</v>
      </c>
      <c r="F524307" s="349">
        <v>0</v>
      </c>
    </row>
    <row r="524308" spans="1:6" ht="16">
      <c r="A524308" s="347" t="s">
        <v>254</v>
      </c>
      <c r="B524308" s="348" t="s">
        <v>569</v>
      </c>
      <c r="C524308" s="349">
        <v>4.9041109802463012E-2</v>
      </c>
      <c r="D524308" s="349">
        <f t="shared" si="32"/>
        <v>0.11083472718442829</v>
      </c>
      <c r="E524308" s="349">
        <v>6.5834727184428288E-2</v>
      </c>
      <c r="F524308" s="349">
        <v>0.3</v>
      </c>
    </row>
    <row r="524309" spans="1:6" ht="16">
      <c r="A524309" s="347" t="s">
        <v>255</v>
      </c>
      <c r="B524309" s="348" t="s">
        <v>581</v>
      </c>
      <c r="C524309" s="349">
        <v>7.0808704231754685E-2</v>
      </c>
      <c r="D524309" s="349">
        <f t="shared" si="32"/>
        <v>0.14005640765793431</v>
      </c>
      <c r="E524309" s="349">
        <v>9.5056407657934314E-2</v>
      </c>
      <c r="F524309" s="349">
        <v>5.5E-2</v>
      </c>
    </row>
    <row r="524310" spans="1:6" ht="16">
      <c r="A524310" s="347" t="s">
        <v>256</v>
      </c>
      <c r="B524310" s="348" t="s">
        <v>615</v>
      </c>
      <c r="C524310" s="349">
        <v>0.17499999999999999</v>
      </c>
      <c r="D524310" s="349">
        <f t="shared" si="32"/>
        <v>0.27992692770782934</v>
      </c>
      <c r="E524310" s="349">
        <v>0.23492692770782936</v>
      </c>
      <c r="F524310" s="349">
        <v>0.18</v>
      </c>
    </row>
    <row r="524311" spans="1:6" ht="16">
      <c r="A524311" s="347" t="s">
        <v>257</v>
      </c>
      <c r="B524311" s="348" t="s">
        <v>580</v>
      </c>
      <c r="C524311" s="349">
        <v>6.5302783287875029E-3</v>
      </c>
      <c r="D524311" s="349">
        <f t="shared" si="32"/>
        <v>5.3766504142051808E-2</v>
      </c>
      <c r="E524311" s="349">
        <v>8.7665041420518092E-3</v>
      </c>
      <c r="F524311" s="349">
        <v>0.25</v>
      </c>
    </row>
    <row r="524312" spans="1:6" ht="16">
      <c r="A524312" s="347" t="s">
        <v>361</v>
      </c>
      <c r="B524312" s="348" t="s">
        <v>586</v>
      </c>
      <c r="C524312" s="349">
        <v>9.8082219604926024E-2</v>
      </c>
      <c r="D524312" s="349">
        <f t="shared" si="32"/>
        <v>0.17666945436885656</v>
      </c>
      <c r="E524312" s="349">
        <v>0.13166945436885658</v>
      </c>
      <c r="F524312" s="349">
        <v>0.2853</v>
      </c>
    </row>
    <row r="524313" spans="1:6" ht="16">
      <c r="A524313" s="347" t="s">
        <v>582</v>
      </c>
      <c r="B524313" s="348" t="s">
        <v>569</v>
      </c>
      <c r="C524313" s="349">
        <v>4.9041109802463012E-2</v>
      </c>
      <c r="D524313" s="349">
        <f t="shared" si="32"/>
        <v>0.11083472718442829</v>
      </c>
      <c r="E524313" s="349">
        <v>6.5834727184428288E-2</v>
      </c>
      <c r="F524313" s="349">
        <v>0.3</v>
      </c>
    </row>
    <row r="524314" spans="1:6" ht="16">
      <c r="A524314" s="347" t="s">
        <v>258</v>
      </c>
      <c r="B524314" s="348" t="s">
        <v>583</v>
      </c>
      <c r="C524314" s="349">
        <v>9.2192164641705932E-3</v>
      </c>
      <c r="D524314" s="349">
        <f t="shared" si="32"/>
        <v>5.73762411417202E-2</v>
      </c>
      <c r="E524314" s="349">
        <v>1.2376241141720201E-2</v>
      </c>
      <c r="F524314" s="349">
        <v>0</v>
      </c>
    </row>
    <row r="524315" spans="1:6" ht="16">
      <c r="A524315" s="347" t="s">
        <v>259</v>
      </c>
      <c r="B524315" s="348" t="s">
        <v>579</v>
      </c>
      <c r="C524315" s="349">
        <v>8.1692501446400528E-2</v>
      </c>
      <c r="D524315" s="349">
        <f t="shared" si="32"/>
        <v>0.15466724789468733</v>
      </c>
      <c r="E524315" s="349">
        <v>0.10966724789468733</v>
      </c>
      <c r="F524315" s="349">
        <v>0.25</v>
      </c>
    </row>
    <row r="524316" spans="1:6" ht="16">
      <c r="A524316" s="347" t="s">
        <v>260</v>
      </c>
      <c r="B524316" s="348" t="s">
        <v>581</v>
      </c>
      <c r="C524316" s="349">
        <v>7.0808704231754685E-2</v>
      </c>
      <c r="D524316" s="349">
        <f t="shared" si="32"/>
        <v>0.14005640765793431</v>
      </c>
      <c r="E524316" s="349">
        <v>9.5056407657934314E-2</v>
      </c>
      <c r="F524316" s="349">
        <v>0.1</v>
      </c>
    </row>
    <row r="524317" spans="1:6" ht="16">
      <c r="A524317" s="347" t="s">
        <v>261</v>
      </c>
      <c r="B524317" s="348" t="s">
        <v>587</v>
      </c>
      <c r="C524317" s="349">
        <v>1.3060556657575006E-2</v>
      </c>
      <c r="D524317" s="349">
        <f t="shared" si="32"/>
        <v>6.2533008284103617E-2</v>
      </c>
      <c r="E524317" s="349">
        <v>1.7533008284103618E-2</v>
      </c>
      <c r="F524317" s="349">
        <v>0.22</v>
      </c>
    </row>
    <row r="524318" spans="1:6" ht="16">
      <c r="A524318" s="347" t="s">
        <v>262</v>
      </c>
      <c r="B524318" s="348" t="s">
        <v>576</v>
      </c>
      <c r="C524318" s="349">
        <v>3.2779436317050999E-2</v>
      </c>
      <c r="D524318" s="349">
        <f t="shared" si="32"/>
        <v>8.9004412948338496E-2</v>
      </c>
      <c r="E524318" s="349">
        <v>4.4004412948338498E-2</v>
      </c>
      <c r="F524318" s="349">
        <v>0.34</v>
      </c>
    </row>
    <row r="524319" spans="1:6" ht="16">
      <c r="A524319" s="347" t="s">
        <v>850</v>
      </c>
      <c r="B524319" s="348" t="s">
        <v>576</v>
      </c>
      <c r="C524319" s="349">
        <v>3.2779436317050999E-2</v>
      </c>
      <c r="D524319" s="349">
        <f t="shared" si="32"/>
        <v>8.9004412948338496E-2</v>
      </c>
      <c r="E524319" s="349">
        <v>4.4004412948338498E-2</v>
      </c>
      <c r="F524319" s="349">
        <v>0.34</v>
      </c>
    </row>
    <row r="524320" spans="1:6" ht="16">
      <c r="A524320" s="351" t="s">
        <v>584</v>
      </c>
      <c r="B524320" s="348" t="s">
        <v>687</v>
      </c>
      <c r="C524320" s="349">
        <v>6.5302783287875029E-3</v>
      </c>
      <c r="D524320" s="349">
        <f t="shared" si="32"/>
        <v>5.3766504142051808E-2</v>
      </c>
      <c r="E524320" s="349">
        <v>8.7665041420518092E-3</v>
      </c>
      <c r="F524320" s="349">
        <v>0.185</v>
      </c>
    </row>
    <row r="524321" spans="1:6" ht="16">
      <c r="A524321" s="347" t="s">
        <v>263</v>
      </c>
      <c r="B524321" s="348" t="s">
        <v>573</v>
      </c>
      <c r="C524321" s="349">
        <v>1.7414075543433341E-2</v>
      </c>
      <c r="D524321" s="349">
        <f t="shared" si="32"/>
        <v>6.8377344378804827E-2</v>
      </c>
      <c r="E524321" s="349">
        <v>2.3377344378804829E-2</v>
      </c>
      <c r="F524321" s="349">
        <v>0.1</v>
      </c>
    </row>
    <row r="524322" spans="1:6" ht="16">
      <c r="A524322" s="347" t="s">
        <v>482</v>
      </c>
      <c r="B524322" s="348" t="s">
        <v>579</v>
      </c>
      <c r="C524322" s="349">
        <v>8.1692501446400528E-2</v>
      </c>
      <c r="D524322" s="349">
        <f t="shared" si="32"/>
        <v>0.15466724789468733</v>
      </c>
      <c r="E524322" s="349">
        <v>0.10966724789468733</v>
      </c>
      <c r="F524322" s="349">
        <v>0.28000000000000003</v>
      </c>
    </row>
    <row r="524323" spans="1:6" ht="16">
      <c r="A524323" s="347" t="s">
        <v>264</v>
      </c>
      <c r="B524323" s="348" t="s">
        <v>572</v>
      </c>
      <c r="C524323" s="349">
        <v>5.9924907017108855E-2</v>
      </c>
      <c r="D524323" s="349">
        <f t="shared" si="32"/>
        <v>0.12544556742118129</v>
      </c>
      <c r="E524323" s="349">
        <v>8.0445567421181294E-2</v>
      </c>
      <c r="F524323" s="349">
        <v>0.2</v>
      </c>
    </row>
    <row r="524324" spans="1:6" ht="16">
      <c r="A524324" s="347" t="s">
        <v>483</v>
      </c>
      <c r="B524324" s="348" t="s">
        <v>579</v>
      </c>
      <c r="C524324" s="349">
        <v>8.1692501446400528E-2</v>
      </c>
      <c r="D524324" s="349">
        <f t="shared" si="32"/>
        <v>0.15466724789468733</v>
      </c>
      <c r="E524324" s="349">
        <v>0.10966724789468733</v>
      </c>
      <c r="F524324" s="349">
        <v>0.33</v>
      </c>
    </row>
    <row r="524325" spans="1:6" ht="16">
      <c r="A524325" s="347" t="s">
        <v>265</v>
      </c>
      <c r="B524325" s="348" t="s">
        <v>574</v>
      </c>
      <c r="C524325" s="349">
        <v>0</v>
      </c>
      <c r="D524325" s="349">
        <f t="shared" si="32"/>
        <v>4.4999999999999998E-2</v>
      </c>
      <c r="E524325" s="349">
        <v>0</v>
      </c>
      <c r="F524325" s="349">
        <v>0.26500000000000001</v>
      </c>
    </row>
    <row r="524326" spans="1:6" ht="16">
      <c r="A524326" s="347" t="s">
        <v>484</v>
      </c>
      <c r="B524326" s="348" t="s">
        <v>581</v>
      </c>
      <c r="C524326" s="349">
        <v>7.0808704231754685E-2</v>
      </c>
      <c r="D524326" s="349">
        <f t="shared" si="32"/>
        <v>0.14005640765793431</v>
      </c>
      <c r="E524326" s="349">
        <v>9.5056407657934314E-2</v>
      </c>
      <c r="F524326" s="349">
        <v>0</v>
      </c>
    </row>
    <row r="524327" spans="1:6" ht="16">
      <c r="A524327" s="347" t="s">
        <v>266</v>
      </c>
      <c r="B524327" s="348" t="s">
        <v>580</v>
      </c>
      <c r="C524327" s="349">
        <v>6.5302783287875029E-3</v>
      </c>
      <c r="D524327" s="349">
        <f t="shared" si="32"/>
        <v>5.3766504142051808E-2</v>
      </c>
      <c r="E524327" s="349">
        <v>8.7665041420518092E-3</v>
      </c>
      <c r="F524327" s="349">
        <v>0</v>
      </c>
    </row>
    <row r="524328" spans="1:6" ht="16">
      <c r="A524328" s="347" t="s">
        <v>851</v>
      </c>
      <c r="B524328" s="154" t="s">
        <v>687</v>
      </c>
      <c r="C524328" s="277">
        <v>9.5882201472833571E-3</v>
      </c>
      <c r="D524328" s="349">
        <f t="shared" si="32"/>
        <v>0.10387160629364336</v>
      </c>
      <c r="E524328" s="277">
        <v>5.8871606293643367E-2</v>
      </c>
      <c r="F524328" s="277">
        <v>0.24707349543413576</v>
      </c>
    </row>
    <row r="524329" spans="1:6" ht="16">
      <c r="A524329" s="347" t="s">
        <v>267</v>
      </c>
      <c r="B524329" s="348" t="s">
        <v>583</v>
      </c>
      <c r="C524329" s="349">
        <v>9.2192164641705932E-3</v>
      </c>
      <c r="D524329" s="349">
        <f t="shared" si="32"/>
        <v>5.73762411417202E-2</v>
      </c>
      <c r="E524329" s="349">
        <v>1.2376241141720201E-2</v>
      </c>
      <c r="F524329" s="349">
        <v>0.27</v>
      </c>
    </row>
    <row r="524330" spans="1:6" ht="16">
      <c r="A524330" s="347" t="s">
        <v>268</v>
      </c>
      <c r="B524330" s="348" t="s">
        <v>585</v>
      </c>
      <c r="C524330" s="349">
        <v>7.6826803868088279E-3</v>
      </c>
      <c r="D524330" s="349">
        <f t="shared" si="32"/>
        <v>5.5313534284766833E-2</v>
      </c>
      <c r="E524330" s="349">
        <v>1.0313534284766834E-2</v>
      </c>
      <c r="F524330" s="349">
        <v>0.25</v>
      </c>
    </row>
    <row r="524331" spans="1:6" ht="16">
      <c r="A524331" s="347" t="s">
        <v>269</v>
      </c>
      <c r="B524331" s="348" t="s">
        <v>571</v>
      </c>
      <c r="C524331" s="349">
        <v>2.0743237044383835E-2</v>
      </c>
      <c r="D524331" s="349">
        <f t="shared" si="32"/>
        <v>7.2846542568870451E-2</v>
      </c>
      <c r="E524331" s="349">
        <v>2.7846542568870453E-2</v>
      </c>
      <c r="F524331" s="349">
        <v>0.35</v>
      </c>
    </row>
    <row r="524332" spans="1:6" ht="16">
      <c r="A524332" s="347" t="s">
        <v>500</v>
      </c>
      <c r="B524332" s="348" t="s">
        <v>581</v>
      </c>
      <c r="C524332" s="349">
        <v>7.0808704231754685E-2</v>
      </c>
      <c r="D524332" s="349">
        <f t="shared" si="32"/>
        <v>0.14005640765793431</v>
      </c>
      <c r="E524332" s="349">
        <v>9.5056407657934314E-2</v>
      </c>
      <c r="F524332" s="349">
        <v>0.3</v>
      </c>
    </row>
    <row r="524333" spans="1:6" ht="16">
      <c r="A524333" s="347" t="s">
        <v>501</v>
      </c>
      <c r="B524333" s="348" t="s">
        <v>586</v>
      </c>
      <c r="C524333" s="349">
        <v>9.8082219604926024E-2</v>
      </c>
      <c r="D524333" s="349">
        <f t="shared" si="32"/>
        <v>0.17666945436885656</v>
      </c>
      <c r="E524333" s="349">
        <v>0.13166945436885658</v>
      </c>
      <c r="F524333" s="349">
        <v>0.28000000000000003</v>
      </c>
    </row>
    <row r="524334" spans="1:6" ht="16">
      <c r="A524334" s="347" t="s">
        <v>485</v>
      </c>
      <c r="B524334" s="348" t="s">
        <v>569</v>
      </c>
      <c r="C524334" s="349">
        <v>4.9041109802463012E-2</v>
      </c>
      <c r="D524334" s="349">
        <f t="shared" si="32"/>
        <v>0.11083472718442829</v>
      </c>
      <c r="E524334" s="349">
        <v>6.5834727184428288E-2</v>
      </c>
      <c r="F524334" s="349">
        <v>0.2974</v>
      </c>
    </row>
    <row r="524335" spans="1:6" ht="16">
      <c r="A524335" s="347" t="s">
        <v>270</v>
      </c>
      <c r="B524335" s="348" t="s">
        <v>569</v>
      </c>
      <c r="C524335" s="349">
        <v>4.9041109802463012E-2</v>
      </c>
      <c r="D524335" s="349">
        <f t="shared" si="32"/>
        <v>0.11083472718442829</v>
      </c>
      <c r="E524335" s="349">
        <v>6.5834727184428288E-2</v>
      </c>
      <c r="F524335" s="349">
        <v>0.3</v>
      </c>
    </row>
    <row r="524336" spans="1:6" ht="16">
      <c r="A524336" s="347" t="s">
        <v>271</v>
      </c>
      <c r="B524336" s="348" t="s">
        <v>571</v>
      </c>
      <c r="C524336" s="349">
        <v>2.0743237044383835E-2</v>
      </c>
      <c r="D524336" s="349">
        <f t="shared" si="32"/>
        <v>7.2846542568870451E-2</v>
      </c>
      <c r="E524336" s="349">
        <v>2.7846542568870453E-2</v>
      </c>
      <c r="F524336" s="349">
        <v>0.18</v>
      </c>
    </row>
    <row r="524337" spans="1:6" ht="16">
      <c r="A524337" s="347" t="s">
        <v>363</v>
      </c>
      <c r="B524337" s="348" t="s">
        <v>688</v>
      </c>
      <c r="C524337" s="349">
        <v>0.13073361124886354</v>
      </c>
      <c r="D524337" s="349">
        <f t="shared" si="32"/>
        <v>0.22050197507911562</v>
      </c>
      <c r="E524337" s="349">
        <v>0.17550197507911564</v>
      </c>
      <c r="F524337" s="349">
        <v>0.2853</v>
      </c>
    </row>
    <row r="524338" spans="1:6" ht="16">
      <c r="A524338" s="352" t="s">
        <v>852</v>
      </c>
      <c r="B524338" s="348" t="s">
        <v>571</v>
      </c>
      <c r="C524338" s="349">
        <v>2.0743237044383835E-2</v>
      </c>
      <c r="D524338" s="349">
        <f t="shared" si="32"/>
        <v>7.2846542568870451E-2</v>
      </c>
      <c r="E524338" s="349">
        <v>2.7846542568870453E-2</v>
      </c>
      <c r="F524338" s="349">
        <v>0.22</v>
      </c>
    </row>
    <row r="524339" spans="1:6" ht="16">
      <c r="A524339" s="347" t="s">
        <v>272</v>
      </c>
      <c r="B524339" s="348" t="s">
        <v>571</v>
      </c>
      <c r="C524339" s="349">
        <v>2.0743237044383835E-2</v>
      </c>
      <c r="D524339" s="349">
        <f t="shared" si="32"/>
        <v>7.2846542568870451E-2</v>
      </c>
      <c r="E524339" s="349">
        <v>2.7846542568870453E-2</v>
      </c>
      <c r="F524339" s="349">
        <v>0.125</v>
      </c>
    </row>
    <row r="524340" spans="1:6" ht="16">
      <c r="A524340" s="347" t="s">
        <v>273</v>
      </c>
      <c r="B524340" s="348" t="s">
        <v>580</v>
      </c>
      <c r="C524340" s="349">
        <v>6.5302783287875029E-3</v>
      </c>
      <c r="D524340" s="349">
        <f t="shared" si="32"/>
        <v>5.3766504142051808E-2</v>
      </c>
      <c r="E524340" s="349">
        <v>8.7665041420518092E-3</v>
      </c>
      <c r="F524340" s="349">
        <v>0.19</v>
      </c>
    </row>
    <row r="524341" spans="1:6" ht="16">
      <c r="A524341" s="347" t="s">
        <v>274</v>
      </c>
      <c r="B524341" s="348" t="s">
        <v>574</v>
      </c>
      <c r="C524341" s="349">
        <v>0</v>
      </c>
      <c r="D524341" s="349">
        <f t="shared" si="32"/>
        <v>4.4999999999999998E-2</v>
      </c>
      <c r="E524341" s="349">
        <v>0</v>
      </c>
      <c r="F524341" s="349">
        <v>0.22</v>
      </c>
    </row>
    <row r="524342" spans="1:6" ht="16">
      <c r="A524342" s="347" t="s">
        <v>275</v>
      </c>
      <c r="B524342" s="348" t="s">
        <v>578</v>
      </c>
      <c r="C524342" s="349">
        <v>3.9181669972725021E-2</v>
      </c>
      <c r="D524342" s="349">
        <f t="shared" si="32"/>
        <v>9.7599024852310853E-2</v>
      </c>
      <c r="E524342" s="349">
        <v>5.2599024852310855E-2</v>
      </c>
      <c r="F524342" s="349">
        <v>0.27</v>
      </c>
    </row>
    <row r="524343" spans="1:6" ht="16">
      <c r="A524343" s="347" t="s">
        <v>276</v>
      </c>
      <c r="B524343" s="348" t="s">
        <v>689</v>
      </c>
      <c r="C524343" s="349">
        <v>0.10896601681957188</v>
      </c>
      <c r="D524343" s="349">
        <f t="shared" si="32"/>
        <v>0.19128029460560964</v>
      </c>
      <c r="E524343" s="349">
        <v>0.14628029460560965</v>
      </c>
      <c r="F524343" s="349">
        <v>0.25</v>
      </c>
    </row>
    <row r="524344" spans="1:6" ht="16">
      <c r="A524344" s="347" t="s">
        <v>277</v>
      </c>
      <c r="B524344" s="348" t="s">
        <v>579</v>
      </c>
      <c r="C524344" s="349">
        <v>8.1692501446400528E-2</v>
      </c>
      <c r="D524344" s="349">
        <f t="shared" si="32"/>
        <v>0.15466724789468733</v>
      </c>
      <c r="E524344" s="349">
        <v>0.10966724789468733</v>
      </c>
      <c r="F524344" s="349">
        <v>0.22500000000000001</v>
      </c>
    </row>
    <row r="524345" spans="1:6" ht="16">
      <c r="A524345" s="347" t="s">
        <v>364</v>
      </c>
      <c r="B524345" s="348" t="s">
        <v>689</v>
      </c>
      <c r="C524345" s="349">
        <v>0.10896601681957188</v>
      </c>
      <c r="D524345" s="349">
        <f t="shared" si="32"/>
        <v>0.19128029460560964</v>
      </c>
      <c r="E524345" s="349">
        <v>0.14628029460560965</v>
      </c>
      <c r="F524345" s="349">
        <v>0.3</v>
      </c>
    </row>
    <row r="524346" spans="1:6" ht="16">
      <c r="A524346" s="347" t="s">
        <v>278</v>
      </c>
      <c r="B524346" s="348" t="s">
        <v>585</v>
      </c>
      <c r="C524346" s="349">
        <v>7.6826803868088279E-3</v>
      </c>
      <c r="D524346" s="349">
        <f t="shared" si="32"/>
        <v>5.5313534284766833E-2</v>
      </c>
      <c r="E524346" s="349">
        <v>1.0313534284766834E-2</v>
      </c>
      <c r="F524346" s="349">
        <v>0.2</v>
      </c>
    </row>
    <row r="524347" spans="1:6" ht="16">
      <c r="A524347" s="347" t="s">
        <v>502</v>
      </c>
      <c r="B524347" s="348" t="s">
        <v>586</v>
      </c>
      <c r="C524347" s="349">
        <v>9.8082219604926024E-2</v>
      </c>
      <c r="D524347" s="349">
        <f t="shared" si="32"/>
        <v>0.17666945436885656</v>
      </c>
      <c r="E524347" s="349">
        <v>0.13166945436885658</v>
      </c>
      <c r="F524347" s="349">
        <v>0.3</v>
      </c>
    </row>
    <row r="524348" spans="1:6" ht="16">
      <c r="A524348" s="347" t="s">
        <v>853</v>
      </c>
      <c r="B524348" s="154" t="s">
        <v>687</v>
      </c>
      <c r="C524348" s="277">
        <v>4.2915086193622262E-2</v>
      </c>
      <c r="D524348" s="349">
        <f t="shared" si="32"/>
        <v>0.14861091058162493</v>
      </c>
      <c r="E524348" s="277">
        <v>0.10361091058162493</v>
      </c>
      <c r="F524348" s="277">
        <v>0.31595749426030023</v>
      </c>
    </row>
    <row r="524349" spans="1:6" ht="16">
      <c r="A524349" s="347" t="s">
        <v>279</v>
      </c>
      <c r="B524349" s="348" t="s">
        <v>569</v>
      </c>
      <c r="C524349" s="349">
        <v>4.9041109802463012E-2</v>
      </c>
      <c r="D524349" s="349">
        <f t="shared" si="32"/>
        <v>0.11083472718442829</v>
      </c>
      <c r="E524349" s="349">
        <v>6.5834727184428288E-2</v>
      </c>
      <c r="F524349" s="349">
        <v>0.2</v>
      </c>
    </row>
    <row r="524350" spans="1:6" ht="16">
      <c r="A524350" s="347" t="s">
        <v>280</v>
      </c>
      <c r="B524350" s="348" t="s">
        <v>575</v>
      </c>
      <c r="C524350" s="349">
        <v>4.3535188858583353E-3</v>
      </c>
      <c r="D524350" s="349">
        <f t="shared" si="32"/>
        <v>5.0844336094701202E-2</v>
      </c>
      <c r="E524350" s="349">
        <v>5.8443360947012038E-3</v>
      </c>
      <c r="F524350" s="349">
        <v>0.2</v>
      </c>
    </row>
    <row r="524351" spans="1:6" ht="16">
      <c r="A524351" s="347" t="s">
        <v>281</v>
      </c>
      <c r="B524351" s="348" t="s">
        <v>568</v>
      </c>
      <c r="C524351" s="349">
        <v>5.3778762707661788E-3</v>
      </c>
      <c r="D524351" s="349">
        <f t="shared" si="32"/>
        <v>5.2219473999336782E-2</v>
      </c>
      <c r="E524351" s="349">
        <v>7.219473999336784E-3</v>
      </c>
      <c r="F524351" s="349">
        <v>0.25</v>
      </c>
    </row>
    <row r="524352" spans="1:6" ht="16">
      <c r="A524352" s="347" t="s">
        <v>854</v>
      </c>
      <c r="B524352" s="154" t="s">
        <v>687</v>
      </c>
      <c r="C524352" s="277">
        <v>4.2915086193622262E-2</v>
      </c>
      <c r="D524352" s="349">
        <f t="shared" si="32"/>
        <v>0.14861091058162493</v>
      </c>
      <c r="E524352" s="277">
        <v>0.10361091058162493</v>
      </c>
      <c r="F524352" s="277">
        <v>0.31595749426030023</v>
      </c>
    </row>
    <row r="524353" spans="1:6" ht="16">
      <c r="A524353" s="347" t="s">
        <v>486</v>
      </c>
      <c r="B524353" s="348" t="s">
        <v>579</v>
      </c>
      <c r="C524353" s="349">
        <v>8.1692501446400528E-2</v>
      </c>
      <c r="D524353" s="349">
        <f t="shared" si="32"/>
        <v>0.15466724789468733</v>
      </c>
      <c r="E524353" s="349">
        <v>0.10966724789468733</v>
      </c>
      <c r="F524353" s="349">
        <v>0.3</v>
      </c>
    </row>
    <row r="524354" spans="1:6" ht="16">
      <c r="A524354" s="350" t="s">
        <v>588</v>
      </c>
      <c r="B524354" s="348" t="s">
        <v>687</v>
      </c>
      <c r="C524354" s="349">
        <v>4.9041109802463012E-2</v>
      </c>
      <c r="D524354" s="349">
        <f t="shared" si="32"/>
        <v>0.11083472718442829</v>
      </c>
      <c r="E524354" s="349">
        <v>6.5834727184428288E-2</v>
      </c>
      <c r="F524354" s="349">
        <v>0.31</v>
      </c>
    </row>
    <row r="524355" spans="1:6" ht="16">
      <c r="A524355" s="347" t="s">
        <v>365</v>
      </c>
      <c r="B524355" s="348" t="s">
        <v>576</v>
      </c>
      <c r="C524355" s="349">
        <v>3.2779436317050999E-2</v>
      </c>
      <c r="D524355" s="349">
        <f t="shared" si="32"/>
        <v>8.9004412948338496E-2</v>
      </c>
      <c r="E524355" s="349">
        <v>4.4004412948338498E-2</v>
      </c>
      <c r="F524355" s="349">
        <v>0.15</v>
      </c>
    </row>
    <row r="524356" spans="1:6" ht="16">
      <c r="A524356" s="347" t="s">
        <v>282</v>
      </c>
      <c r="B524356" s="348" t="s">
        <v>574</v>
      </c>
      <c r="C524356" s="349">
        <v>0</v>
      </c>
      <c r="D524356" s="349">
        <f t="shared" si="32"/>
        <v>4.4999999999999998E-2</v>
      </c>
      <c r="E524356" s="349">
        <v>0</v>
      </c>
      <c r="F524356" s="349">
        <v>0.3</v>
      </c>
    </row>
    <row r="524357" spans="1:6" ht="16">
      <c r="A524357" s="347" t="s">
        <v>487</v>
      </c>
      <c r="B524357" s="348" t="s">
        <v>689</v>
      </c>
      <c r="C524357" s="349">
        <v>0.10896601681957188</v>
      </c>
      <c r="D524357" s="349">
        <f t="shared" si="32"/>
        <v>0.19128029460560964</v>
      </c>
      <c r="E524357" s="349">
        <v>0.14628029460560965</v>
      </c>
      <c r="F524357" s="349">
        <v>0.25</v>
      </c>
    </row>
    <row r="524358" spans="1:6" ht="16">
      <c r="A524358" s="347" t="s">
        <v>855</v>
      </c>
      <c r="B524358" s="154" t="s">
        <v>687</v>
      </c>
      <c r="C524358" s="277">
        <v>9.5882201472833571E-3</v>
      </c>
      <c r="D524358" s="349">
        <f t="shared" ref="D524358:D524421" si="33">$B$1+E524358</f>
        <v>0.10387160629364336</v>
      </c>
      <c r="E524358" s="277">
        <v>5.8871606293643367E-2</v>
      </c>
      <c r="F524358" s="277">
        <v>0.24707349543413576</v>
      </c>
    </row>
    <row r="524359" spans="1:6" ht="16">
      <c r="A524359" s="347" t="s">
        <v>283</v>
      </c>
      <c r="B524359" s="348" t="s">
        <v>589</v>
      </c>
      <c r="C524359" s="349">
        <v>2.7273515373171343E-2</v>
      </c>
      <c r="D524359" s="349">
        <f t="shared" si="33"/>
        <v>8.161304671092226E-2</v>
      </c>
      <c r="E524359" s="349">
        <v>3.6613046710922262E-2</v>
      </c>
      <c r="F524359" s="349">
        <v>0.22</v>
      </c>
    </row>
    <row r="524360" spans="1:6" ht="16">
      <c r="A524360" s="347" t="s">
        <v>856</v>
      </c>
      <c r="B524360" s="154" t="s">
        <v>687</v>
      </c>
      <c r="C524360" s="277">
        <f>J524360</f>
        <v>0</v>
      </c>
      <c r="D524360" s="349">
        <f t="shared" si="33"/>
        <v>4.4999999999999998E-2</v>
      </c>
      <c r="E524360" s="277">
        <f>H524360</f>
        <v>0</v>
      </c>
      <c r="F524360" s="277">
        <f>K524360</f>
        <v>0</v>
      </c>
    </row>
    <row r="524361" spans="1:6" ht="16">
      <c r="A524361" s="347" t="s">
        <v>284</v>
      </c>
      <c r="B524361" s="348" t="s">
        <v>589</v>
      </c>
      <c r="C524361" s="349">
        <v>2.7273515373171343E-2</v>
      </c>
      <c r="D524361" s="349">
        <f t="shared" si="33"/>
        <v>8.161304671092226E-2</v>
      </c>
      <c r="E524361" s="349">
        <v>3.6613046710922262E-2</v>
      </c>
      <c r="F524361" s="349">
        <v>0.25</v>
      </c>
    </row>
    <row r="524362" spans="1:6" ht="16">
      <c r="A524362" s="347" t="s">
        <v>690</v>
      </c>
      <c r="B524362" s="348" t="s">
        <v>585</v>
      </c>
      <c r="C524362" s="349">
        <v>7.6826803868088279E-3</v>
      </c>
      <c r="D524362" s="349">
        <f t="shared" si="33"/>
        <v>5.5313534284766833E-2</v>
      </c>
      <c r="E524362" s="349">
        <v>1.0313534284766834E-2</v>
      </c>
      <c r="F524362" s="349">
        <v>0</v>
      </c>
    </row>
    <row r="524363" spans="1:6" ht="16">
      <c r="A524363" s="351" t="s">
        <v>590</v>
      </c>
      <c r="B524363" s="348" t="s">
        <v>687</v>
      </c>
      <c r="C524363" s="349">
        <v>9.8082219604926024E-2</v>
      </c>
      <c r="D524363" s="349">
        <f t="shared" si="33"/>
        <v>0.17666945436885656</v>
      </c>
      <c r="E524363" s="349">
        <v>0.13166945436885658</v>
      </c>
      <c r="F524363" s="349">
        <v>0.29149999999999998</v>
      </c>
    </row>
    <row r="524364" spans="1:6" ht="16">
      <c r="A524364" s="350" t="s">
        <v>591</v>
      </c>
      <c r="B524364" s="348" t="s">
        <v>687</v>
      </c>
      <c r="C524364" s="349">
        <v>5.9924907017108842E-2</v>
      </c>
      <c r="D524364" s="349">
        <f t="shared" si="33"/>
        <v>0.12544556742118129</v>
      </c>
      <c r="E524364" s="349">
        <v>8.0445567421181294E-2</v>
      </c>
      <c r="F524364" s="349">
        <v>0.29149999999999998</v>
      </c>
    </row>
    <row r="524365" spans="1:6" ht="16">
      <c r="A524365" s="351" t="s">
        <v>592</v>
      </c>
      <c r="B524365" s="348" t="s">
        <v>687</v>
      </c>
      <c r="C524365" s="349">
        <v>1.7414075543433345E-2</v>
      </c>
      <c r="D524365" s="349">
        <f t="shared" si="33"/>
        <v>6.8377344378804827E-2</v>
      </c>
      <c r="E524365" s="349">
        <v>2.3377344378804829E-2</v>
      </c>
      <c r="F524365" s="349">
        <v>0.18640000000000001</v>
      </c>
    </row>
    <row r="524366" spans="1:6" ht="16">
      <c r="A524366" s="350" t="s">
        <v>593</v>
      </c>
      <c r="B524366" s="348" t="s">
        <v>687</v>
      </c>
      <c r="C524366" s="349">
        <v>0.10896601681957191</v>
      </c>
      <c r="D524366" s="349">
        <f t="shared" si="33"/>
        <v>0.19128029460560964</v>
      </c>
      <c r="E524366" s="349">
        <v>0.14628029460560965</v>
      </c>
      <c r="F524366" s="349">
        <v>0.18640000000000001</v>
      </c>
    </row>
    <row r="524367" spans="1:6" ht="16">
      <c r="A524367" s="347" t="s">
        <v>285</v>
      </c>
      <c r="B524367" s="348" t="s">
        <v>569</v>
      </c>
      <c r="C524367" s="349">
        <v>4.9041109802463012E-2</v>
      </c>
      <c r="D524367" s="349">
        <f t="shared" si="33"/>
        <v>0.11083472718442829</v>
      </c>
      <c r="E524367" s="349">
        <v>6.5834727184428288E-2</v>
      </c>
      <c r="F524367" s="349">
        <v>0.25</v>
      </c>
    </row>
    <row r="524368" spans="1:6" ht="16">
      <c r="A524368" s="347" t="s">
        <v>286</v>
      </c>
      <c r="B524368" s="348" t="s">
        <v>580</v>
      </c>
      <c r="C524368" s="349">
        <v>6.5302783287875029E-3</v>
      </c>
      <c r="D524368" s="349">
        <f t="shared" si="33"/>
        <v>5.3766504142051808E-2</v>
      </c>
      <c r="E524368" s="349">
        <v>8.7665041420518092E-3</v>
      </c>
      <c r="F524368" s="349">
        <v>0.16500000000000001</v>
      </c>
    </row>
    <row r="524369" spans="1:6" ht="16">
      <c r="A524369" s="347" t="s">
        <v>287</v>
      </c>
      <c r="B524369" s="348" t="s">
        <v>571</v>
      </c>
      <c r="C524369" s="349">
        <v>2.0743237044383835E-2</v>
      </c>
      <c r="D524369" s="349">
        <f t="shared" si="33"/>
        <v>7.2846542568870451E-2</v>
      </c>
      <c r="E524369" s="349">
        <v>2.7846542568870453E-2</v>
      </c>
      <c r="F524369" s="349">
        <v>0.09</v>
      </c>
    </row>
    <row r="524370" spans="1:6" ht="16">
      <c r="A524370" s="347" t="s">
        <v>288</v>
      </c>
      <c r="B524370" s="348" t="s">
        <v>583</v>
      </c>
      <c r="C524370" s="349">
        <v>9.2192164641705932E-3</v>
      </c>
      <c r="D524370" s="349">
        <f t="shared" si="33"/>
        <v>5.73762411417202E-2</v>
      </c>
      <c r="E524370" s="349">
        <v>1.2376241141720201E-2</v>
      </c>
      <c r="F524370" s="349">
        <v>0.2</v>
      </c>
    </row>
    <row r="524371" spans="1:6" ht="16">
      <c r="A524371" s="347" t="s">
        <v>289</v>
      </c>
      <c r="B524371" s="348" t="s">
        <v>577</v>
      </c>
      <c r="C524371" s="349">
        <v>2.3944353872220846E-2</v>
      </c>
      <c r="D524371" s="349">
        <f t="shared" si="33"/>
        <v>7.7143848520856623E-2</v>
      </c>
      <c r="E524371" s="349">
        <v>3.2143848520856624E-2</v>
      </c>
      <c r="F524371" s="349">
        <v>0.3</v>
      </c>
    </row>
    <row r="524372" spans="1:6" ht="16">
      <c r="A524372" s="347" t="s">
        <v>290</v>
      </c>
      <c r="B524372" s="348" t="s">
        <v>571</v>
      </c>
      <c r="C524372" s="349">
        <v>2.0743237044383835E-2</v>
      </c>
      <c r="D524372" s="349">
        <f t="shared" si="33"/>
        <v>7.2846542568870451E-2</v>
      </c>
      <c r="E524372" s="349">
        <v>2.7846542568870453E-2</v>
      </c>
      <c r="F524372" s="349">
        <v>0.22</v>
      </c>
    </row>
    <row r="524373" spans="1:6" ht="16">
      <c r="A524373" s="351" t="s">
        <v>594</v>
      </c>
      <c r="B524373" s="348" t="s">
        <v>687</v>
      </c>
      <c r="C524373" s="349">
        <v>7.0808704231754685E-2</v>
      </c>
      <c r="D524373" s="349">
        <f t="shared" si="33"/>
        <v>0.14005640765793431</v>
      </c>
      <c r="E524373" s="349">
        <v>9.5056407657934314E-2</v>
      </c>
      <c r="F524373" s="349">
        <v>0.20230000000000001</v>
      </c>
    </row>
    <row r="524374" spans="1:6" ht="16">
      <c r="A524374" s="347" t="s">
        <v>559</v>
      </c>
      <c r="B524374" s="348" t="s">
        <v>579</v>
      </c>
      <c r="C524374" s="349">
        <v>8.1692501446400528E-2</v>
      </c>
      <c r="D524374" s="349">
        <f t="shared" si="33"/>
        <v>0.15466724789468733</v>
      </c>
      <c r="E524374" s="349">
        <v>0.10966724789468733</v>
      </c>
      <c r="F524374" s="349">
        <v>0.15</v>
      </c>
    </row>
    <row r="524375" spans="1:6" ht="16">
      <c r="A524375" s="347" t="s">
        <v>291</v>
      </c>
      <c r="B524375" s="348" t="s">
        <v>580</v>
      </c>
      <c r="C524375" s="349">
        <v>6.5302783287875029E-3</v>
      </c>
      <c r="D524375" s="349">
        <f t="shared" si="33"/>
        <v>5.3766504142051808E-2</v>
      </c>
      <c r="E524375" s="349">
        <v>8.7665041420518092E-3</v>
      </c>
      <c r="F524375" s="349">
        <v>0.125</v>
      </c>
    </row>
    <row r="524376" spans="1:6" ht="16">
      <c r="A524376" s="347" t="s">
        <v>292</v>
      </c>
      <c r="B524376" s="348" t="s">
        <v>580</v>
      </c>
      <c r="C524376" s="349">
        <v>6.5302783287875029E-3</v>
      </c>
      <c r="D524376" s="349">
        <f t="shared" si="33"/>
        <v>5.3766504142051808E-2</v>
      </c>
      <c r="E524376" s="349">
        <v>8.7665041420518092E-3</v>
      </c>
      <c r="F524376" s="349">
        <v>0</v>
      </c>
    </row>
    <row r="524377" spans="1:6" ht="16">
      <c r="A524377" s="347" t="s">
        <v>293</v>
      </c>
      <c r="B524377" s="348" t="s">
        <v>585</v>
      </c>
      <c r="C524377" s="349">
        <v>7.6826803868088279E-3</v>
      </c>
      <c r="D524377" s="349">
        <f t="shared" si="33"/>
        <v>5.5313534284766833E-2</v>
      </c>
      <c r="E524377" s="349">
        <v>1.0313534284766834E-2</v>
      </c>
      <c r="F524377" s="349">
        <v>0.23</v>
      </c>
    </row>
    <row r="524378" spans="1:6" ht="16">
      <c r="A524378" s="347" t="s">
        <v>294</v>
      </c>
      <c r="B524378" s="348" t="s">
        <v>577</v>
      </c>
      <c r="C524378" s="349">
        <v>2.3944353872220846E-2</v>
      </c>
      <c r="D524378" s="349">
        <f t="shared" si="33"/>
        <v>7.7143848520856623E-2</v>
      </c>
      <c r="E524378" s="349">
        <v>3.2143848520856624E-2</v>
      </c>
      <c r="F524378" s="349">
        <v>0.24</v>
      </c>
    </row>
    <row r="524379" spans="1:6" ht="16">
      <c r="A524379" s="347" t="s">
        <v>857</v>
      </c>
      <c r="B524379" s="348" t="s">
        <v>578</v>
      </c>
      <c r="C524379" s="349">
        <v>3.9181669972725021E-2</v>
      </c>
      <c r="D524379" s="349">
        <f t="shared" si="33"/>
        <v>9.7599024852310853E-2</v>
      </c>
      <c r="E524379" s="349">
        <v>5.2599024852310855E-2</v>
      </c>
      <c r="F524379" s="349">
        <v>0.25</v>
      </c>
    </row>
    <row r="524380" spans="1:6" ht="16">
      <c r="A524380" s="347" t="s">
        <v>295</v>
      </c>
      <c r="B524380" s="348" t="s">
        <v>569</v>
      </c>
      <c r="C524380" s="349">
        <v>4.9041109802463012E-2</v>
      </c>
      <c r="D524380" s="349">
        <f t="shared" si="33"/>
        <v>0.11083472718442829</v>
      </c>
      <c r="E524380" s="349">
        <v>6.5834727184428288E-2</v>
      </c>
      <c r="F524380" s="349">
        <v>0.25</v>
      </c>
    </row>
    <row r="524381" spans="1:6" ht="16">
      <c r="A524381" s="347" t="s">
        <v>296</v>
      </c>
      <c r="B524381" s="348" t="s">
        <v>585</v>
      </c>
      <c r="C524381" s="349">
        <v>7.6826803868088279E-3</v>
      </c>
      <c r="D524381" s="349">
        <f t="shared" si="33"/>
        <v>5.5313534284766833E-2</v>
      </c>
      <c r="E524381" s="349">
        <v>1.0313534284766834E-2</v>
      </c>
      <c r="F524381" s="349">
        <v>0.30620000000000003</v>
      </c>
    </row>
    <row r="524382" spans="1:6" ht="16">
      <c r="A524382" s="347" t="s">
        <v>691</v>
      </c>
      <c r="B524382" s="348" t="s">
        <v>580</v>
      </c>
      <c r="C524382" s="349">
        <v>6.5302783287875029E-3</v>
      </c>
      <c r="D524382" s="349">
        <f t="shared" si="33"/>
        <v>5.3766504142051808E-2</v>
      </c>
      <c r="E524382" s="349">
        <v>8.7665041420518092E-3</v>
      </c>
      <c r="F524382" s="349">
        <v>0</v>
      </c>
    </row>
    <row r="524383" spans="1:6" ht="16">
      <c r="A524383" s="347" t="s">
        <v>297</v>
      </c>
      <c r="B524383" s="348" t="s">
        <v>569</v>
      </c>
      <c r="C524383" s="349">
        <v>4.9041109802463012E-2</v>
      </c>
      <c r="D524383" s="349">
        <f t="shared" si="33"/>
        <v>0.11083472718442829</v>
      </c>
      <c r="E524383" s="349">
        <v>6.5834727184428288E-2</v>
      </c>
      <c r="F524383" s="349">
        <v>0.2</v>
      </c>
    </row>
    <row r="524384" spans="1:6" ht="16">
      <c r="A524384" s="347" t="s">
        <v>298</v>
      </c>
      <c r="B524384" s="348" t="s">
        <v>571</v>
      </c>
      <c r="C524384" s="349">
        <v>2.0743237044383835E-2</v>
      </c>
      <c r="D524384" s="349">
        <f t="shared" si="33"/>
        <v>7.2846542568870451E-2</v>
      </c>
      <c r="E524384" s="349">
        <v>2.7846542568870453E-2</v>
      </c>
      <c r="F524384" s="349">
        <v>0.2</v>
      </c>
    </row>
    <row r="524385" spans="1:6" ht="16">
      <c r="A524385" s="347" t="s">
        <v>429</v>
      </c>
      <c r="B524385" s="348" t="s">
        <v>581</v>
      </c>
      <c r="C524385" s="349">
        <v>7.0808704231754685E-2</v>
      </c>
      <c r="D524385" s="349">
        <f t="shared" si="33"/>
        <v>0.14005640765793431</v>
      </c>
      <c r="E524385" s="349">
        <v>9.5056407657934314E-2</v>
      </c>
      <c r="F524385" s="349">
        <v>0.3</v>
      </c>
    </row>
    <row r="524386" spans="1:6" ht="16">
      <c r="A524386" s="350" t="s">
        <v>595</v>
      </c>
      <c r="B524386" s="348" t="s">
        <v>687</v>
      </c>
      <c r="C524386" s="349">
        <v>0.17499999999999999</v>
      </c>
      <c r="D524386" s="349">
        <f t="shared" si="33"/>
        <v>0.27992692770782934</v>
      </c>
      <c r="E524386" s="349">
        <v>0.23492692770782936</v>
      </c>
      <c r="F524386" s="349">
        <v>0.23100000000000001</v>
      </c>
    </row>
    <row r="524387" spans="1:6" ht="16">
      <c r="A524387" s="347" t="s">
        <v>299</v>
      </c>
      <c r="B524387" s="348" t="s">
        <v>585</v>
      </c>
      <c r="C524387" s="349">
        <v>7.6826803868088279E-3</v>
      </c>
      <c r="D524387" s="349">
        <f t="shared" si="33"/>
        <v>5.5313534284766833E-2</v>
      </c>
      <c r="E524387" s="349">
        <v>1.0313534284766834E-2</v>
      </c>
      <c r="F524387" s="349">
        <v>0.15</v>
      </c>
    </row>
    <row r="524388" spans="1:6" ht="16">
      <c r="A524388" s="347" t="s">
        <v>488</v>
      </c>
      <c r="B524388" s="348" t="s">
        <v>581</v>
      </c>
      <c r="C524388" s="349">
        <v>7.0808704231754685E-2</v>
      </c>
      <c r="D524388" s="349">
        <f t="shared" si="33"/>
        <v>0.14005640765793431</v>
      </c>
      <c r="E524388" s="349">
        <v>9.5056407657934314E-2</v>
      </c>
      <c r="F524388" s="349">
        <v>0.1</v>
      </c>
    </row>
    <row r="524389" spans="1:6" ht="16">
      <c r="A524389" s="347" t="s">
        <v>622</v>
      </c>
      <c r="B524389" s="348" t="s">
        <v>689</v>
      </c>
      <c r="C524389" s="349">
        <v>0.10896601681957188</v>
      </c>
      <c r="D524389" s="349">
        <f t="shared" si="33"/>
        <v>0.19128029460560964</v>
      </c>
      <c r="E524389" s="349">
        <v>0.14628029460560965</v>
      </c>
      <c r="F524389" s="349">
        <v>0.26860000000000001</v>
      </c>
    </row>
    <row r="524390" spans="1:6" ht="16">
      <c r="A524390" s="347" t="s">
        <v>300</v>
      </c>
      <c r="B524390" s="348" t="s">
        <v>587</v>
      </c>
      <c r="C524390" s="349">
        <v>1.3060556657575006E-2</v>
      </c>
      <c r="D524390" s="349">
        <f t="shared" si="33"/>
        <v>6.2533008284103617E-2</v>
      </c>
      <c r="E524390" s="349">
        <v>1.7533008284103618E-2</v>
      </c>
      <c r="F524390" s="349">
        <v>0.2</v>
      </c>
    </row>
    <row r="524391" spans="1:6" ht="16">
      <c r="A524391" s="347" t="s">
        <v>366</v>
      </c>
      <c r="B524391" s="348" t="s">
        <v>615</v>
      </c>
      <c r="C524391" s="349">
        <v>0.17499999999999999</v>
      </c>
      <c r="D524391" s="349">
        <f t="shared" si="33"/>
        <v>0.27992692770782934</v>
      </c>
      <c r="E524391" s="349">
        <v>0.23492692770782936</v>
      </c>
      <c r="F524391" s="349">
        <v>0.17</v>
      </c>
    </row>
    <row r="524392" spans="1:6" ht="16">
      <c r="A524392" s="351" t="s">
        <v>596</v>
      </c>
      <c r="B524392" s="348" t="s">
        <v>687</v>
      </c>
      <c r="C524392" s="349">
        <v>0.13073361124886354</v>
      </c>
      <c r="D524392" s="349">
        <f t="shared" si="33"/>
        <v>0.22050197507911562</v>
      </c>
      <c r="E524392" s="349">
        <v>0.17550197507911564</v>
      </c>
      <c r="F524392" s="349">
        <v>0.29149999999999998</v>
      </c>
    </row>
    <row r="524393" spans="1:6" ht="16">
      <c r="A524393" s="350" t="s">
        <v>597</v>
      </c>
      <c r="B524393" s="348" t="s">
        <v>687</v>
      </c>
      <c r="C524393" s="349">
        <v>2.0743237044383835E-2</v>
      </c>
      <c r="D524393" s="349">
        <f t="shared" si="33"/>
        <v>7.2846542568870451E-2</v>
      </c>
      <c r="E524393" s="349">
        <v>2.7846542568870453E-2</v>
      </c>
      <c r="F524393" s="349">
        <v>0.2</v>
      </c>
    </row>
    <row r="524394" spans="1:6" ht="16">
      <c r="A524394" s="347" t="s">
        <v>301</v>
      </c>
      <c r="B524394" s="348" t="s">
        <v>574</v>
      </c>
      <c r="C524394" s="349">
        <v>0</v>
      </c>
      <c r="D524394" s="349">
        <f t="shared" si="33"/>
        <v>4.4999999999999998E-2</v>
      </c>
      <c r="E524394" s="349">
        <v>0</v>
      </c>
      <c r="F524394" s="349">
        <v>0.125</v>
      </c>
    </row>
    <row r="524395" spans="1:6" ht="16">
      <c r="A524395" s="347" t="s">
        <v>302</v>
      </c>
      <c r="B524395" s="348" t="s">
        <v>583</v>
      </c>
      <c r="C524395" s="349">
        <v>9.2192164641705932E-3</v>
      </c>
      <c r="D524395" s="349">
        <f t="shared" si="33"/>
        <v>5.73762411417202E-2</v>
      </c>
      <c r="E524395" s="349">
        <v>1.2376241141720201E-2</v>
      </c>
      <c r="F524395" s="349">
        <v>0.15</v>
      </c>
    </row>
    <row r="524396" spans="1:6" ht="16">
      <c r="A524396" s="347" t="s">
        <v>303</v>
      </c>
      <c r="B524396" s="348" t="s">
        <v>574</v>
      </c>
      <c r="C524396" s="349">
        <v>0</v>
      </c>
      <c r="D524396" s="349">
        <f t="shared" si="33"/>
        <v>4.4999999999999998E-2</v>
      </c>
      <c r="E524396" s="349">
        <v>0</v>
      </c>
      <c r="F524396" s="349">
        <v>0.24940000000000001</v>
      </c>
    </row>
    <row r="524397" spans="1:6" ht="16">
      <c r="A524397" s="347" t="s">
        <v>858</v>
      </c>
      <c r="B524397" s="348" t="s">
        <v>580</v>
      </c>
      <c r="C524397" s="349">
        <v>6.5302783287875029E-3</v>
      </c>
      <c r="D524397" s="349">
        <f t="shared" si="33"/>
        <v>5.3766504142051808E-2</v>
      </c>
      <c r="E524397" s="349">
        <v>8.7665041420518092E-3</v>
      </c>
      <c r="F524397" s="349">
        <v>0.26860000000000001</v>
      </c>
    </row>
    <row r="524398" spans="1:6" ht="16">
      <c r="A524398" s="347" t="s">
        <v>304</v>
      </c>
      <c r="B524398" s="348" t="s">
        <v>578</v>
      </c>
      <c r="C524398" s="349">
        <v>3.9181669972725021E-2</v>
      </c>
      <c r="D524398" s="349">
        <f t="shared" si="33"/>
        <v>9.7599024852310853E-2</v>
      </c>
      <c r="E524398" s="349">
        <v>5.2599024852310855E-2</v>
      </c>
      <c r="F524398" s="349">
        <v>0.1</v>
      </c>
    </row>
    <row r="524399" spans="1:6" ht="16">
      <c r="A524399" s="351" t="s">
        <v>598</v>
      </c>
      <c r="B524399" s="348" t="s">
        <v>687</v>
      </c>
      <c r="C524399" s="349">
        <v>7.0808704231754685E-2</v>
      </c>
      <c r="D524399" s="349">
        <f t="shared" si="33"/>
        <v>0.14005640765793431</v>
      </c>
      <c r="E524399" s="349">
        <v>9.5056407657934314E-2</v>
      </c>
      <c r="F524399" s="349">
        <v>0.2</v>
      </c>
    </row>
    <row r="524400" spans="1:6" ht="16">
      <c r="A524400" s="350" t="s">
        <v>599</v>
      </c>
      <c r="B524400" s="348" t="s">
        <v>687</v>
      </c>
      <c r="C524400" s="349">
        <v>0.13073361124886354</v>
      </c>
      <c r="D524400" s="349">
        <f t="shared" si="33"/>
        <v>0.22050197507911562</v>
      </c>
      <c r="E524400" s="349">
        <v>0.17550197507911564</v>
      </c>
      <c r="F524400" s="349">
        <v>0.3</v>
      </c>
    </row>
    <row r="524401" spans="1:6" ht="16">
      <c r="A524401" s="347" t="s">
        <v>305</v>
      </c>
      <c r="B524401" s="348" t="s">
        <v>587</v>
      </c>
      <c r="C524401" s="349">
        <v>1.3060556657575006E-2</v>
      </c>
      <c r="D524401" s="349">
        <f t="shared" si="33"/>
        <v>6.2533008284103617E-2</v>
      </c>
      <c r="E524401" s="349">
        <v>1.7533008284103618E-2</v>
      </c>
      <c r="F524401" s="349">
        <v>0.24</v>
      </c>
    </row>
    <row r="524402" spans="1:6" ht="16">
      <c r="A524402" s="347" t="s">
        <v>692</v>
      </c>
      <c r="B524402" s="348" t="s">
        <v>579</v>
      </c>
      <c r="C524402" s="349">
        <v>8.1692501446400528E-2</v>
      </c>
      <c r="D524402" s="349">
        <f t="shared" si="33"/>
        <v>0.15466724789468733</v>
      </c>
      <c r="E524402" s="349">
        <v>0.10966724789468733</v>
      </c>
      <c r="F524402" s="349">
        <v>0.26860000000000001</v>
      </c>
    </row>
    <row r="524403" spans="1:6" ht="16">
      <c r="A524403" s="347" t="s">
        <v>600</v>
      </c>
      <c r="B524403" s="348" t="s">
        <v>586</v>
      </c>
      <c r="C524403" s="349">
        <v>9.8082219604926024E-2</v>
      </c>
      <c r="D524403" s="349">
        <f t="shared" si="33"/>
        <v>0.17666945436885656</v>
      </c>
      <c r="E524403" s="349">
        <v>0.13166945436885658</v>
      </c>
      <c r="F524403" s="349">
        <v>0.26860000000000001</v>
      </c>
    </row>
    <row r="524404" spans="1:6" ht="16">
      <c r="A524404" s="347" t="s">
        <v>306</v>
      </c>
      <c r="B524404" s="348" t="s">
        <v>583</v>
      </c>
      <c r="C524404" s="349">
        <v>9.2192164641705932E-3</v>
      </c>
      <c r="D524404" s="349">
        <f t="shared" si="33"/>
        <v>5.73762411417202E-2</v>
      </c>
      <c r="E524404" s="349">
        <v>1.2376241141720201E-2</v>
      </c>
      <c r="F524404" s="349">
        <v>0.35</v>
      </c>
    </row>
    <row r="524405" spans="1:6" ht="16">
      <c r="A524405" s="347" t="s">
        <v>859</v>
      </c>
      <c r="B524405" s="154" t="s">
        <v>687</v>
      </c>
      <c r="C524405" s="277">
        <f>J524405</f>
        <v>0</v>
      </c>
      <c r="D524405" s="349">
        <f t="shared" si="33"/>
        <v>4.4999999999999998E-2</v>
      </c>
      <c r="E524405" s="277">
        <f>H524405</f>
        <v>0</v>
      </c>
      <c r="F524405" s="277">
        <f>K524405</f>
        <v>0</v>
      </c>
    </row>
    <row r="524406" spans="1:6" ht="16">
      <c r="A524406" s="347" t="s">
        <v>307</v>
      </c>
      <c r="B524406" s="348" t="s">
        <v>577</v>
      </c>
      <c r="C524406" s="349">
        <v>2.3944353872220846E-2</v>
      </c>
      <c r="D524406" s="349">
        <f t="shared" si="33"/>
        <v>7.7143848520856623E-2</v>
      </c>
      <c r="E524406" s="349">
        <v>3.2143848520856624E-2</v>
      </c>
      <c r="F524406" s="349">
        <v>0.15</v>
      </c>
    </row>
    <row r="524407" spans="1:6" ht="16">
      <c r="A524407" s="347" t="s">
        <v>308</v>
      </c>
      <c r="B524407" s="348" t="s">
        <v>571</v>
      </c>
      <c r="C524407" s="349">
        <v>2.0743237044383835E-2</v>
      </c>
      <c r="D524407" s="349">
        <f t="shared" si="33"/>
        <v>7.2846542568870451E-2</v>
      </c>
      <c r="E524407" s="349">
        <v>2.7846542568870453E-2</v>
      </c>
      <c r="F524407" s="349">
        <v>0.3</v>
      </c>
    </row>
    <row r="524408" spans="1:6" ht="16">
      <c r="A524408" s="347" t="s">
        <v>860</v>
      </c>
      <c r="B524408" s="154" t="s">
        <v>687</v>
      </c>
      <c r="C524408" s="277">
        <v>9.5882201472833571E-3</v>
      </c>
      <c r="D524408" s="349">
        <f t="shared" si="33"/>
        <v>0.10387160629364336</v>
      </c>
      <c r="E524408" s="277">
        <v>5.8871606293643367E-2</v>
      </c>
      <c r="F524408" s="277">
        <v>0.24707349543413576</v>
      </c>
    </row>
    <row r="524409" spans="1:6" ht="16">
      <c r="A524409" s="347" t="s">
        <v>367</v>
      </c>
      <c r="B524409" s="348" t="s">
        <v>581</v>
      </c>
      <c r="C524409" s="349">
        <v>7.0808704231754685E-2</v>
      </c>
      <c r="D524409" s="349">
        <f t="shared" si="33"/>
        <v>0.14005640765793431</v>
      </c>
      <c r="E524409" s="349">
        <v>9.5056407657934314E-2</v>
      </c>
      <c r="F524409" s="349">
        <v>0.12</v>
      </c>
    </row>
    <row r="524410" spans="1:6" ht="16">
      <c r="A524410" s="347" t="s">
        <v>368</v>
      </c>
      <c r="B524410" s="348" t="s">
        <v>581</v>
      </c>
      <c r="C524410" s="349">
        <v>7.0808704231754685E-2</v>
      </c>
      <c r="D524410" s="349">
        <f t="shared" si="33"/>
        <v>0.14005640765793431</v>
      </c>
      <c r="E524410" s="349">
        <v>9.5056407657934314E-2</v>
      </c>
      <c r="F524410" s="349">
        <v>0.25</v>
      </c>
    </row>
    <row r="524411" spans="1:6" ht="16">
      <c r="A524411" s="347" t="s">
        <v>309</v>
      </c>
      <c r="B524411" s="348" t="s">
        <v>569</v>
      </c>
      <c r="C524411" s="349">
        <v>4.9041109802463012E-2</v>
      </c>
      <c r="D524411" s="349">
        <f t="shared" si="33"/>
        <v>0.11083472718442829</v>
      </c>
      <c r="E524411" s="349">
        <v>6.5834727184428288E-2</v>
      </c>
      <c r="F524411" s="349">
        <v>0.15</v>
      </c>
    </row>
    <row r="524412" spans="1:6" ht="16">
      <c r="A524412" s="347" t="s">
        <v>489</v>
      </c>
      <c r="B524412" s="348" t="s">
        <v>577</v>
      </c>
      <c r="C524412" s="349">
        <v>2.3944353872220846E-2</v>
      </c>
      <c r="D524412" s="349">
        <f t="shared" si="33"/>
        <v>7.7143848520856623E-2</v>
      </c>
      <c r="E524412" s="349">
        <v>3.2143848520856624E-2</v>
      </c>
      <c r="F524412" s="349">
        <v>0.2853</v>
      </c>
    </row>
    <row r="524413" spans="1:6" ht="16">
      <c r="A524413" s="347" t="s">
        <v>369</v>
      </c>
      <c r="B524413" s="348" t="s">
        <v>589</v>
      </c>
      <c r="C524413" s="349">
        <v>2.7273515373171343E-2</v>
      </c>
      <c r="D524413" s="349">
        <f t="shared" si="33"/>
        <v>8.161304671092226E-2</v>
      </c>
      <c r="E524413" s="349">
        <v>3.6613046710922262E-2</v>
      </c>
      <c r="F524413" s="349">
        <v>0.32</v>
      </c>
    </row>
    <row r="524414" spans="1:6" ht="16">
      <c r="A524414" s="347" t="s">
        <v>310</v>
      </c>
      <c r="B524414" s="348" t="s">
        <v>586</v>
      </c>
      <c r="C524414" s="349">
        <v>9.8082219604926024E-2</v>
      </c>
      <c r="D524414" s="349">
        <f t="shared" si="33"/>
        <v>0.17666945436885656</v>
      </c>
      <c r="E524414" s="349">
        <v>0.13166945436885658</v>
      </c>
      <c r="F524414" s="349">
        <v>0.32</v>
      </c>
    </row>
    <row r="524415" spans="1:6" ht="16">
      <c r="A524415" s="351" t="s">
        <v>601</v>
      </c>
      <c r="B524415" s="348" t="s">
        <v>687</v>
      </c>
      <c r="C524415" s="349">
        <v>0.10896601681957191</v>
      </c>
      <c r="D524415" s="349">
        <f t="shared" si="33"/>
        <v>0.19128029460560964</v>
      </c>
      <c r="E524415" s="349">
        <v>0.14628029460560965</v>
      </c>
      <c r="F524415" s="349">
        <v>0.25</v>
      </c>
    </row>
    <row r="524416" spans="1:6" ht="16">
      <c r="A524416" s="347" t="s">
        <v>311</v>
      </c>
      <c r="B524416" s="348" t="s">
        <v>569</v>
      </c>
      <c r="C524416" s="349">
        <v>4.9041109802463012E-2</v>
      </c>
      <c r="D524416" s="349">
        <f t="shared" si="33"/>
        <v>0.11083472718442829</v>
      </c>
      <c r="E524416" s="349">
        <v>6.5834727184428288E-2</v>
      </c>
      <c r="F524416" s="349">
        <v>0.32</v>
      </c>
    </row>
    <row r="524417" spans="1:6" ht="16">
      <c r="A524417" s="347" t="s">
        <v>312</v>
      </c>
      <c r="B524417" s="348" t="s">
        <v>574</v>
      </c>
      <c r="C524417" s="349">
        <v>0</v>
      </c>
      <c r="D524417" s="349">
        <f t="shared" si="33"/>
        <v>4.4999999999999998E-2</v>
      </c>
      <c r="E524417" s="349">
        <v>0</v>
      </c>
      <c r="F524417" s="349">
        <v>0.25800000000000001</v>
      </c>
    </row>
    <row r="524418" spans="1:6" ht="16">
      <c r="A524418" s="347" t="s">
        <v>861</v>
      </c>
      <c r="B524418" s="154" t="s">
        <v>687</v>
      </c>
      <c r="C524418" s="277">
        <v>0.1054310997313879</v>
      </c>
      <c r="D524418" s="349">
        <f t="shared" si="33"/>
        <v>0.23253488197001548</v>
      </c>
      <c r="E524418" s="277">
        <v>0.1875348819700155</v>
      </c>
      <c r="F524418" s="277">
        <v>0.2724561140242252</v>
      </c>
    </row>
    <row r="524419" spans="1:6" ht="16">
      <c r="A524419" s="347" t="s">
        <v>313</v>
      </c>
      <c r="B524419" s="348" t="s">
        <v>574</v>
      </c>
      <c r="C524419" s="349">
        <v>0</v>
      </c>
      <c r="D524419" s="349">
        <f t="shared" si="33"/>
        <v>4.4999999999999998E-2</v>
      </c>
      <c r="E524419" s="349">
        <v>0</v>
      </c>
      <c r="F524419" s="349">
        <v>0.28000000000000003</v>
      </c>
    </row>
    <row r="524420" spans="1:6" ht="16">
      <c r="A524420" s="347" t="s">
        <v>370</v>
      </c>
      <c r="B524420" s="348" t="s">
        <v>581</v>
      </c>
      <c r="C524420" s="349">
        <v>7.0808704231754685E-2</v>
      </c>
      <c r="D524420" s="349">
        <f t="shared" si="33"/>
        <v>0.14005640765793431</v>
      </c>
      <c r="E524420" s="349">
        <v>9.5056407657934314E-2</v>
      </c>
      <c r="F524420" s="349">
        <v>0.3</v>
      </c>
    </row>
    <row r="524421" spans="1:6" ht="16">
      <c r="A524421" s="347" t="s">
        <v>602</v>
      </c>
      <c r="B524421" s="348" t="s">
        <v>586</v>
      </c>
      <c r="C524421" s="349">
        <v>9.8082219604926024E-2</v>
      </c>
      <c r="D524421" s="349">
        <f t="shared" si="33"/>
        <v>0.17666945436885656</v>
      </c>
      <c r="E524421" s="349">
        <v>0.13166945436885658</v>
      </c>
      <c r="F524421" s="349">
        <v>0.26860000000000001</v>
      </c>
    </row>
    <row r="524422" spans="1:6" ht="16">
      <c r="A524422" s="347" t="s">
        <v>314</v>
      </c>
      <c r="B524422" s="348" t="s">
        <v>579</v>
      </c>
      <c r="C524422" s="349">
        <v>8.1692501446400528E-2</v>
      </c>
      <c r="D524422" s="349">
        <f t="shared" ref="D524422:D524483" si="34">$B$1+E524422</f>
        <v>0.15466724789468733</v>
      </c>
      <c r="E524422" s="349">
        <v>0.10966724789468733</v>
      </c>
      <c r="F524422" s="349">
        <v>0.3</v>
      </c>
    </row>
    <row r="524423" spans="1:6" ht="16">
      <c r="A524423" s="347" t="s">
        <v>315</v>
      </c>
      <c r="B524423" s="348" t="s">
        <v>574</v>
      </c>
      <c r="C524423" s="349">
        <v>0</v>
      </c>
      <c r="D524423" s="349">
        <f t="shared" si="34"/>
        <v>4.4999999999999998E-2</v>
      </c>
      <c r="E524423" s="349">
        <v>0</v>
      </c>
      <c r="F524423" s="349">
        <v>0.22</v>
      </c>
    </row>
    <row r="524424" spans="1:6" ht="16">
      <c r="A524424" s="347" t="s">
        <v>316</v>
      </c>
      <c r="B524424" s="348" t="s">
        <v>589</v>
      </c>
      <c r="C524424" s="349">
        <v>2.7273515373171343E-2</v>
      </c>
      <c r="D524424" s="349">
        <f t="shared" si="34"/>
        <v>8.161304671092226E-2</v>
      </c>
      <c r="E524424" s="349">
        <v>3.6613046710922262E-2</v>
      </c>
      <c r="F524424" s="349">
        <v>0.15</v>
      </c>
    </row>
    <row r="524425" spans="1:6" ht="16">
      <c r="A524425" s="347" t="s">
        <v>317</v>
      </c>
      <c r="B524425" s="348" t="s">
        <v>689</v>
      </c>
      <c r="C524425" s="349">
        <v>0.10896601681957188</v>
      </c>
      <c r="D524425" s="349">
        <f t="shared" si="34"/>
        <v>0.19128029460560964</v>
      </c>
      <c r="E524425" s="349">
        <v>0.14628029460560965</v>
      </c>
      <c r="F524425" s="349">
        <v>0.28999999999999998</v>
      </c>
    </row>
    <row r="524426" spans="1:6" ht="16">
      <c r="A524426" s="347" t="s">
        <v>862</v>
      </c>
      <c r="B524426" s="154" t="s">
        <v>687</v>
      </c>
      <c r="C524426" s="277">
        <v>1.6082653627874467E-2</v>
      </c>
      <c r="D524426" s="349">
        <f t="shared" si="34"/>
        <v>0.11258999089248985</v>
      </c>
      <c r="E524426" s="277">
        <v>6.7589990892489848E-2</v>
      </c>
      <c r="F524426" s="277">
        <v>0.18760152153615242</v>
      </c>
    </row>
    <row r="524427" spans="1:6" ht="16">
      <c r="A524427" s="347" t="s">
        <v>318</v>
      </c>
      <c r="B524427" s="348" t="s">
        <v>571</v>
      </c>
      <c r="C524427" s="349">
        <v>2.0743237044383835E-2</v>
      </c>
      <c r="D524427" s="349">
        <f t="shared" si="34"/>
        <v>7.2846542568870451E-2</v>
      </c>
      <c r="E524427" s="349">
        <v>2.7846542568870453E-2</v>
      </c>
      <c r="F524427" s="349">
        <v>0.25</v>
      </c>
    </row>
    <row r="524428" spans="1:6" ht="16">
      <c r="A524428" s="347" t="s">
        <v>319</v>
      </c>
      <c r="B524428" s="348" t="s">
        <v>572</v>
      </c>
      <c r="C524428" s="349">
        <v>5.9924907017108855E-2</v>
      </c>
      <c r="D524428" s="349">
        <f t="shared" si="34"/>
        <v>0.12544556742118129</v>
      </c>
      <c r="E524428" s="349">
        <v>8.0445567421181294E-2</v>
      </c>
      <c r="F524428" s="349">
        <v>0.3</v>
      </c>
    </row>
    <row r="524429" spans="1:6" ht="16">
      <c r="A524429" s="347" t="s">
        <v>320</v>
      </c>
      <c r="B524429" s="348" t="s">
        <v>589</v>
      </c>
      <c r="C524429" s="349">
        <v>2.7273515373171343E-2</v>
      </c>
      <c r="D524429" s="349">
        <f t="shared" si="34"/>
        <v>8.161304671092226E-2</v>
      </c>
      <c r="E524429" s="349">
        <v>3.6613046710922262E-2</v>
      </c>
      <c r="F524429" s="349">
        <v>0.1</v>
      </c>
    </row>
    <row r="524430" spans="1:6" ht="16">
      <c r="A524430" s="347" t="s">
        <v>321</v>
      </c>
      <c r="B524430" s="348" t="s">
        <v>573</v>
      </c>
      <c r="C524430" s="349">
        <v>1.7414075543433341E-2</v>
      </c>
      <c r="D524430" s="349">
        <f t="shared" si="34"/>
        <v>6.8377344378804827E-2</v>
      </c>
      <c r="E524430" s="349">
        <v>2.3377344378804829E-2</v>
      </c>
      <c r="F524430" s="349">
        <v>0.29499999999999998</v>
      </c>
    </row>
    <row r="524431" spans="1:6" ht="16">
      <c r="A524431" s="347" t="s">
        <v>322</v>
      </c>
      <c r="B524431" s="348" t="s">
        <v>571</v>
      </c>
      <c r="C524431" s="349">
        <v>2.0743237044383835E-2</v>
      </c>
      <c r="D524431" s="349">
        <f t="shared" si="34"/>
        <v>7.2846542568870451E-2</v>
      </c>
      <c r="E524431" s="349">
        <v>2.7846542568870453E-2</v>
      </c>
      <c r="F524431" s="349">
        <v>0.25</v>
      </c>
    </row>
    <row r="524432" spans="1:6" ht="16">
      <c r="A524432" s="347" t="s">
        <v>323</v>
      </c>
      <c r="B524432" s="348" t="s">
        <v>583</v>
      </c>
      <c r="C524432" s="349">
        <v>9.2192164641705932E-3</v>
      </c>
      <c r="D524432" s="349">
        <f t="shared" si="34"/>
        <v>5.73762411417202E-2</v>
      </c>
      <c r="E524432" s="349">
        <v>1.2376241141720201E-2</v>
      </c>
      <c r="F524432" s="349">
        <v>0.19</v>
      </c>
    </row>
    <row r="524433" spans="1:6" ht="16">
      <c r="A524433" s="347" t="s">
        <v>324</v>
      </c>
      <c r="B524433" s="348" t="s">
        <v>587</v>
      </c>
      <c r="C524433" s="349">
        <v>1.3060556657575006E-2</v>
      </c>
      <c r="D524433" s="349">
        <f t="shared" si="34"/>
        <v>6.2533008284103617E-2</v>
      </c>
      <c r="E524433" s="349">
        <v>1.7533008284103618E-2</v>
      </c>
      <c r="F524433" s="349">
        <v>0.21</v>
      </c>
    </row>
    <row r="524434" spans="1:6" ht="16">
      <c r="A524434" s="347" t="s">
        <v>325</v>
      </c>
      <c r="B524434" s="348" t="s">
        <v>580</v>
      </c>
      <c r="C524434" s="349">
        <v>6.5302783287875029E-3</v>
      </c>
      <c r="D524434" s="349">
        <f t="shared" si="34"/>
        <v>5.3766504142051808E-2</v>
      </c>
      <c r="E524434" s="349">
        <v>8.7665041420518092E-3</v>
      </c>
      <c r="F524434" s="349">
        <v>0.1</v>
      </c>
    </row>
    <row r="524435" spans="1:6" ht="16">
      <c r="A524435" s="347" t="s">
        <v>503</v>
      </c>
      <c r="B524435" s="348" t="s">
        <v>587</v>
      </c>
      <c r="C524435" s="349">
        <v>1.3060556657575006E-2</v>
      </c>
      <c r="D524435" s="349">
        <f t="shared" si="34"/>
        <v>6.2533008284103617E-2</v>
      </c>
      <c r="E524435" s="349">
        <v>1.7533008284103618E-2</v>
      </c>
      <c r="F524435" s="349">
        <v>0</v>
      </c>
    </row>
    <row r="524436" spans="1:6" ht="16">
      <c r="A524436" s="347" t="s">
        <v>863</v>
      </c>
      <c r="B524436" s="154" t="s">
        <v>687</v>
      </c>
      <c r="C524436" s="277">
        <v>1.2518555898193178E-2</v>
      </c>
      <c r="D524436" s="349">
        <f t="shared" si="34"/>
        <v>0.10780540500857855</v>
      </c>
      <c r="E524436" s="277">
        <v>6.2805405008578549E-2</v>
      </c>
      <c r="F524436" s="277">
        <v>0.2576437502455447</v>
      </c>
    </row>
    <row r="524437" spans="1:6" ht="16">
      <c r="A524437" s="347" t="s">
        <v>326</v>
      </c>
      <c r="B524437" s="348" t="s">
        <v>577</v>
      </c>
      <c r="C524437" s="349">
        <v>2.3944353872220846E-2</v>
      </c>
      <c r="D524437" s="349">
        <f t="shared" si="34"/>
        <v>7.7143848520856623E-2</v>
      </c>
      <c r="E524437" s="349">
        <v>3.2143848520856624E-2</v>
      </c>
      <c r="F524437" s="349">
        <v>0.16</v>
      </c>
    </row>
    <row r="524438" spans="1:6" ht="16">
      <c r="A524438" s="347" t="s">
        <v>327</v>
      </c>
      <c r="B524438" s="348" t="s">
        <v>687</v>
      </c>
      <c r="C524438" s="349">
        <v>4.9041109802463012E-2</v>
      </c>
      <c r="D524438" s="349">
        <f t="shared" si="34"/>
        <v>0.11083472718442829</v>
      </c>
      <c r="E524438" s="349">
        <v>6.5834727184428288E-2</v>
      </c>
      <c r="F524438" s="349">
        <v>0.25</v>
      </c>
    </row>
    <row r="524439" spans="1:6" ht="16">
      <c r="A524439" s="347" t="s">
        <v>490</v>
      </c>
      <c r="B524439" s="348" t="s">
        <v>572</v>
      </c>
      <c r="C524439" s="349">
        <v>5.9924907017108855E-2</v>
      </c>
      <c r="D524439" s="349">
        <f t="shared" si="34"/>
        <v>0.12544556742118129</v>
      </c>
      <c r="E524439" s="349">
        <v>8.0445567421181294E-2</v>
      </c>
      <c r="F524439" s="349">
        <v>0.3</v>
      </c>
    </row>
    <row r="524440" spans="1:6" ht="16">
      <c r="A524440" s="347" t="s">
        <v>864</v>
      </c>
      <c r="B524440" s="154" t="s">
        <v>687</v>
      </c>
      <c r="C524440" s="277">
        <v>0.1054310997313879</v>
      </c>
      <c r="D524440" s="349">
        <f t="shared" si="34"/>
        <v>0.23253488197001548</v>
      </c>
      <c r="E524440" s="277">
        <v>0.1875348819700155</v>
      </c>
      <c r="F524440" s="277">
        <v>0.2724561140242252</v>
      </c>
    </row>
    <row r="524441" spans="1:6" ht="16">
      <c r="A524441" s="347" t="s">
        <v>328</v>
      </c>
      <c r="B524441" s="348" t="s">
        <v>585</v>
      </c>
      <c r="C524441" s="349">
        <v>7.6826803868088279E-3</v>
      </c>
      <c r="D524441" s="349">
        <f t="shared" si="34"/>
        <v>5.5313534284766833E-2</v>
      </c>
      <c r="E524441" s="349">
        <v>1.0313534284766834E-2</v>
      </c>
      <c r="F524441" s="349">
        <v>0.2</v>
      </c>
    </row>
    <row r="524442" spans="1:6" ht="16">
      <c r="A524442" s="347" t="s">
        <v>371</v>
      </c>
      <c r="B524442" s="348" t="s">
        <v>578</v>
      </c>
      <c r="C524442" s="349">
        <v>3.9181669972725021E-2</v>
      </c>
      <c r="D524442" s="349">
        <f t="shared" si="34"/>
        <v>9.7599024852310853E-2</v>
      </c>
      <c r="E524442" s="349">
        <v>5.2599024852310855E-2</v>
      </c>
      <c r="F524442" s="349">
        <v>0.3</v>
      </c>
    </row>
    <row r="524443" spans="1:6" ht="16">
      <c r="A524443" s="347" t="s">
        <v>329</v>
      </c>
      <c r="B524443" s="348" t="s">
        <v>576</v>
      </c>
      <c r="C524443" s="349">
        <v>3.2779436317050999E-2</v>
      </c>
      <c r="D524443" s="349">
        <f t="shared" si="34"/>
        <v>8.9004412948338496E-2</v>
      </c>
      <c r="E524443" s="349">
        <v>4.4004412948338498E-2</v>
      </c>
      <c r="F524443" s="349">
        <v>0.15</v>
      </c>
    </row>
    <row r="524444" spans="1:6" ht="16">
      <c r="A524444" s="347" t="s">
        <v>504</v>
      </c>
      <c r="B524444" s="348" t="s">
        <v>589</v>
      </c>
      <c r="C524444" s="349">
        <v>2.7273515373171343E-2</v>
      </c>
      <c r="D524444" s="349">
        <f t="shared" si="34"/>
        <v>8.161304671092226E-2</v>
      </c>
      <c r="E524444" s="349">
        <v>3.6613046710922262E-2</v>
      </c>
      <c r="F524444" s="349">
        <v>0</v>
      </c>
    </row>
    <row r="524445" spans="1:6" ht="16">
      <c r="A524445" s="350" t="s">
        <v>603</v>
      </c>
      <c r="B524445" s="348" t="s">
        <v>687</v>
      </c>
      <c r="C524445" s="349">
        <v>0.10896601681957191</v>
      </c>
      <c r="D524445" s="349">
        <f t="shared" si="34"/>
        <v>0.19128029460560964</v>
      </c>
      <c r="E524445" s="349">
        <v>0.14628029460560965</v>
      </c>
      <c r="F524445" s="349">
        <v>0.3</v>
      </c>
    </row>
    <row r="524446" spans="1:6" ht="16">
      <c r="A524446" s="347" t="s">
        <v>330</v>
      </c>
      <c r="B524446" s="348" t="s">
        <v>574</v>
      </c>
      <c r="C524446" s="349">
        <v>0</v>
      </c>
      <c r="D524446" s="349">
        <f t="shared" si="34"/>
        <v>4.4999999999999998E-2</v>
      </c>
      <c r="E524446" s="349">
        <v>0</v>
      </c>
      <c r="F524446" s="349">
        <v>0.17</v>
      </c>
    </row>
    <row r="524447" spans="1:6" ht="16">
      <c r="A524447" s="347" t="s">
        <v>372</v>
      </c>
      <c r="B524447" s="348" t="s">
        <v>583</v>
      </c>
      <c r="C524447" s="349">
        <v>9.2192164641705932E-3</v>
      </c>
      <c r="D524447" s="349">
        <f t="shared" si="34"/>
        <v>5.73762411417202E-2</v>
      </c>
      <c r="E524447" s="349">
        <v>1.2376241141720201E-2</v>
      </c>
      <c r="F524447" s="349">
        <v>0.21</v>
      </c>
    </row>
    <row r="524448" spans="1:6" ht="16">
      <c r="A524448" s="347" t="s">
        <v>331</v>
      </c>
      <c r="B524448" s="348" t="s">
        <v>587</v>
      </c>
      <c r="C524448" s="349">
        <v>1.3060556657575006E-2</v>
      </c>
      <c r="D524448" s="349">
        <f t="shared" si="34"/>
        <v>6.2533008284103617E-2</v>
      </c>
      <c r="E524448" s="349">
        <v>1.7533008284103618E-2</v>
      </c>
      <c r="F524448" s="349">
        <v>0.19</v>
      </c>
    </row>
    <row r="524449" spans="1:6" ht="16">
      <c r="A524449" s="347" t="s">
        <v>604</v>
      </c>
      <c r="B524449" s="348" t="s">
        <v>579</v>
      </c>
      <c r="C524449" s="349">
        <v>8.1692501446400528E-2</v>
      </c>
      <c r="D524449" s="349">
        <f t="shared" si="34"/>
        <v>0.15466724789468733</v>
      </c>
      <c r="E524449" s="349">
        <v>0.10966724789468733</v>
      </c>
      <c r="F524449" s="349">
        <v>0.3</v>
      </c>
    </row>
    <row r="524450" spans="1:6" ht="16">
      <c r="A524450" s="351" t="s">
        <v>605</v>
      </c>
      <c r="B524450" s="348" t="s">
        <v>687</v>
      </c>
      <c r="C524450" s="349">
        <v>0.13073361124886354</v>
      </c>
      <c r="D524450" s="349">
        <f t="shared" si="34"/>
        <v>0.22050197507911562</v>
      </c>
      <c r="E524450" s="349">
        <v>0.17550197507911564</v>
      </c>
      <c r="F524450" s="349">
        <v>0.29149999999999998</v>
      </c>
    </row>
    <row r="524451" spans="1:6" ht="16">
      <c r="A524451" s="347" t="s">
        <v>332</v>
      </c>
      <c r="B524451" s="348" t="s">
        <v>576</v>
      </c>
      <c r="C524451" s="349">
        <v>3.2779436317050999E-2</v>
      </c>
      <c r="D524451" s="349">
        <f t="shared" si="34"/>
        <v>8.9004412948338496E-2</v>
      </c>
      <c r="E524451" s="349">
        <v>4.4004412948338498E-2</v>
      </c>
      <c r="F524451" s="349">
        <v>0.27</v>
      </c>
    </row>
    <row r="524452" spans="1:6" ht="16">
      <c r="A524452" s="347" t="s">
        <v>865</v>
      </c>
      <c r="B524452" s="348" t="s">
        <v>568</v>
      </c>
      <c r="C524452" s="349">
        <v>5.3778762707661788E-3</v>
      </c>
      <c r="D524452" s="349">
        <f t="shared" si="34"/>
        <v>5.2219473999336782E-2</v>
      </c>
      <c r="E524452" s="349">
        <v>7.219473999336784E-3</v>
      </c>
      <c r="F524452" s="349">
        <v>0.25</v>
      </c>
    </row>
    <row r="524453" spans="1:6" ht="16">
      <c r="A524453" s="347" t="s">
        <v>333</v>
      </c>
      <c r="B524453" s="348" t="s">
        <v>573</v>
      </c>
      <c r="C524453" s="349">
        <v>1.7414075543433341E-2</v>
      </c>
      <c r="D524453" s="349">
        <f t="shared" si="34"/>
        <v>6.8377344378804827E-2</v>
      </c>
      <c r="E524453" s="349">
        <v>2.3377344378804829E-2</v>
      </c>
      <c r="F524453" s="349">
        <v>0.25</v>
      </c>
    </row>
    <row r="524454" spans="1:6" ht="16">
      <c r="A524454" s="347" t="s">
        <v>334</v>
      </c>
      <c r="B524454" s="348" t="s">
        <v>688</v>
      </c>
      <c r="C524454" s="349">
        <v>0.13073361124886354</v>
      </c>
      <c r="D524454" s="349">
        <f t="shared" si="34"/>
        <v>0.22050197507911562</v>
      </c>
      <c r="E524454" s="349">
        <v>0.17550197507911564</v>
      </c>
      <c r="F524454" s="349">
        <v>0.24</v>
      </c>
    </row>
    <row r="524455" spans="1:6" ht="16">
      <c r="A524455" s="347" t="s">
        <v>430</v>
      </c>
      <c r="B524455" s="348" t="s">
        <v>576</v>
      </c>
      <c r="C524455" s="349">
        <v>3.2779436317050999E-2</v>
      </c>
      <c r="D524455" s="349">
        <f t="shared" si="34"/>
        <v>8.9004412948338496E-2</v>
      </c>
      <c r="E524455" s="349">
        <v>4.4004412948338498E-2</v>
      </c>
      <c r="F524455" s="349">
        <v>0.2853</v>
      </c>
    </row>
    <row r="524456" spans="1:6" ht="16">
      <c r="A524456" s="347" t="s">
        <v>373</v>
      </c>
      <c r="B524456" s="348" t="s">
        <v>581</v>
      </c>
      <c r="C524456" s="349">
        <v>7.0808704231754685E-2</v>
      </c>
      <c r="D524456" s="349">
        <f t="shared" si="34"/>
        <v>0.14005640765793431</v>
      </c>
      <c r="E524456" s="349">
        <v>9.5056407657934314E-2</v>
      </c>
      <c r="F524456" s="349">
        <v>0.2853</v>
      </c>
    </row>
    <row r="524457" spans="1:6" ht="16">
      <c r="A524457" s="350" t="s">
        <v>606</v>
      </c>
      <c r="B524457" s="348" t="s">
        <v>687</v>
      </c>
      <c r="C524457" s="349">
        <v>0.17499999999999999</v>
      </c>
      <c r="D524457" s="349">
        <f t="shared" si="34"/>
        <v>0.27992692770782934</v>
      </c>
      <c r="E524457" s="349">
        <v>0.23492692770782936</v>
      </c>
      <c r="F524457" s="349">
        <v>0.35</v>
      </c>
    </row>
    <row r="524458" spans="1:6" ht="16">
      <c r="A524458" s="347" t="s">
        <v>374</v>
      </c>
      <c r="B524458" s="348" t="s">
        <v>689</v>
      </c>
      <c r="C524458" s="349">
        <v>0.10896601681957188</v>
      </c>
      <c r="D524458" s="349">
        <f t="shared" si="34"/>
        <v>0.19128029460560964</v>
      </c>
      <c r="E524458" s="349">
        <v>0.14628029460560965</v>
      </c>
      <c r="F524458" s="349">
        <v>0.36</v>
      </c>
    </row>
    <row r="524459" spans="1:6" ht="16">
      <c r="A524459" s="347" t="s">
        <v>607</v>
      </c>
      <c r="B524459" s="348" t="s">
        <v>581</v>
      </c>
      <c r="C524459" s="349">
        <v>7.0808704231754685E-2</v>
      </c>
      <c r="D524459" s="349">
        <f t="shared" si="34"/>
        <v>0.14005640765793431</v>
      </c>
      <c r="E524459" s="349">
        <v>9.5056407657934314E-2</v>
      </c>
      <c r="F524459" s="349">
        <v>0.27500000000000002</v>
      </c>
    </row>
    <row r="524460" spans="1:6" ht="16">
      <c r="A524460" s="347" t="s">
        <v>335</v>
      </c>
      <c r="B524460" s="348" t="s">
        <v>574</v>
      </c>
      <c r="C524460" s="349">
        <v>0</v>
      </c>
      <c r="D524460" s="349">
        <f t="shared" si="34"/>
        <v>4.4999999999999998E-2</v>
      </c>
      <c r="E524460" s="349">
        <v>0</v>
      </c>
      <c r="F524460" s="349">
        <v>0.20600000000000002</v>
      </c>
    </row>
    <row r="524461" spans="1:6" ht="16">
      <c r="A524461" s="347" t="s">
        <v>336</v>
      </c>
      <c r="B524461" s="348" t="s">
        <v>574</v>
      </c>
      <c r="C524461" s="349">
        <v>0</v>
      </c>
      <c r="D524461" s="349">
        <f t="shared" si="34"/>
        <v>4.4999999999999998E-2</v>
      </c>
      <c r="E524461" s="349">
        <v>0</v>
      </c>
      <c r="F524461" s="349">
        <v>0.14599999999999999</v>
      </c>
    </row>
    <row r="524462" spans="1:6" ht="16">
      <c r="A524462" s="351" t="s">
        <v>608</v>
      </c>
      <c r="B524462" s="348" t="s">
        <v>687</v>
      </c>
      <c r="C524462" s="349">
        <v>0.17499999999999999</v>
      </c>
      <c r="D524462" s="349">
        <f t="shared" si="34"/>
        <v>0.27992692770782934</v>
      </c>
      <c r="E524462" s="349">
        <v>0.23492692770782936</v>
      </c>
      <c r="F524462" s="349">
        <v>0.28000000000000003</v>
      </c>
    </row>
    <row r="524463" spans="1:6" ht="16">
      <c r="A524463" s="347" t="s">
        <v>337</v>
      </c>
      <c r="B524463" s="348" t="s">
        <v>580</v>
      </c>
      <c r="C524463" s="349">
        <v>6.5302783287875029E-3</v>
      </c>
      <c r="D524463" s="349">
        <f t="shared" si="34"/>
        <v>5.3766504142051808E-2</v>
      </c>
      <c r="E524463" s="349">
        <v>8.7665041420518092E-3</v>
      </c>
      <c r="F524463" s="349">
        <v>0.2</v>
      </c>
    </row>
    <row r="524464" spans="1:6" ht="16">
      <c r="A524464" s="347" t="s">
        <v>609</v>
      </c>
      <c r="B524464" s="348" t="s">
        <v>581</v>
      </c>
      <c r="C524464" s="349">
        <v>7.0808704231754685E-2</v>
      </c>
      <c r="D524464" s="349">
        <f t="shared" si="34"/>
        <v>0.14005640765793431</v>
      </c>
      <c r="E524464" s="349">
        <v>9.5056407657934314E-2</v>
      </c>
      <c r="F524464" s="349">
        <v>0.18</v>
      </c>
    </row>
    <row r="524465" spans="1:6" ht="16">
      <c r="A524465" s="347" t="s">
        <v>610</v>
      </c>
      <c r="B524465" s="348" t="s">
        <v>572</v>
      </c>
      <c r="C524465" s="349">
        <v>5.9924907017108855E-2</v>
      </c>
      <c r="D524465" s="349">
        <f t="shared" si="34"/>
        <v>0.12544556742118129</v>
      </c>
      <c r="E524465" s="349">
        <v>8.0445567421181294E-2</v>
      </c>
      <c r="F524465" s="349">
        <v>0.3</v>
      </c>
    </row>
    <row r="524466" spans="1:6" ht="16">
      <c r="A524466" s="347" t="s">
        <v>338</v>
      </c>
      <c r="B524466" s="348" t="s">
        <v>573</v>
      </c>
      <c r="C524466" s="349">
        <v>1.7414075543433341E-2</v>
      </c>
      <c r="D524466" s="349">
        <f t="shared" si="34"/>
        <v>6.8377344378804827E-2</v>
      </c>
      <c r="E524466" s="349">
        <v>2.3377344378804829E-2</v>
      </c>
      <c r="F524466" s="349">
        <v>0.2</v>
      </c>
    </row>
    <row r="524467" spans="1:6" ht="16">
      <c r="A524467" s="347" t="s">
        <v>611</v>
      </c>
      <c r="B524467" s="348" t="s">
        <v>581</v>
      </c>
      <c r="C524467" s="349">
        <v>7.0808704231754685E-2</v>
      </c>
      <c r="D524467" s="349">
        <f t="shared" si="34"/>
        <v>0.14005640765793431</v>
      </c>
      <c r="E524467" s="349">
        <v>9.5056407657934314E-2</v>
      </c>
      <c r="F524467" s="349">
        <v>0.26860000000000001</v>
      </c>
    </row>
    <row r="524468" spans="1:6" ht="16">
      <c r="A524468" s="347" t="s">
        <v>866</v>
      </c>
      <c r="B524468" s="348" t="s">
        <v>576</v>
      </c>
      <c r="C524468" s="349">
        <v>3.2779436317050999E-2</v>
      </c>
      <c r="D524468" s="349">
        <f t="shared" si="34"/>
        <v>8.9004412948338496E-2</v>
      </c>
      <c r="E524468" s="349">
        <v>4.4004412948338498E-2</v>
      </c>
      <c r="F524468" s="349">
        <v>0.3</v>
      </c>
    </row>
    <row r="524469" spans="1:6" ht="16">
      <c r="A524469" s="347" t="s">
        <v>339</v>
      </c>
      <c r="B524469" s="348" t="s">
        <v>586</v>
      </c>
      <c r="C524469" s="349">
        <v>9.8082219604926024E-2</v>
      </c>
      <c r="D524469" s="349">
        <f t="shared" si="34"/>
        <v>0.17666945436885656</v>
      </c>
      <c r="E524469" s="349">
        <v>0.13166945436885658</v>
      </c>
      <c r="F524469" s="349">
        <v>0.15</v>
      </c>
    </row>
    <row r="524470" spans="1:6" ht="16">
      <c r="A524470" s="347" t="s">
        <v>340</v>
      </c>
      <c r="B524470" s="348" t="s">
        <v>581</v>
      </c>
      <c r="C524470" s="349">
        <v>7.0808704231754685E-2</v>
      </c>
      <c r="D524470" s="349">
        <f t="shared" si="34"/>
        <v>0.14005640765793431</v>
      </c>
      <c r="E524470" s="349">
        <v>9.5056407657934314E-2</v>
      </c>
      <c r="F524470" s="349">
        <v>0.25</v>
      </c>
    </row>
    <row r="524471" spans="1:6" ht="16">
      <c r="A524471" s="353" t="s">
        <v>867</v>
      </c>
      <c r="B524471" s="348" t="s">
        <v>573</v>
      </c>
      <c r="C524471" s="349">
        <v>1.7414075543433341E-2</v>
      </c>
      <c r="D524471" s="349">
        <f t="shared" si="34"/>
        <v>6.8377344378804827E-2</v>
      </c>
      <c r="E524471" s="349">
        <v>2.3377344378804829E-2</v>
      </c>
      <c r="F524471" s="349">
        <v>0</v>
      </c>
    </row>
    <row r="524472" spans="1:6" ht="16">
      <c r="A524472" s="347" t="s">
        <v>431</v>
      </c>
      <c r="B524472" s="348" t="s">
        <v>572</v>
      </c>
      <c r="C524472" s="349">
        <v>5.9924907017108855E-2</v>
      </c>
      <c r="D524472" s="349">
        <f t="shared" si="34"/>
        <v>0.12544556742118129</v>
      </c>
      <c r="E524472" s="349">
        <v>8.0445567421181294E-2</v>
      </c>
      <c r="F524472" s="349">
        <v>0.3</v>
      </c>
    </row>
    <row r="524473" spans="1:6" ht="16">
      <c r="A524473" s="347" t="s">
        <v>341</v>
      </c>
      <c r="B524473" s="348" t="s">
        <v>688</v>
      </c>
      <c r="C524473" s="349">
        <v>0.13073361124886354</v>
      </c>
      <c r="D524473" s="349">
        <f t="shared" si="34"/>
        <v>0.22050197507911562</v>
      </c>
      <c r="E524473" s="349">
        <v>0.17550197507911564</v>
      </c>
      <c r="F524473" s="349">
        <v>0.18</v>
      </c>
    </row>
    <row r="524474" spans="1:6" ht="16">
      <c r="A524474" s="347" t="s">
        <v>342</v>
      </c>
      <c r="B524474" s="348" t="s">
        <v>568</v>
      </c>
      <c r="C524474" s="349">
        <v>5.3778762707661788E-3</v>
      </c>
      <c r="D524474" s="349">
        <f t="shared" si="34"/>
        <v>5.2219473999336782E-2</v>
      </c>
      <c r="E524474" s="349">
        <v>7.219473999336784E-3</v>
      </c>
      <c r="F524474" s="349">
        <v>0.25</v>
      </c>
    </row>
    <row r="524475" spans="1:6" ht="16">
      <c r="A524475" s="347" t="s">
        <v>343</v>
      </c>
      <c r="B524475" s="348" t="s">
        <v>580</v>
      </c>
      <c r="C524475" s="349">
        <v>6.5302783287875029E-3</v>
      </c>
      <c r="D524475" s="349">
        <f t="shared" si="34"/>
        <v>5.3766504142051808E-2</v>
      </c>
      <c r="E524475" s="349">
        <v>8.7665041420518092E-3</v>
      </c>
      <c r="F524475" s="349">
        <v>0.25</v>
      </c>
    </row>
    <row r="524476" spans="1:6" ht="16">
      <c r="A524476" s="347" t="s">
        <v>344</v>
      </c>
      <c r="B524476" s="348" t="s">
        <v>574</v>
      </c>
      <c r="C524476" s="349">
        <v>0</v>
      </c>
      <c r="D524476" s="349">
        <f t="shared" si="34"/>
        <v>4.4999999999999998E-2</v>
      </c>
      <c r="E524476" s="349">
        <v>0</v>
      </c>
      <c r="F524476" s="349">
        <v>0.25</v>
      </c>
    </row>
    <row r="524477" spans="1:6" ht="16">
      <c r="A524477" s="347" t="s">
        <v>345</v>
      </c>
      <c r="B524477" s="348" t="s">
        <v>571</v>
      </c>
      <c r="C524477" s="349">
        <v>2.0743237044383835E-2</v>
      </c>
      <c r="D524477" s="349">
        <f t="shared" si="34"/>
        <v>7.2846542568870451E-2</v>
      </c>
      <c r="E524477" s="349">
        <v>2.7846542568870453E-2</v>
      </c>
      <c r="F524477" s="349">
        <v>0.25</v>
      </c>
    </row>
    <row r="524478" spans="1:6" ht="16">
      <c r="A524478" s="347" t="s">
        <v>693</v>
      </c>
      <c r="B524478" s="348" t="s">
        <v>578</v>
      </c>
      <c r="C524478" s="349">
        <v>3.9181669972725021E-2</v>
      </c>
      <c r="D524478" s="349">
        <f t="shared" si="34"/>
        <v>9.7599024852310853E-2</v>
      </c>
      <c r="E524478" s="349">
        <v>5.2599024852310855E-2</v>
      </c>
      <c r="F524478" s="349">
        <v>0.15</v>
      </c>
    </row>
    <row r="524479" spans="1:6" ht="16">
      <c r="A524479" s="347" t="s">
        <v>346</v>
      </c>
      <c r="B524479" s="348" t="s">
        <v>615</v>
      </c>
      <c r="C524479" s="349">
        <v>0.17499999999999999</v>
      </c>
      <c r="D524479" s="349">
        <f t="shared" si="34"/>
        <v>0.27992692770782934</v>
      </c>
      <c r="E524479" s="349">
        <v>0.23492692770782936</v>
      </c>
      <c r="F524479" s="349">
        <v>0.34</v>
      </c>
    </row>
    <row r="524480" spans="1:6" ht="16">
      <c r="A524480" s="347" t="s">
        <v>347</v>
      </c>
      <c r="B524480" s="348" t="s">
        <v>576</v>
      </c>
      <c r="C524480" s="349">
        <v>3.2779436317050999E-2</v>
      </c>
      <c r="D524480" s="349">
        <f t="shared" si="34"/>
        <v>8.9004412948338496E-2</v>
      </c>
      <c r="E524480" s="349">
        <v>4.4004412948338498E-2</v>
      </c>
      <c r="F524480" s="349">
        <v>0.2</v>
      </c>
    </row>
    <row r="524481" spans="1:6" ht="16">
      <c r="A524481" s="350" t="s">
        <v>868</v>
      </c>
      <c r="B524481" s="348" t="s">
        <v>687</v>
      </c>
      <c r="C524481" s="349">
        <v>0.10896601681957191</v>
      </c>
      <c r="D524481" s="349">
        <f t="shared" si="34"/>
        <v>0.19128029460560964</v>
      </c>
      <c r="E524481" s="349">
        <v>0.14628029460560965</v>
      </c>
      <c r="F524481" s="349">
        <v>0.2</v>
      </c>
    </row>
    <row r="524482" spans="1:6" ht="16">
      <c r="A524482" s="347" t="s">
        <v>348</v>
      </c>
      <c r="B524482" s="348" t="s">
        <v>689</v>
      </c>
      <c r="C524482" s="349">
        <v>0.10896601681957188</v>
      </c>
      <c r="D524482" s="349">
        <f t="shared" si="34"/>
        <v>0.19128029460560964</v>
      </c>
      <c r="E524482" s="349">
        <v>0.14628029460560965</v>
      </c>
      <c r="F524482" s="349">
        <v>0.35</v>
      </c>
    </row>
    <row r="524483" spans="1:6" ht="16">
      <c r="A524483" s="351" t="s">
        <v>612</v>
      </c>
      <c r="B524483" s="348" t="s">
        <v>687</v>
      </c>
      <c r="C524483" s="349">
        <v>9.8082219604926024E-2</v>
      </c>
      <c r="D524483" s="349">
        <f t="shared" si="34"/>
        <v>0.17666945436885656</v>
      </c>
      <c r="E524483" s="349">
        <v>0.13166945436885658</v>
      </c>
      <c r="F524483" s="349">
        <v>0.25</v>
      </c>
    </row>
    <row r="524488" spans="1:6">
      <c r="A524488" s="354" t="s">
        <v>352</v>
      </c>
      <c r="B524488" s="355" t="s">
        <v>376</v>
      </c>
      <c r="C524488" s="355" t="s">
        <v>869</v>
      </c>
      <c r="D524488" s="355" t="s">
        <v>694</v>
      </c>
      <c r="E524488" s="355" t="s">
        <v>870</v>
      </c>
    </row>
    <row r="524489" spans="1:6">
      <c r="A524489" s="356" t="s">
        <v>355</v>
      </c>
      <c r="B524489" s="357">
        <f>$B$1+E524489</f>
        <v>0.13663852306889546</v>
      </c>
      <c r="C524489" s="357">
        <v>6.8262679351091926E-2</v>
      </c>
      <c r="D524489" s="357">
        <v>0.27302836489005694</v>
      </c>
      <c r="E524489" s="357">
        <v>9.1638523068895444E-2</v>
      </c>
    </row>
    <row r="524490" spans="1:6">
      <c r="A524490" s="356" t="s">
        <v>428</v>
      </c>
      <c r="B524490" s="357">
        <f t="shared" ref="B524490:B524498" si="35">$B$1+E524490</f>
        <v>6.1805405008578562E-2</v>
      </c>
      <c r="C524490" s="357">
        <v>1.2518555898193178E-2</v>
      </c>
      <c r="D524490" s="357">
        <v>0.2576437502455447</v>
      </c>
      <c r="E524490" s="357">
        <v>1.6805405008578567E-2</v>
      </c>
    </row>
    <row r="524491" spans="1:6">
      <c r="A524491" s="356" t="s">
        <v>357</v>
      </c>
      <c r="B524491" s="357">
        <f t="shared" si="35"/>
        <v>4.5047923618641933E-2</v>
      </c>
      <c r="C524491" s="357">
        <v>3.5698901544265913E-5</v>
      </c>
      <c r="D524491" s="357">
        <v>0.29744361328762281</v>
      </c>
      <c r="E524491" s="357">
        <v>4.7923618641935289E-5</v>
      </c>
    </row>
    <row r="524492" spans="1:6">
      <c r="A524492" s="356" t="s">
        <v>359</v>
      </c>
      <c r="B524492" s="357">
        <f t="shared" si="35"/>
        <v>0.1865348819700155</v>
      </c>
      <c r="C524492" s="357">
        <v>0.1054310997313879</v>
      </c>
      <c r="D524492" s="357">
        <v>0.2724561140242252</v>
      </c>
      <c r="E524492" s="357">
        <v>0.14153488197001549</v>
      </c>
    </row>
    <row r="524493" spans="1:6">
      <c r="A524493" s="356" t="s">
        <v>356</v>
      </c>
      <c r="B524493" s="357">
        <f t="shared" si="35"/>
        <v>0.10261091058162494</v>
      </c>
      <c r="C524493" s="357">
        <v>4.2915086193622262E-2</v>
      </c>
      <c r="D524493" s="357">
        <v>0.31595749426030023</v>
      </c>
      <c r="E524493" s="357">
        <v>5.7610910581624951E-2</v>
      </c>
    </row>
    <row r="524494" spans="1:6">
      <c r="A524494" s="356" t="s">
        <v>354</v>
      </c>
      <c r="B524494" s="357">
        <f t="shared" si="35"/>
        <v>9.5579383477192262E-2</v>
      </c>
      <c r="C524494" s="357">
        <v>3.7670398345457844E-2</v>
      </c>
      <c r="D524494" s="357">
        <v>0.18485819102180306</v>
      </c>
      <c r="E524494" s="357">
        <v>5.0579383477192263E-2</v>
      </c>
    </row>
    <row r="524495" spans="1:6">
      <c r="A524495" s="356" t="s">
        <v>360</v>
      </c>
      <c r="B524495" s="357">
        <f t="shared" si="35"/>
        <v>6.6589990892489848E-2</v>
      </c>
      <c r="C524495" s="357">
        <v>1.6082653627874467E-2</v>
      </c>
      <c r="D524495" s="357">
        <v>0.18760152153615242</v>
      </c>
      <c r="E524495" s="357">
        <v>2.1589990892489853E-2</v>
      </c>
    </row>
    <row r="524496" spans="1:6">
      <c r="A524496" s="356" t="s">
        <v>362</v>
      </c>
      <c r="B524496" s="357">
        <f t="shared" si="35"/>
        <v>4.4999999999999998E-2</v>
      </c>
      <c r="C524496" s="357">
        <v>0</v>
      </c>
      <c r="D524496" s="357">
        <v>0.25116286561170831</v>
      </c>
      <c r="E524496" s="357">
        <v>0</v>
      </c>
    </row>
    <row r="524497" spans="1:5">
      <c r="A524497" s="356" t="s">
        <v>353</v>
      </c>
      <c r="B524497" s="357">
        <f t="shared" si="35"/>
        <v>5.7871606293643366E-2</v>
      </c>
      <c r="C524497" s="357">
        <v>9.5882201472833571E-3</v>
      </c>
      <c r="D524497" s="357">
        <v>0.24707349543413576</v>
      </c>
      <c r="E524497" s="357">
        <v>1.2871606293643371E-2</v>
      </c>
    </row>
    <row r="524498" spans="1:5">
      <c r="A524498" s="356" t="s">
        <v>491</v>
      </c>
      <c r="B524498" s="357">
        <f t="shared" si="35"/>
        <v>6.3100000000000003E-2</v>
      </c>
      <c r="C524498" s="357">
        <v>1.35E-2</v>
      </c>
      <c r="D524498" s="357">
        <v>0.25225942509764748</v>
      </c>
      <c r="E524498" s="357">
        <v>1.8100000000000002E-2</v>
      </c>
    </row>
    <row r="589825" spans="1:6">
      <c r="A589825" t="s">
        <v>613</v>
      </c>
      <c r="B589825" s="242">
        <v>4.5999999999999999E-2</v>
      </c>
      <c r="C589825" t="s">
        <v>847</v>
      </c>
    </row>
    <row r="589826" spans="1:6" ht="14">
      <c r="A589826" s="275" t="s">
        <v>686</v>
      </c>
      <c r="B589826" s="275"/>
      <c r="C589826" s="275"/>
      <c r="D589826" s="275"/>
      <c r="E589826" s="275"/>
      <c r="F589826" s="275"/>
    </row>
    <row r="589828" spans="1:6" ht="16">
      <c r="A589828" s="344" t="s">
        <v>349</v>
      </c>
      <c r="B589828" s="345" t="s">
        <v>566</v>
      </c>
      <c r="C589828" s="346" t="s">
        <v>350</v>
      </c>
      <c r="D589828" s="346" t="s">
        <v>567</v>
      </c>
      <c r="E589828" s="346" t="s">
        <v>351</v>
      </c>
      <c r="F589828" s="346" t="s">
        <v>519</v>
      </c>
    </row>
    <row r="589829" spans="1:6" ht="16">
      <c r="A589829" s="347" t="s">
        <v>481</v>
      </c>
      <c r="B589829" s="348" t="s">
        <v>568</v>
      </c>
      <c r="C589829" s="349">
        <v>5.3778762707661788E-3</v>
      </c>
      <c r="D589829" s="349">
        <f>$B$1+E589829</f>
        <v>5.2219473999336782E-2</v>
      </c>
      <c r="E589829" s="349">
        <v>7.219473999336784E-3</v>
      </c>
      <c r="F589829" s="349">
        <v>0.15</v>
      </c>
    </row>
    <row r="589830" spans="1:6" ht="16">
      <c r="A589830" s="347" t="s">
        <v>245</v>
      </c>
      <c r="B589830" s="348" t="s">
        <v>569</v>
      </c>
      <c r="C589830" s="349">
        <v>4.9041109802463012E-2</v>
      </c>
      <c r="D589830" s="349">
        <f t="shared" ref="D589830:D589893" si="36">$B$1+E589830</f>
        <v>0.11083472718442829</v>
      </c>
      <c r="E589830" s="349">
        <v>6.5834727184428288E-2</v>
      </c>
      <c r="F589830" s="349">
        <v>0.15</v>
      </c>
    </row>
    <row r="589831" spans="1:6" ht="16">
      <c r="A589831" s="350" t="s">
        <v>570</v>
      </c>
      <c r="B589831" s="348" t="s">
        <v>687</v>
      </c>
      <c r="C589831" s="349">
        <v>4.9041109802463012E-2</v>
      </c>
      <c r="D589831" s="349">
        <f t="shared" si="36"/>
        <v>0.11083472718442829</v>
      </c>
      <c r="E589831" s="349">
        <v>6.5834727184428288E-2</v>
      </c>
      <c r="F589831" s="349">
        <v>0.26</v>
      </c>
    </row>
    <row r="589832" spans="1:6" ht="16">
      <c r="A589832" s="347" t="s">
        <v>499</v>
      </c>
      <c r="B589832" s="348" t="s">
        <v>571</v>
      </c>
      <c r="C589832" s="349">
        <v>2.0743237044383835E-2</v>
      </c>
      <c r="D589832" s="349">
        <f t="shared" si="36"/>
        <v>7.2846542568870451E-2</v>
      </c>
      <c r="E589832" s="349">
        <v>2.7846542568870453E-2</v>
      </c>
      <c r="F589832" s="349">
        <v>0.1898</v>
      </c>
    </row>
    <row r="589833" spans="1:6" ht="16">
      <c r="A589833" s="347" t="s">
        <v>246</v>
      </c>
      <c r="B589833" s="348" t="s">
        <v>581</v>
      </c>
      <c r="C589833" s="349">
        <v>7.0808704231754685E-2</v>
      </c>
      <c r="D589833" s="349">
        <f t="shared" si="36"/>
        <v>0.14005640765793431</v>
      </c>
      <c r="E589833" s="349">
        <v>9.5056407657934314E-2</v>
      </c>
      <c r="F589833" s="349">
        <v>0.25</v>
      </c>
    </row>
    <row r="589834" spans="1:6" ht="16">
      <c r="A589834" s="347" t="s">
        <v>848</v>
      </c>
      <c r="B589834" s="154" t="s">
        <v>687</v>
      </c>
      <c r="C589834" s="277">
        <v>0.1054310997313879</v>
      </c>
      <c r="D589834" s="349">
        <f t="shared" si="36"/>
        <v>0.23253488197001548</v>
      </c>
      <c r="E589834" s="277">
        <v>0.1875348819700155</v>
      </c>
      <c r="F589834" s="277">
        <v>0.2724561140242252</v>
      </c>
    </row>
    <row r="589835" spans="1:6" ht="16">
      <c r="A589835" s="347" t="s">
        <v>849</v>
      </c>
      <c r="B589835" s="154" t="s">
        <v>687</v>
      </c>
      <c r="C589835" s="277">
        <v>0.1054310997313879</v>
      </c>
      <c r="D589835" s="349">
        <f t="shared" si="36"/>
        <v>0.23253488197001548</v>
      </c>
      <c r="E589835" s="277">
        <v>0.1875348819700155</v>
      </c>
      <c r="F589835" s="277">
        <v>0.2724561140242252</v>
      </c>
    </row>
    <row r="589836" spans="1:6" ht="16">
      <c r="A589836" s="347" t="s">
        <v>247</v>
      </c>
      <c r="B589836" s="348" t="s">
        <v>688</v>
      </c>
      <c r="C589836" s="349">
        <v>0.13073361124886354</v>
      </c>
      <c r="D589836" s="349">
        <f t="shared" si="36"/>
        <v>0.22050197507911562</v>
      </c>
      <c r="E589836" s="349">
        <v>0.17550197507911564</v>
      </c>
      <c r="F589836" s="349">
        <v>0.35</v>
      </c>
    </row>
    <row r="589837" spans="1:6" ht="16">
      <c r="A589837" s="347" t="s">
        <v>248</v>
      </c>
      <c r="B589837" s="348" t="s">
        <v>578</v>
      </c>
      <c r="C589837" s="349">
        <v>3.9181669972725021E-2</v>
      </c>
      <c r="D589837" s="349">
        <f t="shared" si="36"/>
        <v>9.7599024852310853E-2</v>
      </c>
      <c r="E589837" s="349">
        <v>5.2599024852310855E-2</v>
      </c>
      <c r="F589837" s="349">
        <v>0.18</v>
      </c>
    </row>
    <row r="589838" spans="1:6" ht="16">
      <c r="A589838" s="347" t="s">
        <v>249</v>
      </c>
      <c r="B589838" s="348" t="s">
        <v>571</v>
      </c>
      <c r="C589838" s="349">
        <v>2.0743237044383835E-2</v>
      </c>
      <c r="D589838" s="349">
        <f t="shared" si="36"/>
        <v>7.2846542568870451E-2</v>
      </c>
      <c r="E589838" s="349">
        <v>2.7846542568870453E-2</v>
      </c>
      <c r="F589838" s="349">
        <v>0.25</v>
      </c>
    </row>
    <row r="589839" spans="1:6" ht="16">
      <c r="A589839" s="347" t="s">
        <v>250</v>
      </c>
      <c r="B589839" s="348" t="s">
        <v>574</v>
      </c>
      <c r="C589839" s="349">
        <v>0</v>
      </c>
      <c r="D589839" s="349">
        <f t="shared" si="36"/>
        <v>4.4999999999999998E-2</v>
      </c>
      <c r="E589839" s="349">
        <v>0</v>
      </c>
      <c r="F589839" s="349">
        <v>0.3</v>
      </c>
    </row>
    <row r="589840" spans="1:6" ht="16">
      <c r="A589840" s="347" t="s">
        <v>251</v>
      </c>
      <c r="B589840" s="348" t="s">
        <v>575</v>
      </c>
      <c r="C589840" s="349">
        <v>4.3535188858583353E-3</v>
      </c>
      <c r="D589840" s="349">
        <f t="shared" si="36"/>
        <v>5.0844336094701202E-2</v>
      </c>
      <c r="E589840" s="349">
        <v>5.8443360947012038E-3</v>
      </c>
      <c r="F589840" s="349">
        <v>0.24</v>
      </c>
    </row>
    <row r="589841" spans="1:6" ht="16">
      <c r="A589841" s="347" t="s">
        <v>358</v>
      </c>
      <c r="B589841" s="348" t="s">
        <v>589</v>
      </c>
      <c r="C589841" s="349">
        <v>2.7273515373171343E-2</v>
      </c>
      <c r="D589841" s="349">
        <f t="shared" si="36"/>
        <v>8.161304671092226E-2</v>
      </c>
      <c r="E589841" s="349">
        <v>3.6613046710922262E-2</v>
      </c>
      <c r="F589841" s="349">
        <v>0.2</v>
      </c>
    </row>
    <row r="589842" spans="1:6" ht="16">
      <c r="A589842" s="347" t="s">
        <v>252</v>
      </c>
      <c r="B589842" s="348" t="s">
        <v>569</v>
      </c>
      <c r="C589842" s="349">
        <v>4.9041109802463012E-2</v>
      </c>
      <c r="D589842" s="349">
        <f t="shared" si="36"/>
        <v>0.11083472718442829</v>
      </c>
      <c r="E589842" s="349">
        <v>6.5834727184428288E-2</v>
      </c>
      <c r="F589842" s="349">
        <v>0</v>
      </c>
    </row>
    <row r="589843" spans="1:6" ht="16">
      <c r="A589843" s="347" t="s">
        <v>253</v>
      </c>
      <c r="B589843" s="348" t="s">
        <v>572</v>
      </c>
      <c r="C589843" s="349">
        <v>5.9924907017108855E-2</v>
      </c>
      <c r="D589843" s="349">
        <f t="shared" si="36"/>
        <v>0.12544556742118129</v>
      </c>
      <c r="E589843" s="349">
        <v>8.0445567421181294E-2</v>
      </c>
      <c r="F589843" s="349">
        <v>0</v>
      </c>
    </row>
    <row r="589844" spans="1:6" ht="16">
      <c r="A589844" s="347" t="s">
        <v>254</v>
      </c>
      <c r="B589844" s="348" t="s">
        <v>569</v>
      </c>
      <c r="C589844" s="349">
        <v>4.9041109802463012E-2</v>
      </c>
      <c r="D589844" s="349">
        <f t="shared" si="36"/>
        <v>0.11083472718442829</v>
      </c>
      <c r="E589844" s="349">
        <v>6.5834727184428288E-2</v>
      </c>
      <c r="F589844" s="349">
        <v>0.3</v>
      </c>
    </row>
    <row r="589845" spans="1:6" ht="16">
      <c r="A589845" s="347" t="s">
        <v>255</v>
      </c>
      <c r="B589845" s="348" t="s">
        <v>581</v>
      </c>
      <c r="C589845" s="349">
        <v>7.0808704231754685E-2</v>
      </c>
      <c r="D589845" s="349">
        <f t="shared" si="36"/>
        <v>0.14005640765793431</v>
      </c>
      <c r="E589845" s="349">
        <v>9.5056407657934314E-2</v>
      </c>
      <c r="F589845" s="349">
        <v>5.5E-2</v>
      </c>
    </row>
    <row r="589846" spans="1:6" ht="16">
      <c r="A589846" s="347" t="s">
        <v>256</v>
      </c>
      <c r="B589846" s="348" t="s">
        <v>615</v>
      </c>
      <c r="C589846" s="349">
        <v>0.17499999999999999</v>
      </c>
      <c r="D589846" s="349">
        <f t="shared" si="36"/>
        <v>0.27992692770782934</v>
      </c>
      <c r="E589846" s="349">
        <v>0.23492692770782936</v>
      </c>
      <c r="F589846" s="349">
        <v>0.18</v>
      </c>
    </row>
    <row r="589847" spans="1:6" ht="16">
      <c r="A589847" s="347" t="s">
        <v>257</v>
      </c>
      <c r="B589847" s="348" t="s">
        <v>580</v>
      </c>
      <c r="C589847" s="349">
        <v>6.5302783287875029E-3</v>
      </c>
      <c r="D589847" s="349">
        <f t="shared" si="36"/>
        <v>5.3766504142051808E-2</v>
      </c>
      <c r="E589847" s="349">
        <v>8.7665041420518092E-3</v>
      </c>
      <c r="F589847" s="349">
        <v>0.25</v>
      </c>
    </row>
    <row r="589848" spans="1:6" ht="16">
      <c r="A589848" s="347" t="s">
        <v>361</v>
      </c>
      <c r="B589848" s="348" t="s">
        <v>586</v>
      </c>
      <c r="C589848" s="349">
        <v>9.8082219604926024E-2</v>
      </c>
      <c r="D589848" s="349">
        <f t="shared" si="36"/>
        <v>0.17666945436885656</v>
      </c>
      <c r="E589848" s="349">
        <v>0.13166945436885658</v>
      </c>
      <c r="F589848" s="349">
        <v>0.2853</v>
      </c>
    </row>
    <row r="589849" spans="1:6" ht="16">
      <c r="A589849" s="347" t="s">
        <v>582</v>
      </c>
      <c r="B589849" s="348" t="s">
        <v>569</v>
      </c>
      <c r="C589849" s="349">
        <v>4.9041109802463012E-2</v>
      </c>
      <c r="D589849" s="349">
        <f t="shared" si="36"/>
        <v>0.11083472718442829</v>
      </c>
      <c r="E589849" s="349">
        <v>6.5834727184428288E-2</v>
      </c>
      <c r="F589849" s="349">
        <v>0.3</v>
      </c>
    </row>
    <row r="589850" spans="1:6" ht="16">
      <c r="A589850" s="347" t="s">
        <v>258</v>
      </c>
      <c r="B589850" s="348" t="s">
        <v>583</v>
      </c>
      <c r="C589850" s="349">
        <v>9.2192164641705932E-3</v>
      </c>
      <c r="D589850" s="349">
        <f t="shared" si="36"/>
        <v>5.73762411417202E-2</v>
      </c>
      <c r="E589850" s="349">
        <v>1.2376241141720201E-2</v>
      </c>
      <c r="F589850" s="349">
        <v>0</v>
      </c>
    </row>
    <row r="589851" spans="1:6" ht="16">
      <c r="A589851" s="347" t="s">
        <v>259</v>
      </c>
      <c r="B589851" s="348" t="s">
        <v>579</v>
      </c>
      <c r="C589851" s="349">
        <v>8.1692501446400528E-2</v>
      </c>
      <c r="D589851" s="349">
        <f t="shared" si="36"/>
        <v>0.15466724789468733</v>
      </c>
      <c r="E589851" s="349">
        <v>0.10966724789468733</v>
      </c>
      <c r="F589851" s="349">
        <v>0.25</v>
      </c>
    </row>
    <row r="589852" spans="1:6" ht="16">
      <c r="A589852" s="347" t="s">
        <v>260</v>
      </c>
      <c r="B589852" s="348" t="s">
        <v>581</v>
      </c>
      <c r="C589852" s="349">
        <v>7.0808704231754685E-2</v>
      </c>
      <c r="D589852" s="349">
        <f t="shared" si="36"/>
        <v>0.14005640765793431</v>
      </c>
      <c r="E589852" s="349">
        <v>9.5056407657934314E-2</v>
      </c>
      <c r="F589852" s="349">
        <v>0.1</v>
      </c>
    </row>
    <row r="589853" spans="1:6" ht="16">
      <c r="A589853" s="347" t="s">
        <v>261</v>
      </c>
      <c r="B589853" s="348" t="s">
        <v>587</v>
      </c>
      <c r="C589853" s="349">
        <v>1.3060556657575006E-2</v>
      </c>
      <c r="D589853" s="349">
        <f t="shared" si="36"/>
        <v>6.2533008284103617E-2</v>
      </c>
      <c r="E589853" s="349">
        <v>1.7533008284103618E-2</v>
      </c>
      <c r="F589853" s="349">
        <v>0.22</v>
      </c>
    </row>
    <row r="589854" spans="1:6" ht="16">
      <c r="A589854" s="347" t="s">
        <v>262</v>
      </c>
      <c r="B589854" s="348" t="s">
        <v>576</v>
      </c>
      <c r="C589854" s="349">
        <v>3.2779436317050999E-2</v>
      </c>
      <c r="D589854" s="349">
        <f t="shared" si="36"/>
        <v>8.9004412948338496E-2</v>
      </c>
      <c r="E589854" s="349">
        <v>4.4004412948338498E-2</v>
      </c>
      <c r="F589854" s="349">
        <v>0.34</v>
      </c>
    </row>
    <row r="589855" spans="1:6" ht="16">
      <c r="A589855" s="347" t="s">
        <v>850</v>
      </c>
      <c r="B589855" s="348" t="s">
        <v>576</v>
      </c>
      <c r="C589855" s="349">
        <v>3.2779436317050999E-2</v>
      </c>
      <c r="D589855" s="349">
        <f t="shared" si="36"/>
        <v>8.9004412948338496E-2</v>
      </c>
      <c r="E589855" s="349">
        <v>4.4004412948338498E-2</v>
      </c>
      <c r="F589855" s="349">
        <v>0.34</v>
      </c>
    </row>
    <row r="589856" spans="1:6" ht="16">
      <c r="A589856" s="351" t="s">
        <v>584</v>
      </c>
      <c r="B589856" s="348" t="s">
        <v>687</v>
      </c>
      <c r="C589856" s="349">
        <v>6.5302783287875029E-3</v>
      </c>
      <c r="D589856" s="349">
        <f t="shared" si="36"/>
        <v>5.3766504142051808E-2</v>
      </c>
      <c r="E589856" s="349">
        <v>8.7665041420518092E-3</v>
      </c>
      <c r="F589856" s="349">
        <v>0.185</v>
      </c>
    </row>
    <row r="589857" spans="1:6" ht="16">
      <c r="A589857" s="347" t="s">
        <v>263</v>
      </c>
      <c r="B589857" s="348" t="s">
        <v>573</v>
      </c>
      <c r="C589857" s="349">
        <v>1.7414075543433341E-2</v>
      </c>
      <c r="D589857" s="349">
        <f t="shared" si="36"/>
        <v>6.8377344378804827E-2</v>
      </c>
      <c r="E589857" s="349">
        <v>2.3377344378804829E-2</v>
      </c>
      <c r="F589857" s="349">
        <v>0.1</v>
      </c>
    </row>
    <row r="589858" spans="1:6" ht="16">
      <c r="A589858" s="347" t="s">
        <v>482</v>
      </c>
      <c r="B589858" s="348" t="s">
        <v>579</v>
      </c>
      <c r="C589858" s="349">
        <v>8.1692501446400528E-2</v>
      </c>
      <c r="D589858" s="349">
        <f t="shared" si="36"/>
        <v>0.15466724789468733</v>
      </c>
      <c r="E589858" s="349">
        <v>0.10966724789468733</v>
      </c>
      <c r="F589858" s="349">
        <v>0.28000000000000003</v>
      </c>
    </row>
    <row r="589859" spans="1:6" ht="16">
      <c r="A589859" s="347" t="s">
        <v>264</v>
      </c>
      <c r="B589859" s="348" t="s">
        <v>572</v>
      </c>
      <c r="C589859" s="349">
        <v>5.9924907017108855E-2</v>
      </c>
      <c r="D589859" s="349">
        <f t="shared" si="36"/>
        <v>0.12544556742118129</v>
      </c>
      <c r="E589859" s="349">
        <v>8.0445567421181294E-2</v>
      </c>
      <c r="F589859" s="349">
        <v>0.2</v>
      </c>
    </row>
    <row r="589860" spans="1:6" ht="16">
      <c r="A589860" s="347" t="s">
        <v>483</v>
      </c>
      <c r="B589860" s="348" t="s">
        <v>579</v>
      </c>
      <c r="C589860" s="349">
        <v>8.1692501446400528E-2</v>
      </c>
      <c r="D589860" s="349">
        <f t="shared" si="36"/>
        <v>0.15466724789468733</v>
      </c>
      <c r="E589860" s="349">
        <v>0.10966724789468733</v>
      </c>
      <c r="F589860" s="349">
        <v>0.33</v>
      </c>
    </row>
    <row r="589861" spans="1:6" ht="16">
      <c r="A589861" s="347" t="s">
        <v>265</v>
      </c>
      <c r="B589861" s="348" t="s">
        <v>574</v>
      </c>
      <c r="C589861" s="349">
        <v>0</v>
      </c>
      <c r="D589861" s="349">
        <f t="shared" si="36"/>
        <v>4.4999999999999998E-2</v>
      </c>
      <c r="E589861" s="349">
        <v>0</v>
      </c>
      <c r="F589861" s="349">
        <v>0.26500000000000001</v>
      </c>
    </row>
    <row r="589862" spans="1:6" ht="16">
      <c r="A589862" s="347" t="s">
        <v>484</v>
      </c>
      <c r="B589862" s="348" t="s">
        <v>581</v>
      </c>
      <c r="C589862" s="349">
        <v>7.0808704231754685E-2</v>
      </c>
      <c r="D589862" s="349">
        <f t="shared" si="36"/>
        <v>0.14005640765793431</v>
      </c>
      <c r="E589862" s="349">
        <v>9.5056407657934314E-2</v>
      </c>
      <c r="F589862" s="349">
        <v>0</v>
      </c>
    </row>
    <row r="589863" spans="1:6" ht="16">
      <c r="A589863" s="347" t="s">
        <v>266</v>
      </c>
      <c r="B589863" s="348" t="s">
        <v>580</v>
      </c>
      <c r="C589863" s="349">
        <v>6.5302783287875029E-3</v>
      </c>
      <c r="D589863" s="349">
        <f t="shared" si="36"/>
        <v>5.3766504142051808E-2</v>
      </c>
      <c r="E589863" s="349">
        <v>8.7665041420518092E-3</v>
      </c>
      <c r="F589863" s="349">
        <v>0</v>
      </c>
    </row>
    <row r="589864" spans="1:6" ht="16">
      <c r="A589864" s="347" t="s">
        <v>851</v>
      </c>
      <c r="B589864" s="154" t="s">
        <v>687</v>
      </c>
      <c r="C589864" s="277">
        <v>9.5882201472833571E-3</v>
      </c>
      <c r="D589864" s="349">
        <f t="shared" si="36"/>
        <v>0.10387160629364336</v>
      </c>
      <c r="E589864" s="277">
        <v>5.8871606293643367E-2</v>
      </c>
      <c r="F589864" s="277">
        <v>0.24707349543413576</v>
      </c>
    </row>
    <row r="589865" spans="1:6" ht="16">
      <c r="A589865" s="347" t="s">
        <v>267</v>
      </c>
      <c r="B589865" s="348" t="s">
        <v>583</v>
      </c>
      <c r="C589865" s="349">
        <v>9.2192164641705932E-3</v>
      </c>
      <c r="D589865" s="349">
        <f t="shared" si="36"/>
        <v>5.73762411417202E-2</v>
      </c>
      <c r="E589865" s="349">
        <v>1.2376241141720201E-2</v>
      </c>
      <c r="F589865" s="349">
        <v>0.27</v>
      </c>
    </row>
    <row r="589866" spans="1:6" ht="16">
      <c r="A589866" s="347" t="s">
        <v>268</v>
      </c>
      <c r="B589866" s="348" t="s">
        <v>585</v>
      </c>
      <c r="C589866" s="349">
        <v>7.6826803868088279E-3</v>
      </c>
      <c r="D589866" s="349">
        <f t="shared" si="36"/>
        <v>5.5313534284766833E-2</v>
      </c>
      <c r="E589866" s="349">
        <v>1.0313534284766834E-2</v>
      </c>
      <c r="F589866" s="349">
        <v>0.25</v>
      </c>
    </row>
    <row r="589867" spans="1:6" ht="16">
      <c r="A589867" s="347" t="s">
        <v>269</v>
      </c>
      <c r="B589867" s="348" t="s">
        <v>571</v>
      </c>
      <c r="C589867" s="349">
        <v>2.0743237044383835E-2</v>
      </c>
      <c r="D589867" s="349">
        <f t="shared" si="36"/>
        <v>7.2846542568870451E-2</v>
      </c>
      <c r="E589867" s="349">
        <v>2.7846542568870453E-2</v>
      </c>
      <c r="F589867" s="349">
        <v>0.35</v>
      </c>
    </row>
    <row r="589868" spans="1:6" ht="16">
      <c r="A589868" s="347" t="s">
        <v>500</v>
      </c>
      <c r="B589868" s="348" t="s">
        <v>581</v>
      </c>
      <c r="C589868" s="349">
        <v>7.0808704231754685E-2</v>
      </c>
      <c r="D589868" s="349">
        <f t="shared" si="36"/>
        <v>0.14005640765793431</v>
      </c>
      <c r="E589868" s="349">
        <v>9.5056407657934314E-2</v>
      </c>
      <c r="F589868" s="349">
        <v>0.3</v>
      </c>
    </row>
    <row r="589869" spans="1:6" ht="16">
      <c r="A589869" s="347" t="s">
        <v>501</v>
      </c>
      <c r="B589869" s="348" t="s">
        <v>586</v>
      </c>
      <c r="C589869" s="349">
        <v>9.8082219604926024E-2</v>
      </c>
      <c r="D589869" s="349">
        <f t="shared" si="36"/>
        <v>0.17666945436885656</v>
      </c>
      <c r="E589869" s="349">
        <v>0.13166945436885658</v>
      </c>
      <c r="F589869" s="349">
        <v>0.28000000000000003</v>
      </c>
    </row>
    <row r="589870" spans="1:6" ht="16">
      <c r="A589870" s="347" t="s">
        <v>485</v>
      </c>
      <c r="B589870" s="348" t="s">
        <v>569</v>
      </c>
      <c r="C589870" s="349">
        <v>4.9041109802463012E-2</v>
      </c>
      <c r="D589870" s="349">
        <f t="shared" si="36"/>
        <v>0.11083472718442829</v>
      </c>
      <c r="E589870" s="349">
        <v>6.5834727184428288E-2</v>
      </c>
      <c r="F589870" s="349">
        <v>0.2974</v>
      </c>
    </row>
    <row r="589871" spans="1:6" ht="16">
      <c r="A589871" s="347" t="s">
        <v>270</v>
      </c>
      <c r="B589871" s="348" t="s">
        <v>569</v>
      </c>
      <c r="C589871" s="349">
        <v>4.9041109802463012E-2</v>
      </c>
      <c r="D589871" s="349">
        <f t="shared" si="36"/>
        <v>0.11083472718442829</v>
      </c>
      <c r="E589871" s="349">
        <v>6.5834727184428288E-2</v>
      </c>
      <c r="F589871" s="349">
        <v>0.3</v>
      </c>
    </row>
    <row r="589872" spans="1:6" ht="16">
      <c r="A589872" s="347" t="s">
        <v>271</v>
      </c>
      <c r="B589872" s="348" t="s">
        <v>571</v>
      </c>
      <c r="C589872" s="349">
        <v>2.0743237044383835E-2</v>
      </c>
      <c r="D589872" s="349">
        <f t="shared" si="36"/>
        <v>7.2846542568870451E-2</v>
      </c>
      <c r="E589872" s="349">
        <v>2.7846542568870453E-2</v>
      </c>
      <c r="F589872" s="349">
        <v>0.18</v>
      </c>
    </row>
    <row r="589873" spans="1:6" ht="16">
      <c r="A589873" s="347" t="s">
        <v>363</v>
      </c>
      <c r="B589873" s="348" t="s">
        <v>688</v>
      </c>
      <c r="C589873" s="349">
        <v>0.13073361124886354</v>
      </c>
      <c r="D589873" s="349">
        <f t="shared" si="36"/>
        <v>0.22050197507911562</v>
      </c>
      <c r="E589873" s="349">
        <v>0.17550197507911564</v>
      </c>
      <c r="F589873" s="349">
        <v>0.2853</v>
      </c>
    </row>
    <row r="589874" spans="1:6" ht="16">
      <c r="A589874" s="352" t="s">
        <v>852</v>
      </c>
      <c r="B589874" s="348" t="s">
        <v>571</v>
      </c>
      <c r="C589874" s="349">
        <v>2.0743237044383835E-2</v>
      </c>
      <c r="D589874" s="349">
        <f t="shared" si="36"/>
        <v>7.2846542568870451E-2</v>
      </c>
      <c r="E589874" s="349">
        <v>2.7846542568870453E-2</v>
      </c>
      <c r="F589874" s="349">
        <v>0.22</v>
      </c>
    </row>
    <row r="589875" spans="1:6" ht="16">
      <c r="A589875" s="347" t="s">
        <v>272</v>
      </c>
      <c r="B589875" s="348" t="s">
        <v>571</v>
      </c>
      <c r="C589875" s="349">
        <v>2.0743237044383835E-2</v>
      </c>
      <c r="D589875" s="349">
        <f t="shared" si="36"/>
        <v>7.2846542568870451E-2</v>
      </c>
      <c r="E589875" s="349">
        <v>2.7846542568870453E-2</v>
      </c>
      <c r="F589875" s="349">
        <v>0.125</v>
      </c>
    </row>
    <row r="589876" spans="1:6" ht="16">
      <c r="A589876" s="347" t="s">
        <v>273</v>
      </c>
      <c r="B589876" s="348" t="s">
        <v>580</v>
      </c>
      <c r="C589876" s="349">
        <v>6.5302783287875029E-3</v>
      </c>
      <c r="D589876" s="349">
        <f t="shared" si="36"/>
        <v>5.3766504142051808E-2</v>
      </c>
      <c r="E589876" s="349">
        <v>8.7665041420518092E-3</v>
      </c>
      <c r="F589876" s="349">
        <v>0.19</v>
      </c>
    </row>
    <row r="589877" spans="1:6" ht="16">
      <c r="A589877" s="347" t="s">
        <v>274</v>
      </c>
      <c r="B589877" s="348" t="s">
        <v>574</v>
      </c>
      <c r="C589877" s="349">
        <v>0</v>
      </c>
      <c r="D589877" s="349">
        <f t="shared" si="36"/>
        <v>4.4999999999999998E-2</v>
      </c>
      <c r="E589877" s="349">
        <v>0</v>
      </c>
      <c r="F589877" s="349">
        <v>0.22</v>
      </c>
    </row>
    <row r="589878" spans="1:6" ht="16">
      <c r="A589878" s="347" t="s">
        <v>275</v>
      </c>
      <c r="B589878" s="348" t="s">
        <v>578</v>
      </c>
      <c r="C589878" s="349">
        <v>3.9181669972725021E-2</v>
      </c>
      <c r="D589878" s="349">
        <f t="shared" si="36"/>
        <v>9.7599024852310853E-2</v>
      </c>
      <c r="E589878" s="349">
        <v>5.2599024852310855E-2</v>
      </c>
      <c r="F589878" s="349">
        <v>0.27</v>
      </c>
    </row>
    <row r="589879" spans="1:6" ht="16">
      <c r="A589879" s="347" t="s">
        <v>276</v>
      </c>
      <c r="B589879" s="348" t="s">
        <v>689</v>
      </c>
      <c r="C589879" s="349">
        <v>0.10896601681957188</v>
      </c>
      <c r="D589879" s="349">
        <f t="shared" si="36"/>
        <v>0.19128029460560964</v>
      </c>
      <c r="E589879" s="349">
        <v>0.14628029460560965</v>
      </c>
      <c r="F589879" s="349">
        <v>0.25</v>
      </c>
    </row>
    <row r="589880" spans="1:6" ht="16">
      <c r="A589880" s="347" t="s">
        <v>277</v>
      </c>
      <c r="B589880" s="348" t="s">
        <v>579</v>
      </c>
      <c r="C589880" s="349">
        <v>8.1692501446400528E-2</v>
      </c>
      <c r="D589880" s="349">
        <f t="shared" si="36"/>
        <v>0.15466724789468733</v>
      </c>
      <c r="E589880" s="349">
        <v>0.10966724789468733</v>
      </c>
      <c r="F589880" s="349">
        <v>0.22500000000000001</v>
      </c>
    </row>
    <row r="589881" spans="1:6" ht="16">
      <c r="A589881" s="347" t="s">
        <v>364</v>
      </c>
      <c r="B589881" s="348" t="s">
        <v>689</v>
      </c>
      <c r="C589881" s="349">
        <v>0.10896601681957188</v>
      </c>
      <c r="D589881" s="349">
        <f t="shared" si="36"/>
        <v>0.19128029460560964</v>
      </c>
      <c r="E589881" s="349">
        <v>0.14628029460560965</v>
      </c>
      <c r="F589881" s="349">
        <v>0.3</v>
      </c>
    </row>
    <row r="589882" spans="1:6" ht="16">
      <c r="A589882" s="347" t="s">
        <v>278</v>
      </c>
      <c r="B589882" s="348" t="s">
        <v>585</v>
      </c>
      <c r="C589882" s="349">
        <v>7.6826803868088279E-3</v>
      </c>
      <c r="D589882" s="349">
        <f t="shared" si="36"/>
        <v>5.5313534284766833E-2</v>
      </c>
      <c r="E589882" s="349">
        <v>1.0313534284766834E-2</v>
      </c>
      <c r="F589882" s="349">
        <v>0.2</v>
      </c>
    </row>
    <row r="589883" spans="1:6" ht="16">
      <c r="A589883" s="347" t="s">
        <v>502</v>
      </c>
      <c r="B589883" s="348" t="s">
        <v>586</v>
      </c>
      <c r="C589883" s="349">
        <v>9.8082219604926024E-2</v>
      </c>
      <c r="D589883" s="349">
        <f t="shared" si="36"/>
        <v>0.17666945436885656</v>
      </c>
      <c r="E589883" s="349">
        <v>0.13166945436885658</v>
      </c>
      <c r="F589883" s="349">
        <v>0.3</v>
      </c>
    </row>
    <row r="589884" spans="1:6" ht="16">
      <c r="A589884" s="347" t="s">
        <v>853</v>
      </c>
      <c r="B589884" s="154" t="s">
        <v>687</v>
      </c>
      <c r="C589884" s="277">
        <v>4.2915086193622262E-2</v>
      </c>
      <c r="D589884" s="349">
        <f t="shared" si="36"/>
        <v>0.14861091058162493</v>
      </c>
      <c r="E589884" s="277">
        <v>0.10361091058162493</v>
      </c>
      <c r="F589884" s="277">
        <v>0.31595749426030023</v>
      </c>
    </row>
    <row r="589885" spans="1:6" ht="16">
      <c r="A589885" s="347" t="s">
        <v>279</v>
      </c>
      <c r="B589885" s="348" t="s">
        <v>569</v>
      </c>
      <c r="C589885" s="349">
        <v>4.9041109802463012E-2</v>
      </c>
      <c r="D589885" s="349">
        <f t="shared" si="36"/>
        <v>0.11083472718442829</v>
      </c>
      <c r="E589885" s="349">
        <v>6.5834727184428288E-2</v>
      </c>
      <c r="F589885" s="349">
        <v>0.2</v>
      </c>
    </row>
    <row r="589886" spans="1:6" ht="16">
      <c r="A589886" s="347" t="s">
        <v>280</v>
      </c>
      <c r="B589886" s="348" t="s">
        <v>575</v>
      </c>
      <c r="C589886" s="349">
        <v>4.3535188858583353E-3</v>
      </c>
      <c r="D589886" s="349">
        <f t="shared" si="36"/>
        <v>5.0844336094701202E-2</v>
      </c>
      <c r="E589886" s="349">
        <v>5.8443360947012038E-3</v>
      </c>
      <c r="F589886" s="349">
        <v>0.2</v>
      </c>
    </row>
    <row r="589887" spans="1:6" ht="16">
      <c r="A589887" s="347" t="s">
        <v>281</v>
      </c>
      <c r="B589887" s="348" t="s">
        <v>568</v>
      </c>
      <c r="C589887" s="349">
        <v>5.3778762707661788E-3</v>
      </c>
      <c r="D589887" s="349">
        <f t="shared" si="36"/>
        <v>5.2219473999336782E-2</v>
      </c>
      <c r="E589887" s="349">
        <v>7.219473999336784E-3</v>
      </c>
      <c r="F589887" s="349">
        <v>0.25</v>
      </c>
    </row>
    <row r="589888" spans="1:6" ht="16">
      <c r="A589888" s="347" t="s">
        <v>854</v>
      </c>
      <c r="B589888" s="154" t="s">
        <v>687</v>
      </c>
      <c r="C589888" s="277">
        <v>4.2915086193622262E-2</v>
      </c>
      <c r="D589888" s="349">
        <f t="shared" si="36"/>
        <v>0.14861091058162493</v>
      </c>
      <c r="E589888" s="277">
        <v>0.10361091058162493</v>
      </c>
      <c r="F589888" s="277">
        <v>0.31595749426030023</v>
      </c>
    </row>
    <row r="589889" spans="1:6" ht="16">
      <c r="A589889" s="347" t="s">
        <v>486</v>
      </c>
      <c r="B589889" s="348" t="s">
        <v>579</v>
      </c>
      <c r="C589889" s="349">
        <v>8.1692501446400528E-2</v>
      </c>
      <c r="D589889" s="349">
        <f t="shared" si="36"/>
        <v>0.15466724789468733</v>
      </c>
      <c r="E589889" s="349">
        <v>0.10966724789468733</v>
      </c>
      <c r="F589889" s="349">
        <v>0.3</v>
      </c>
    </row>
    <row r="589890" spans="1:6" ht="16">
      <c r="A589890" s="350" t="s">
        <v>588</v>
      </c>
      <c r="B589890" s="348" t="s">
        <v>687</v>
      </c>
      <c r="C589890" s="349">
        <v>4.9041109802463012E-2</v>
      </c>
      <c r="D589890" s="349">
        <f t="shared" si="36"/>
        <v>0.11083472718442829</v>
      </c>
      <c r="E589890" s="349">
        <v>6.5834727184428288E-2</v>
      </c>
      <c r="F589890" s="349">
        <v>0.31</v>
      </c>
    </row>
    <row r="589891" spans="1:6" ht="16">
      <c r="A589891" s="347" t="s">
        <v>365</v>
      </c>
      <c r="B589891" s="348" t="s">
        <v>576</v>
      </c>
      <c r="C589891" s="349">
        <v>3.2779436317050999E-2</v>
      </c>
      <c r="D589891" s="349">
        <f t="shared" si="36"/>
        <v>8.9004412948338496E-2</v>
      </c>
      <c r="E589891" s="349">
        <v>4.4004412948338498E-2</v>
      </c>
      <c r="F589891" s="349">
        <v>0.15</v>
      </c>
    </row>
    <row r="589892" spans="1:6" ht="16">
      <c r="A589892" s="347" t="s">
        <v>282</v>
      </c>
      <c r="B589892" s="348" t="s">
        <v>574</v>
      </c>
      <c r="C589892" s="349">
        <v>0</v>
      </c>
      <c r="D589892" s="349">
        <f t="shared" si="36"/>
        <v>4.4999999999999998E-2</v>
      </c>
      <c r="E589892" s="349">
        <v>0</v>
      </c>
      <c r="F589892" s="349">
        <v>0.3</v>
      </c>
    </row>
    <row r="589893" spans="1:6" ht="16">
      <c r="A589893" s="347" t="s">
        <v>487</v>
      </c>
      <c r="B589893" s="348" t="s">
        <v>689</v>
      </c>
      <c r="C589893" s="349">
        <v>0.10896601681957188</v>
      </c>
      <c r="D589893" s="349">
        <f t="shared" si="36"/>
        <v>0.19128029460560964</v>
      </c>
      <c r="E589893" s="349">
        <v>0.14628029460560965</v>
      </c>
      <c r="F589893" s="349">
        <v>0.25</v>
      </c>
    </row>
    <row r="589894" spans="1:6" ht="16">
      <c r="A589894" s="347" t="s">
        <v>855</v>
      </c>
      <c r="B589894" s="154" t="s">
        <v>687</v>
      </c>
      <c r="C589894" s="277">
        <v>9.5882201472833571E-3</v>
      </c>
      <c r="D589894" s="349">
        <f t="shared" ref="D589894:D589957" si="37">$B$1+E589894</f>
        <v>0.10387160629364336</v>
      </c>
      <c r="E589894" s="277">
        <v>5.8871606293643367E-2</v>
      </c>
      <c r="F589894" s="277">
        <v>0.24707349543413576</v>
      </c>
    </row>
    <row r="589895" spans="1:6" ht="16">
      <c r="A589895" s="347" t="s">
        <v>283</v>
      </c>
      <c r="B589895" s="348" t="s">
        <v>589</v>
      </c>
      <c r="C589895" s="349">
        <v>2.7273515373171343E-2</v>
      </c>
      <c r="D589895" s="349">
        <f t="shared" si="37"/>
        <v>8.161304671092226E-2</v>
      </c>
      <c r="E589895" s="349">
        <v>3.6613046710922262E-2</v>
      </c>
      <c r="F589895" s="349">
        <v>0.22</v>
      </c>
    </row>
    <row r="589896" spans="1:6" ht="16">
      <c r="A589896" s="347" t="s">
        <v>856</v>
      </c>
      <c r="B589896" s="154" t="s">
        <v>687</v>
      </c>
      <c r="C589896" s="277">
        <f>J589896</f>
        <v>0</v>
      </c>
      <c r="D589896" s="349">
        <f t="shared" si="37"/>
        <v>4.4999999999999998E-2</v>
      </c>
      <c r="E589896" s="277">
        <f>H589896</f>
        <v>0</v>
      </c>
      <c r="F589896" s="277">
        <f>K589896</f>
        <v>0</v>
      </c>
    </row>
    <row r="589897" spans="1:6" ht="16">
      <c r="A589897" s="347" t="s">
        <v>284</v>
      </c>
      <c r="B589897" s="348" t="s">
        <v>589</v>
      </c>
      <c r="C589897" s="349">
        <v>2.7273515373171343E-2</v>
      </c>
      <c r="D589897" s="349">
        <f t="shared" si="37"/>
        <v>8.161304671092226E-2</v>
      </c>
      <c r="E589897" s="349">
        <v>3.6613046710922262E-2</v>
      </c>
      <c r="F589897" s="349">
        <v>0.25</v>
      </c>
    </row>
    <row r="589898" spans="1:6" ht="16">
      <c r="A589898" s="347" t="s">
        <v>690</v>
      </c>
      <c r="B589898" s="348" t="s">
        <v>585</v>
      </c>
      <c r="C589898" s="349">
        <v>7.6826803868088279E-3</v>
      </c>
      <c r="D589898" s="349">
        <f t="shared" si="37"/>
        <v>5.5313534284766833E-2</v>
      </c>
      <c r="E589898" s="349">
        <v>1.0313534284766834E-2</v>
      </c>
      <c r="F589898" s="349">
        <v>0</v>
      </c>
    </row>
    <row r="589899" spans="1:6" ht="16">
      <c r="A589899" s="351" t="s">
        <v>590</v>
      </c>
      <c r="B589899" s="348" t="s">
        <v>687</v>
      </c>
      <c r="C589899" s="349">
        <v>9.8082219604926024E-2</v>
      </c>
      <c r="D589899" s="349">
        <f t="shared" si="37"/>
        <v>0.17666945436885656</v>
      </c>
      <c r="E589899" s="349">
        <v>0.13166945436885658</v>
      </c>
      <c r="F589899" s="349">
        <v>0.29149999999999998</v>
      </c>
    </row>
    <row r="589900" spans="1:6" ht="16">
      <c r="A589900" s="350" t="s">
        <v>591</v>
      </c>
      <c r="B589900" s="348" t="s">
        <v>687</v>
      </c>
      <c r="C589900" s="349">
        <v>5.9924907017108842E-2</v>
      </c>
      <c r="D589900" s="349">
        <f t="shared" si="37"/>
        <v>0.12544556742118129</v>
      </c>
      <c r="E589900" s="349">
        <v>8.0445567421181294E-2</v>
      </c>
      <c r="F589900" s="349">
        <v>0.29149999999999998</v>
      </c>
    </row>
    <row r="589901" spans="1:6" ht="16">
      <c r="A589901" s="351" t="s">
        <v>592</v>
      </c>
      <c r="B589901" s="348" t="s">
        <v>687</v>
      </c>
      <c r="C589901" s="349">
        <v>1.7414075543433345E-2</v>
      </c>
      <c r="D589901" s="349">
        <f t="shared" si="37"/>
        <v>6.8377344378804827E-2</v>
      </c>
      <c r="E589901" s="349">
        <v>2.3377344378804829E-2</v>
      </c>
      <c r="F589901" s="349">
        <v>0.18640000000000001</v>
      </c>
    </row>
    <row r="589902" spans="1:6" ht="16">
      <c r="A589902" s="350" t="s">
        <v>593</v>
      </c>
      <c r="B589902" s="348" t="s">
        <v>687</v>
      </c>
      <c r="C589902" s="349">
        <v>0.10896601681957191</v>
      </c>
      <c r="D589902" s="349">
        <f t="shared" si="37"/>
        <v>0.19128029460560964</v>
      </c>
      <c r="E589902" s="349">
        <v>0.14628029460560965</v>
      </c>
      <c r="F589902" s="349">
        <v>0.18640000000000001</v>
      </c>
    </row>
    <row r="589903" spans="1:6" ht="16">
      <c r="A589903" s="347" t="s">
        <v>285</v>
      </c>
      <c r="B589903" s="348" t="s">
        <v>569</v>
      </c>
      <c r="C589903" s="349">
        <v>4.9041109802463012E-2</v>
      </c>
      <c r="D589903" s="349">
        <f t="shared" si="37"/>
        <v>0.11083472718442829</v>
      </c>
      <c r="E589903" s="349">
        <v>6.5834727184428288E-2</v>
      </c>
      <c r="F589903" s="349">
        <v>0.25</v>
      </c>
    </row>
    <row r="589904" spans="1:6" ht="16">
      <c r="A589904" s="347" t="s">
        <v>286</v>
      </c>
      <c r="B589904" s="348" t="s">
        <v>580</v>
      </c>
      <c r="C589904" s="349">
        <v>6.5302783287875029E-3</v>
      </c>
      <c r="D589904" s="349">
        <f t="shared" si="37"/>
        <v>5.3766504142051808E-2</v>
      </c>
      <c r="E589904" s="349">
        <v>8.7665041420518092E-3</v>
      </c>
      <c r="F589904" s="349">
        <v>0.16500000000000001</v>
      </c>
    </row>
    <row r="589905" spans="1:6" ht="16">
      <c r="A589905" s="347" t="s">
        <v>287</v>
      </c>
      <c r="B589905" s="348" t="s">
        <v>571</v>
      </c>
      <c r="C589905" s="349">
        <v>2.0743237044383835E-2</v>
      </c>
      <c r="D589905" s="349">
        <f t="shared" si="37"/>
        <v>7.2846542568870451E-2</v>
      </c>
      <c r="E589905" s="349">
        <v>2.7846542568870453E-2</v>
      </c>
      <c r="F589905" s="349">
        <v>0.09</v>
      </c>
    </row>
    <row r="589906" spans="1:6" ht="16">
      <c r="A589906" s="347" t="s">
        <v>288</v>
      </c>
      <c r="B589906" s="348" t="s">
        <v>583</v>
      </c>
      <c r="C589906" s="349">
        <v>9.2192164641705932E-3</v>
      </c>
      <c r="D589906" s="349">
        <f t="shared" si="37"/>
        <v>5.73762411417202E-2</v>
      </c>
      <c r="E589906" s="349">
        <v>1.2376241141720201E-2</v>
      </c>
      <c r="F589906" s="349">
        <v>0.2</v>
      </c>
    </row>
    <row r="589907" spans="1:6" ht="16">
      <c r="A589907" s="347" t="s">
        <v>289</v>
      </c>
      <c r="B589907" s="348" t="s">
        <v>577</v>
      </c>
      <c r="C589907" s="349">
        <v>2.3944353872220846E-2</v>
      </c>
      <c r="D589907" s="349">
        <f t="shared" si="37"/>
        <v>7.7143848520856623E-2</v>
      </c>
      <c r="E589907" s="349">
        <v>3.2143848520856624E-2</v>
      </c>
      <c r="F589907" s="349">
        <v>0.3</v>
      </c>
    </row>
    <row r="589908" spans="1:6" ht="16">
      <c r="A589908" s="347" t="s">
        <v>290</v>
      </c>
      <c r="B589908" s="348" t="s">
        <v>571</v>
      </c>
      <c r="C589908" s="349">
        <v>2.0743237044383835E-2</v>
      </c>
      <c r="D589908" s="349">
        <f t="shared" si="37"/>
        <v>7.2846542568870451E-2</v>
      </c>
      <c r="E589908" s="349">
        <v>2.7846542568870453E-2</v>
      </c>
      <c r="F589908" s="349">
        <v>0.22</v>
      </c>
    </row>
    <row r="589909" spans="1:6" ht="16">
      <c r="A589909" s="351" t="s">
        <v>594</v>
      </c>
      <c r="B589909" s="348" t="s">
        <v>687</v>
      </c>
      <c r="C589909" s="349">
        <v>7.0808704231754685E-2</v>
      </c>
      <c r="D589909" s="349">
        <f t="shared" si="37"/>
        <v>0.14005640765793431</v>
      </c>
      <c r="E589909" s="349">
        <v>9.5056407657934314E-2</v>
      </c>
      <c r="F589909" s="349">
        <v>0.20230000000000001</v>
      </c>
    </row>
    <row r="589910" spans="1:6" ht="16">
      <c r="A589910" s="347" t="s">
        <v>559</v>
      </c>
      <c r="B589910" s="348" t="s">
        <v>579</v>
      </c>
      <c r="C589910" s="349">
        <v>8.1692501446400528E-2</v>
      </c>
      <c r="D589910" s="349">
        <f t="shared" si="37"/>
        <v>0.15466724789468733</v>
      </c>
      <c r="E589910" s="349">
        <v>0.10966724789468733</v>
      </c>
      <c r="F589910" s="349">
        <v>0.15</v>
      </c>
    </row>
    <row r="589911" spans="1:6" ht="16">
      <c r="A589911" s="347" t="s">
        <v>291</v>
      </c>
      <c r="B589911" s="348" t="s">
        <v>580</v>
      </c>
      <c r="C589911" s="349">
        <v>6.5302783287875029E-3</v>
      </c>
      <c r="D589911" s="349">
        <f t="shared" si="37"/>
        <v>5.3766504142051808E-2</v>
      </c>
      <c r="E589911" s="349">
        <v>8.7665041420518092E-3</v>
      </c>
      <c r="F589911" s="349">
        <v>0.125</v>
      </c>
    </row>
    <row r="589912" spans="1:6" ht="16">
      <c r="A589912" s="347" t="s">
        <v>292</v>
      </c>
      <c r="B589912" s="348" t="s">
        <v>580</v>
      </c>
      <c r="C589912" s="349">
        <v>6.5302783287875029E-3</v>
      </c>
      <c r="D589912" s="349">
        <f t="shared" si="37"/>
        <v>5.3766504142051808E-2</v>
      </c>
      <c r="E589912" s="349">
        <v>8.7665041420518092E-3</v>
      </c>
      <c r="F589912" s="349">
        <v>0</v>
      </c>
    </row>
    <row r="589913" spans="1:6" ht="16">
      <c r="A589913" s="347" t="s">
        <v>293</v>
      </c>
      <c r="B589913" s="348" t="s">
        <v>585</v>
      </c>
      <c r="C589913" s="349">
        <v>7.6826803868088279E-3</v>
      </c>
      <c r="D589913" s="349">
        <f t="shared" si="37"/>
        <v>5.5313534284766833E-2</v>
      </c>
      <c r="E589913" s="349">
        <v>1.0313534284766834E-2</v>
      </c>
      <c r="F589913" s="349">
        <v>0.23</v>
      </c>
    </row>
    <row r="589914" spans="1:6" ht="16">
      <c r="A589914" s="347" t="s">
        <v>294</v>
      </c>
      <c r="B589914" s="348" t="s">
        <v>577</v>
      </c>
      <c r="C589914" s="349">
        <v>2.3944353872220846E-2</v>
      </c>
      <c r="D589914" s="349">
        <f t="shared" si="37"/>
        <v>7.7143848520856623E-2</v>
      </c>
      <c r="E589914" s="349">
        <v>3.2143848520856624E-2</v>
      </c>
      <c r="F589914" s="349">
        <v>0.24</v>
      </c>
    </row>
    <row r="589915" spans="1:6" ht="16">
      <c r="A589915" s="347" t="s">
        <v>857</v>
      </c>
      <c r="B589915" s="348" t="s">
        <v>578</v>
      </c>
      <c r="C589915" s="349">
        <v>3.9181669972725021E-2</v>
      </c>
      <c r="D589915" s="349">
        <f t="shared" si="37"/>
        <v>9.7599024852310853E-2</v>
      </c>
      <c r="E589915" s="349">
        <v>5.2599024852310855E-2</v>
      </c>
      <c r="F589915" s="349">
        <v>0.25</v>
      </c>
    </row>
    <row r="589916" spans="1:6" ht="16">
      <c r="A589916" s="347" t="s">
        <v>295</v>
      </c>
      <c r="B589916" s="348" t="s">
        <v>569</v>
      </c>
      <c r="C589916" s="349">
        <v>4.9041109802463012E-2</v>
      </c>
      <c r="D589916" s="349">
        <f t="shared" si="37"/>
        <v>0.11083472718442829</v>
      </c>
      <c r="E589916" s="349">
        <v>6.5834727184428288E-2</v>
      </c>
      <c r="F589916" s="349">
        <v>0.25</v>
      </c>
    </row>
    <row r="589917" spans="1:6" ht="16">
      <c r="A589917" s="347" t="s">
        <v>296</v>
      </c>
      <c r="B589917" s="348" t="s">
        <v>585</v>
      </c>
      <c r="C589917" s="349">
        <v>7.6826803868088279E-3</v>
      </c>
      <c r="D589917" s="349">
        <f t="shared" si="37"/>
        <v>5.5313534284766833E-2</v>
      </c>
      <c r="E589917" s="349">
        <v>1.0313534284766834E-2</v>
      </c>
      <c r="F589917" s="349">
        <v>0.30620000000000003</v>
      </c>
    </row>
    <row r="589918" spans="1:6" ht="16">
      <c r="A589918" s="347" t="s">
        <v>691</v>
      </c>
      <c r="B589918" s="348" t="s">
        <v>580</v>
      </c>
      <c r="C589918" s="349">
        <v>6.5302783287875029E-3</v>
      </c>
      <c r="D589918" s="349">
        <f t="shared" si="37"/>
        <v>5.3766504142051808E-2</v>
      </c>
      <c r="E589918" s="349">
        <v>8.7665041420518092E-3</v>
      </c>
      <c r="F589918" s="349">
        <v>0</v>
      </c>
    </row>
    <row r="589919" spans="1:6" ht="16">
      <c r="A589919" s="347" t="s">
        <v>297</v>
      </c>
      <c r="B589919" s="348" t="s">
        <v>569</v>
      </c>
      <c r="C589919" s="349">
        <v>4.9041109802463012E-2</v>
      </c>
      <c r="D589919" s="349">
        <f t="shared" si="37"/>
        <v>0.11083472718442829</v>
      </c>
      <c r="E589919" s="349">
        <v>6.5834727184428288E-2</v>
      </c>
      <c r="F589919" s="349">
        <v>0.2</v>
      </c>
    </row>
    <row r="589920" spans="1:6" ht="16">
      <c r="A589920" s="347" t="s">
        <v>298</v>
      </c>
      <c r="B589920" s="348" t="s">
        <v>571</v>
      </c>
      <c r="C589920" s="349">
        <v>2.0743237044383835E-2</v>
      </c>
      <c r="D589920" s="349">
        <f t="shared" si="37"/>
        <v>7.2846542568870451E-2</v>
      </c>
      <c r="E589920" s="349">
        <v>2.7846542568870453E-2</v>
      </c>
      <c r="F589920" s="349">
        <v>0.2</v>
      </c>
    </row>
    <row r="589921" spans="1:6" ht="16">
      <c r="A589921" s="347" t="s">
        <v>429</v>
      </c>
      <c r="B589921" s="348" t="s">
        <v>581</v>
      </c>
      <c r="C589921" s="349">
        <v>7.0808704231754685E-2</v>
      </c>
      <c r="D589921" s="349">
        <f t="shared" si="37"/>
        <v>0.14005640765793431</v>
      </c>
      <c r="E589921" s="349">
        <v>9.5056407657934314E-2</v>
      </c>
      <c r="F589921" s="349">
        <v>0.3</v>
      </c>
    </row>
    <row r="589922" spans="1:6" ht="16">
      <c r="A589922" s="350" t="s">
        <v>595</v>
      </c>
      <c r="B589922" s="348" t="s">
        <v>687</v>
      </c>
      <c r="C589922" s="349">
        <v>0.17499999999999999</v>
      </c>
      <c r="D589922" s="349">
        <f t="shared" si="37"/>
        <v>0.27992692770782934</v>
      </c>
      <c r="E589922" s="349">
        <v>0.23492692770782936</v>
      </c>
      <c r="F589922" s="349">
        <v>0.23100000000000001</v>
      </c>
    </row>
    <row r="589923" spans="1:6" ht="16">
      <c r="A589923" s="347" t="s">
        <v>299</v>
      </c>
      <c r="B589923" s="348" t="s">
        <v>585</v>
      </c>
      <c r="C589923" s="349">
        <v>7.6826803868088279E-3</v>
      </c>
      <c r="D589923" s="349">
        <f t="shared" si="37"/>
        <v>5.5313534284766833E-2</v>
      </c>
      <c r="E589923" s="349">
        <v>1.0313534284766834E-2</v>
      </c>
      <c r="F589923" s="349">
        <v>0.15</v>
      </c>
    </row>
    <row r="589924" spans="1:6" ht="16">
      <c r="A589924" s="347" t="s">
        <v>488</v>
      </c>
      <c r="B589924" s="348" t="s">
        <v>581</v>
      </c>
      <c r="C589924" s="349">
        <v>7.0808704231754685E-2</v>
      </c>
      <c r="D589924" s="349">
        <f t="shared" si="37"/>
        <v>0.14005640765793431</v>
      </c>
      <c r="E589924" s="349">
        <v>9.5056407657934314E-2</v>
      </c>
      <c r="F589924" s="349">
        <v>0.1</v>
      </c>
    </row>
    <row r="589925" spans="1:6" ht="16">
      <c r="A589925" s="347" t="s">
        <v>622</v>
      </c>
      <c r="B589925" s="348" t="s">
        <v>689</v>
      </c>
      <c r="C589925" s="349">
        <v>0.10896601681957188</v>
      </c>
      <c r="D589925" s="349">
        <f t="shared" si="37"/>
        <v>0.19128029460560964</v>
      </c>
      <c r="E589925" s="349">
        <v>0.14628029460560965</v>
      </c>
      <c r="F589925" s="349">
        <v>0.26860000000000001</v>
      </c>
    </row>
    <row r="589926" spans="1:6" ht="16">
      <c r="A589926" s="347" t="s">
        <v>300</v>
      </c>
      <c r="B589926" s="348" t="s">
        <v>587</v>
      </c>
      <c r="C589926" s="349">
        <v>1.3060556657575006E-2</v>
      </c>
      <c r="D589926" s="349">
        <f t="shared" si="37"/>
        <v>6.2533008284103617E-2</v>
      </c>
      <c r="E589926" s="349">
        <v>1.7533008284103618E-2</v>
      </c>
      <c r="F589926" s="349">
        <v>0.2</v>
      </c>
    </row>
    <row r="589927" spans="1:6" ht="16">
      <c r="A589927" s="347" t="s">
        <v>366</v>
      </c>
      <c r="B589927" s="348" t="s">
        <v>615</v>
      </c>
      <c r="C589927" s="349">
        <v>0.17499999999999999</v>
      </c>
      <c r="D589927" s="349">
        <f t="shared" si="37"/>
        <v>0.27992692770782934</v>
      </c>
      <c r="E589927" s="349">
        <v>0.23492692770782936</v>
      </c>
      <c r="F589927" s="349">
        <v>0.17</v>
      </c>
    </row>
    <row r="589928" spans="1:6" ht="16">
      <c r="A589928" s="351" t="s">
        <v>596</v>
      </c>
      <c r="B589928" s="348" t="s">
        <v>687</v>
      </c>
      <c r="C589928" s="349">
        <v>0.13073361124886354</v>
      </c>
      <c r="D589928" s="349">
        <f t="shared" si="37"/>
        <v>0.22050197507911562</v>
      </c>
      <c r="E589928" s="349">
        <v>0.17550197507911564</v>
      </c>
      <c r="F589928" s="349">
        <v>0.29149999999999998</v>
      </c>
    </row>
    <row r="589929" spans="1:6" ht="16">
      <c r="A589929" s="350" t="s">
        <v>597</v>
      </c>
      <c r="B589929" s="348" t="s">
        <v>687</v>
      </c>
      <c r="C589929" s="349">
        <v>2.0743237044383835E-2</v>
      </c>
      <c r="D589929" s="349">
        <f t="shared" si="37"/>
        <v>7.2846542568870451E-2</v>
      </c>
      <c r="E589929" s="349">
        <v>2.7846542568870453E-2</v>
      </c>
      <c r="F589929" s="349">
        <v>0.2</v>
      </c>
    </row>
    <row r="589930" spans="1:6" ht="16">
      <c r="A589930" s="347" t="s">
        <v>301</v>
      </c>
      <c r="B589930" s="348" t="s">
        <v>574</v>
      </c>
      <c r="C589930" s="349">
        <v>0</v>
      </c>
      <c r="D589930" s="349">
        <f t="shared" si="37"/>
        <v>4.4999999999999998E-2</v>
      </c>
      <c r="E589930" s="349">
        <v>0</v>
      </c>
      <c r="F589930" s="349">
        <v>0.125</v>
      </c>
    </row>
    <row r="589931" spans="1:6" ht="16">
      <c r="A589931" s="347" t="s">
        <v>302</v>
      </c>
      <c r="B589931" s="348" t="s">
        <v>583</v>
      </c>
      <c r="C589931" s="349">
        <v>9.2192164641705932E-3</v>
      </c>
      <c r="D589931" s="349">
        <f t="shared" si="37"/>
        <v>5.73762411417202E-2</v>
      </c>
      <c r="E589931" s="349">
        <v>1.2376241141720201E-2</v>
      </c>
      <c r="F589931" s="349">
        <v>0.15</v>
      </c>
    </row>
    <row r="589932" spans="1:6" ht="16">
      <c r="A589932" s="347" t="s">
        <v>303</v>
      </c>
      <c r="B589932" s="348" t="s">
        <v>574</v>
      </c>
      <c r="C589932" s="349">
        <v>0</v>
      </c>
      <c r="D589932" s="349">
        <f t="shared" si="37"/>
        <v>4.4999999999999998E-2</v>
      </c>
      <c r="E589932" s="349">
        <v>0</v>
      </c>
      <c r="F589932" s="349">
        <v>0.24940000000000001</v>
      </c>
    </row>
    <row r="589933" spans="1:6" ht="16">
      <c r="A589933" s="347" t="s">
        <v>858</v>
      </c>
      <c r="B589933" s="348" t="s">
        <v>580</v>
      </c>
      <c r="C589933" s="349">
        <v>6.5302783287875029E-3</v>
      </c>
      <c r="D589933" s="349">
        <f t="shared" si="37"/>
        <v>5.3766504142051808E-2</v>
      </c>
      <c r="E589933" s="349">
        <v>8.7665041420518092E-3</v>
      </c>
      <c r="F589933" s="349">
        <v>0.26860000000000001</v>
      </c>
    </row>
    <row r="589934" spans="1:6" ht="16">
      <c r="A589934" s="347" t="s">
        <v>304</v>
      </c>
      <c r="B589934" s="348" t="s">
        <v>578</v>
      </c>
      <c r="C589934" s="349">
        <v>3.9181669972725021E-2</v>
      </c>
      <c r="D589934" s="349">
        <f t="shared" si="37"/>
        <v>9.7599024852310853E-2</v>
      </c>
      <c r="E589934" s="349">
        <v>5.2599024852310855E-2</v>
      </c>
      <c r="F589934" s="349">
        <v>0.1</v>
      </c>
    </row>
    <row r="589935" spans="1:6" ht="16">
      <c r="A589935" s="351" t="s">
        <v>598</v>
      </c>
      <c r="B589935" s="348" t="s">
        <v>687</v>
      </c>
      <c r="C589935" s="349">
        <v>7.0808704231754685E-2</v>
      </c>
      <c r="D589935" s="349">
        <f t="shared" si="37"/>
        <v>0.14005640765793431</v>
      </c>
      <c r="E589935" s="349">
        <v>9.5056407657934314E-2</v>
      </c>
      <c r="F589935" s="349">
        <v>0.2</v>
      </c>
    </row>
    <row r="589936" spans="1:6" ht="16">
      <c r="A589936" s="350" t="s">
        <v>599</v>
      </c>
      <c r="B589936" s="348" t="s">
        <v>687</v>
      </c>
      <c r="C589936" s="349">
        <v>0.13073361124886354</v>
      </c>
      <c r="D589936" s="349">
        <f t="shared" si="37"/>
        <v>0.22050197507911562</v>
      </c>
      <c r="E589936" s="349">
        <v>0.17550197507911564</v>
      </c>
      <c r="F589936" s="349">
        <v>0.3</v>
      </c>
    </row>
    <row r="589937" spans="1:6" ht="16">
      <c r="A589937" s="347" t="s">
        <v>305</v>
      </c>
      <c r="B589937" s="348" t="s">
        <v>587</v>
      </c>
      <c r="C589937" s="349">
        <v>1.3060556657575006E-2</v>
      </c>
      <c r="D589937" s="349">
        <f t="shared" si="37"/>
        <v>6.2533008284103617E-2</v>
      </c>
      <c r="E589937" s="349">
        <v>1.7533008284103618E-2</v>
      </c>
      <c r="F589937" s="349">
        <v>0.24</v>
      </c>
    </row>
    <row r="589938" spans="1:6" ht="16">
      <c r="A589938" s="347" t="s">
        <v>692</v>
      </c>
      <c r="B589938" s="348" t="s">
        <v>579</v>
      </c>
      <c r="C589938" s="349">
        <v>8.1692501446400528E-2</v>
      </c>
      <c r="D589938" s="349">
        <f t="shared" si="37"/>
        <v>0.15466724789468733</v>
      </c>
      <c r="E589938" s="349">
        <v>0.10966724789468733</v>
      </c>
      <c r="F589938" s="349">
        <v>0.26860000000000001</v>
      </c>
    </row>
    <row r="589939" spans="1:6" ht="16">
      <c r="A589939" s="347" t="s">
        <v>600</v>
      </c>
      <c r="B589939" s="348" t="s">
        <v>586</v>
      </c>
      <c r="C589939" s="349">
        <v>9.8082219604926024E-2</v>
      </c>
      <c r="D589939" s="349">
        <f t="shared" si="37"/>
        <v>0.17666945436885656</v>
      </c>
      <c r="E589939" s="349">
        <v>0.13166945436885658</v>
      </c>
      <c r="F589939" s="349">
        <v>0.26860000000000001</v>
      </c>
    </row>
    <row r="589940" spans="1:6" ht="16">
      <c r="A589940" s="347" t="s">
        <v>306</v>
      </c>
      <c r="B589940" s="348" t="s">
        <v>583</v>
      </c>
      <c r="C589940" s="349">
        <v>9.2192164641705932E-3</v>
      </c>
      <c r="D589940" s="349">
        <f t="shared" si="37"/>
        <v>5.73762411417202E-2</v>
      </c>
      <c r="E589940" s="349">
        <v>1.2376241141720201E-2</v>
      </c>
      <c r="F589940" s="349">
        <v>0.35</v>
      </c>
    </row>
    <row r="589941" spans="1:6" ht="16">
      <c r="A589941" s="347" t="s">
        <v>859</v>
      </c>
      <c r="B589941" s="154" t="s">
        <v>687</v>
      </c>
      <c r="C589941" s="277">
        <f>J589941</f>
        <v>0</v>
      </c>
      <c r="D589941" s="349">
        <f t="shared" si="37"/>
        <v>4.4999999999999998E-2</v>
      </c>
      <c r="E589941" s="277">
        <f>H589941</f>
        <v>0</v>
      </c>
      <c r="F589941" s="277">
        <f>K589941</f>
        <v>0</v>
      </c>
    </row>
    <row r="589942" spans="1:6" ht="16">
      <c r="A589942" s="347" t="s">
        <v>307</v>
      </c>
      <c r="B589942" s="348" t="s">
        <v>577</v>
      </c>
      <c r="C589942" s="349">
        <v>2.3944353872220846E-2</v>
      </c>
      <c r="D589942" s="349">
        <f t="shared" si="37"/>
        <v>7.7143848520856623E-2</v>
      </c>
      <c r="E589942" s="349">
        <v>3.2143848520856624E-2</v>
      </c>
      <c r="F589942" s="349">
        <v>0.15</v>
      </c>
    </row>
    <row r="589943" spans="1:6" ht="16">
      <c r="A589943" s="347" t="s">
        <v>308</v>
      </c>
      <c r="B589943" s="348" t="s">
        <v>571</v>
      </c>
      <c r="C589943" s="349">
        <v>2.0743237044383835E-2</v>
      </c>
      <c r="D589943" s="349">
        <f t="shared" si="37"/>
        <v>7.2846542568870451E-2</v>
      </c>
      <c r="E589943" s="349">
        <v>2.7846542568870453E-2</v>
      </c>
      <c r="F589943" s="349">
        <v>0.3</v>
      </c>
    </row>
    <row r="589944" spans="1:6" ht="16">
      <c r="A589944" s="347" t="s">
        <v>860</v>
      </c>
      <c r="B589944" s="154" t="s">
        <v>687</v>
      </c>
      <c r="C589944" s="277">
        <v>9.5882201472833571E-3</v>
      </c>
      <c r="D589944" s="349">
        <f t="shared" si="37"/>
        <v>0.10387160629364336</v>
      </c>
      <c r="E589944" s="277">
        <v>5.8871606293643367E-2</v>
      </c>
      <c r="F589944" s="277">
        <v>0.24707349543413576</v>
      </c>
    </row>
    <row r="589945" spans="1:6" ht="16">
      <c r="A589945" s="347" t="s">
        <v>367</v>
      </c>
      <c r="B589945" s="348" t="s">
        <v>581</v>
      </c>
      <c r="C589945" s="349">
        <v>7.0808704231754685E-2</v>
      </c>
      <c r="D589945" s="349">
        <f t="shared" si="37"/>
        <v>0.14005640765793431</v>
      </c>
      <c r="E589945" s="349">
        <v>9.5056407657934314E-2</v>
      </c>
      <c r="F589945" s="349">
        <v>0.12</v>
      </c>
    </row>
    <row r="589946" spans="1:6" ht="16">
      <c r="A589946" s="347" t="s">
        <v>368</v>
      </c>
      <c r="B589946" s="348" t="s">
        <v>581</v>
      </c>
      <c r="C589946" s="349">
        <v>7.0808704231754685E-2</v>
      </c>
      <c r="D589946" s="349">
        <f t="shared" si="37"/>
        <v>0.14005640765793431</v>
      </c>
      <c r="E589946" s="349">
        <v>9.5056407657934314E-2</v>
      </c>
      <c r="F589946" s="349">
        <v>0.25</v>
      </c>
    </row>
    <row r="589947" spans="1:6" ht="16">
      <c r="A589947" s="347" t="s">
        <v>309</v>
      </c>
      <c r="B589947" s="348" t="s">
        <v>569</v>
      </c>
      <c r="C589947" s="349">
        <v>4.9041109802463012E-2</v>
      </c>
      <c r="D589947" s="349">
        <f t="shared" si="37"/>
        <v>0.11083472718442829</v>
      </c>
      <c r="E589947" s="349">
        <v>6.5834727184428288E-2</v>
      </c>
      <c r="F589947" s="349">
        <v>0.15</v>
      </c>
    </row>
    <row r="589948" spans="1:6" ht="16">
      <c r="A589948" s="347" t="s">
        <v>489</v>
      </c>
      <c r="B589948" s="348" t="s">
        <v>577</v>
      </c>
      <c r="C589948" s="349">
        <v>2.3944353872220846E-2</v>
      </c>
      <c r="D589948" s="349">
        <f t="shared" si="37"/>
        <v>7.7143848520856623E-2</v>
      </c>
      <c r="E589948" s="349">
        <v>3.2143848520856624E-2</v>
      </c>
      <c r="F589948" s="349">
        <v>0.2853</v>
      </c>
    </row>
    <row r="589949" spans="1:6" ht="16">
      <c r="A589949" s="347" t="s">
        <v>369</v>
      </c>
      <c r="B589949" s="348" t="s">
        <v>589</v>
      </c>
      <c r="C589949" s="349">
        <v>2.7273515373171343E-2</v>
      </c>
      <c r="D589949" s="349">
        <f t="shared" si="37"/>
        <v>8.161304671092226E-2</v>
      </c>
      <c r="E589949" s="349">
        <v>3.6613046710922262E-2</v>
      </c>
      <c r="F589949" s="349">
        <v>0.32</v>
      </c>
    </row>
    <row r="589950" spans="1:6" ht="16">
      <c r="A589950" s="347" t="s">
        <v>310</v>
      </c>
      <c r="B589950" s="348" t="s">
        <v>586</v>
      </c>
      <c r="C589950" s="349">
        <v>9.8082219604926024E-2</v>
      </c>
      <c r="D589950" s="349">
        <f t="shared" si="37"/>
        <v>0.17666945436885656</v>
      </c>
      <c r="E589950" s="349">
        <v>0.13166945436885658</v>
      </c>
      <c r="F589950" s="349">
        <v>0.32</v>
      </c>
    </row>
    <row r="589951" spans="1:6" ht="16">
      <c r="A589951" s="351" t="s">
        <v>601</v>
      </c>
      <c r="B589951" s="348" t="s">
        <v>687</v>
      </c>
      <c r="C589951" s="349">
        <v>0.10896601681957191</v>
      </c>
      <c r="D589951" s="349">
        <f t="shared" si="37"/>
        <v>0.19128029460560964</v>
      </c>
      <c r="E589951" s="349">
        <v>0.14628029460560965</v>
      </c>
      <c r="F589951" s="349">
        <v>0.25</v>
      </c>
    </row>
    <row r="589952" spans="1:6" ht="16">
      <c r="A589952" s="347" t="s">
        <v>311</v>
      </c>
      <c r="B589952" s="348" t="s">
        <v>569</v>
      </c>
      <c r="C589952" s="349">
        <v>4.9041109802463012E-2</v>
      </c>
      <c r="D589952" s="349">
        <f t="shared" si="37"/>
        <v>0.11083472718442829</v>
      </c>
      <c r="E589952" s="349">
        <v>6.5834727184428288E-2</v>
      </c>
      <c r="F589952" s="349">
        <v>0.32</v>
      </c>
    </row>
    <row r="589953" spans="1:6" ht="16">
      <c r="A589953" s="347" t="s">
        <v>312</v>
      </c>
      <c r="B589953" s="348" t="s">
        <v>574</v>
      </c>
      <c r="C589953" s="349">
        <v>0</v>
      </c>
      <c r="D589953" s="349">
        <f t="shared" si="37"/>
        <v>4.4999999999999998E-2</v>
      </c>
      <c r="E589953" s="349">
        <v>0</v>
      </c>
      <c r="F589953" s="349">
        <v>0.25800000000000001</v>
      </c>
    </row>
    <row r="589954" spans="1:6" ht="16">
      <c r="A589954" s="347" t="s">
        <v>861</v>
      </c>
      <c r="B589954" s="154" t="s">
        <v>687</v>
      </c>
      <c r="C589954" s="277">
        <v>0.1054310997313879</v>
      </c>
      <c r="D589954" s="349">
        <f t="shared" si="37"/>
        <v>0.23253488197001548</v>
      </c>
      <c r="E589954" s="277">
        <v>0.1875348819700155</v>
      </c>
      <c r="F589954" s="277">
        <v>0.2724561140242252</v>
      </c>
    </row>
    <row r="589955" spans="1:6" ht="16">
      <c r="A589955" s="347" t="s">
        <v>313</v>
      </c>
      <c r="B589955" s="348" t="s">
        <v>574</v>
      </c>
      <c r="C589955" s="349">
        <v>0</v>
      </c>
      <c r="D589955" s="349">
        <f t="shared" si="37"/>
        <v>4.4999999999999998E-2</v>
      </c>
      <c r="E589955" s="349">
        <v>0</v>
      </c>
      <c r="F589955" s="349">
        <v>0.28000000000000003</v>
      </c>
    </row>
    <row r="589956" spans="1:6" ht="16">
      <c r="A589956" s="347" t="s">
        <v>370</v>
      </c>
      <c r="B589956" s="348" t="s">
        <v>581</v>
      </c>
      <c r="C589956" s="349">
        <v>7.0808704231754685E-2</v>
      </c>
      <c r="D589956" s="349">
        <f t="shared" si="37"/>
        <v>0.14005640765793431</v>
      </c>
      <c r="E589956" s="349">
        <v>9.5056407657934314E-2</v>
      </c>
      <c r="F589956" s="349">
        <v>0.3</v>
      </c>
    </row>
    <row r="589957" spans="1:6" ht="16">
      <c r="A589957" s="347" t="s">
        <v>602</v>
      </c>
      <c r="B589957" s="348" t="s">
        <v>586</v>
      </c>
      <c r="C589957" s="349">
        <v>9.8082219604926024E-2</v>
      </c>
      <c r="D589957" s="349">
        <f t="shared" si="37"/>
        <v>0.17666945436885656</v>
      </c>
      <c r="E589957" s="349">
        <v>0.13166945436885658</v>
      </c>
      <c r="F589957" s="349">
        <v>0.26860000000000001</v>
      </c>
    </row>
    <row r="589958" spans="1:6" ht="16">
      <c r="A589958" s="347" t="s">
        <v>314</v>
      </c>
      <c r="B589958" s="348" t="s">
        <v>579</v>
      </c>
      <c r="C589958" s="349">
        <v>8.1692501446400528E-2</v>
      </c>
      <c r="D589958" s="349">
        <f t="shared" ref="D589958:D590019" si="38">$B$1+E589958</f>
        <v>0.15466724789468733</v>
      </c>
      <c r="E589958" s="349">
        <v>0.10966724789468733</v>
      </c>
      <c r="F589958" s="349">
        <v>0.3</v>
      </c>
    </row>
    <row r="589959" spans="1:6" ht="16">
      <c r="A589959" s="347" t="s">
        <v>315</v>
      </c>
      <c r="B589959" s="348" t="s">
        <v>574</v>
      </c>
      <c r="C589959" s="349">
        <v>0</v>
      </c>
      <c r="D589959" s="349">
        <f t="shared" si="38"/>
        <v>4.4999999999999998E-2</v>
      </c>
      <c r="E589959" s="349">
        <v>0</v>
      </c>
      <c r="F589959" s="349">
        <v>0.22</v>
      </c>
    </row>
    <row r="589960" spans="1:6" ht="16">
      <c r="A589960" s="347" t="s">
        <v>316</v>
      </c>
      <c r="B589960" s="348" t="s">
        <v>589</v>
      </c>
      <c r="C589960" s="349">
        <v>2.7273515373171343E-2</v>
      </c>
      <c r="D589960" s="349">
        <f t="shared" si="38"/>
        <v>8.161304671092226E-2</v>
      </c>
      <c r="E589960" s="349">
        <v>3.6613046710922262E-2</v>
      </c>
      <c r="F589960" s="349">
        <v>0.15</v>
      </c>
    </row>
    <row r="589961" spans="1:6" ht="16">
      <c r="A589961" s="347" t="s">
        <v>317</v>
      </c>
      <c r="B589961" s="348" t="s">
        <v>689</v>
      </c>
      <c r="C589961" s="349">
        <v>0.10896601681957188</v>
      </c>
      <c r="D589961" s="349">
        <f t="shared" si="38"/>
        <v>0.19128029460560964</v>
      </c>
      <c r="E589961" s="349">
        <v>0.14628029460560965</v>
      </c>
      <c r="F589961" s="349">
        <v>0.28999999999999998</v>
      </c>
    </row>
    <row r="589962" spans="1:6" ht="16">
      <c r="A589962" s="347" t="s">
        <v>862</v>
      </c>
      <c r="B589962" s="154" t="s">
        <v>687</v>
      </c>
      <c r="C589962" s="277">
        <v>1.6082653627874467E-2</v>
      </c>
      <c r="D589962" s="349">
        <f t="shared" si="38"/>
        <v>0.11258999089248985</v>
      </c>
      <c r="E589962" s="277">
        <v>6.7589990892489848E-2</v>
      </c>
      <c r="F589962" s="277">
        <v>0.18760152153615242</v>
      </c>
    </row>
    <row r="589963" spans="1:6" ht="16">
      <c r="A589963" s="347" t="s">
        <v>318</v>
      </c>
      <c r="B589963" s="348" t="s">
        <v>571</v>
      </c>
      <c r="C589963" s="349">
        <v>2.0743237044383835E-2</v>
      </c>
      <c r="D589963" s="349">
        <f t="shared" si="38"/>
        <v>7.2846542568870451E-2</v>
      </c>
      <c r="E589963" s="349">
        <v>2.7846542568870453E-2</v>
      </c>
      <c r="F589963" s="349">
        <v>0.25</v>
      </c>
    </row>
    <row r="589964" spans="1:6" ht="16">
      <c r="A589964" s="347" t="s">
        <v>319</v>
      </c>
      <c r="B589964" s="348" t="s">
        <v>572</v>
      </c>
      <c r="C589964" s="349">
        <v>5.9924907017108855E-2</v>
      </c>
      <c r="D589964" s="349">
        <f t="shared" si="38"/>
        <v>0.12544556742118129</v>
      </c>
      <c r="E589964" s="349">
        <v>8.0445567421181294E-2</v>
      </c>
      <c r="F589964" s="349">
        <v>0.3</v>
      </c>
    </row>
    <row r="589965" spans="1:6" ht="16">
      <c r="A589965" s="347" t="s">
        <v>320</v>
      </c>
      <c r="B589965" s="348" t="s">
        <v>589</v>
      </c>
      <c r="C589965" s="349">
        <v>2.7273515373171343E-2</v>
      </c>
      <c r="D589965" s="349">
        <f t="shared" si="38"/>
        <v>8.161304671092226E-2</v>
      </c>
      <c r="E589965" s="349">
        <v>3.6613046710922262E-2</v>
      </c>
      <c r="F589965" s="349">
        <v>0.1</v>
      </c>
    </row>
    <row r="589966" spans="1:6" ht="16">
      <c r="A589966" s="347" t="s">
        <v>321</v>
      </c>
      <c r="B589966" s="348" t="s">
        <v>573</v>
      </c>
      <c r="C589966" s="349">
        <v>1.7414075543433341E-2</v>
      </c>
      <c r="D589966" s="349">
        <f t="shared" si="38"/>
        <v>6.8377344378804827E-2</v>
      </c>
      <c r="E589966" s="349">
        <v>2.3377344378804829E-2</v>
      </c>
      <c r="F589966" s="349">
        <v>0.29499999999999998</v>
      </c>
    </row>
    <row r="589967" spans="1:6" ht="16">
      <c r="A589967" s="347" t="s">
        <v>322</v>
      </c>
      <c r="B589967" s="348" t="s">
        <v>571</v>
      </c>
      <c r="C589967" s="349">
        <v>2.0743237044383835E-2</v>
      </c>
      <c r="D589967" s="349">
        <f t="shared" si="38"/>
        <v>7.2846542568870451E-2</v>
      </c>
      <c r="E589967" s="349">
        <v>2.7846542568870453E-2</v>
      </c>
      <c r="F589967" s="349">
        <v>0.25</v>
      </c>
    </row>
    <row r="589968" spans="1:6" ht="16">
      <c r="A589968" s="347" t="s">
        <v>323</v>
      </c>
      <c r="B589968" s="348" t="s">
        <v>583</v>
      </c>
      <c r="C589968" s="349">
        <v>9.2192164641705932E-3</v>
      </c>
      <c r="D589968" s="349">
        <f t="shared" si="38"/>
        <v>5.73762411417202E-2</v>
      </c>
      <c r="E589968" s="349">
        <v>1.2376241141720201E-2</v>
      </c>
      <c r="F589968" s="349">
        <v>0.19</v>
      </c>
    </row>
    <row r="589969" spans="1:6" ht="16">
      <c r="A589969" s="347" t="s">
        <v>324</v>
      </c>
      <c r="B589969" s="348" t="s">
        <v>587</v>
      </c>
      <c r="C589969" s="349">
        <v>1.3060556657575006E-2</v>
      </c>
      <c r="D589969" s="349">
        <f t="shared" si="38"/>
        <v>6.2533008284103617E-2</v>
      </c>
      <c r="E589969" s="349">
        <v>1.7533008284103618E-2</v>
      </c>
      <c r="F589969" s="349">
        <v>0.21</v>
      </c>
    </row>
    <row r="589970" spans="1:6" ht="16">
      <c r="A589970" s="347" t="s">
        <v>325</v>
      </c>
      <c r="B589970" s="348" t="s">
        <v>580</v>
      </c>
      <c r="C589970" s="349">
        <v>6.5302783287875029E-3</v>
      </c>
      <c r="D589970" s="349">
        <f t="shared" si="38"/>
        <v>5.3766504142051808E-2</v>
      </c>
      <c r="E589970" s="349">
        <v>8.7665041420518092E-3</v>
      </c>
      <c r="F589970" s="349">
        <v>0.1</v>
      </c>
    </row>
    <row r="589971" spans="1:6" ht="16">
      <c r="A589971" s="347" t="s">
        <v>503</v>
      </c>
      <c r="B589971" s="348" t="s">
        <v>587</v>
      </c>
      <c r="C589971" s="349">
        <v>1.3060556657575006E-2</v>
      </c>
      <c r="D589971" s="349">
        <f t="shared" si="38"/>
        <v>6.2533008284103617E-2</v>
      </c>
      <c r="E589971" s="349">
        <v>1.7533008284103618E-2</v>
      </c>
      <c r="F589971" s="349">
        <v>0</v>
      </c>
    </row>
    <row r="589972" spans="1:6" ht="16">
      <c r="A589972" s="347" t="s">
        <v>863</v>
      </c>
      <c r="B589972" s="154" t="s">
        <v>687</v>
      </c>
      <c r="C589972" s="277">
        <v>1.2518555898193178E-2</v>
      </c>
      <c r="D589972" s="349">
        <f t="shared" si="38"/>
        <v>0.10780540500857855</v>
      </c>
      <c r="E589972" s="277">
        <v>6.2805405008578549E-2</v>
      </c>
      <c r="F589972" s="277">
        <v>0.2576437502455447</v>
      </c>
    </row>
    <row r="589973" spans="1:6" ht="16">
      <c r="A589973" s="347" t="s">
        <v>326</v>
      </c>
      <c r="B589973" s="348" t="s">
        <v>577</v>
      </c>
      <c r="C589973" s="349">
        <v>2.3944353872220846E-2</v>
      </c>
      <c r="D589973" s="349">
        <f t="shared" si="38"/>
        <v>7.7143848520856623E-2</v>
      </c>
      <c r="E589973" s="349">
        <v>3.2143848520856624E-2</v>
      </c>
      <c r="F589973" s="349">
        <v>0.16</v>
      </c>
    </row>
    <row r="589974" spans="1:6" ht="16">
      <c r="A589974" s="347" t="s">
        <v>327</v>
      </c>
      <c r="B589974" s="348" t="s">
        <v>687</v>
      </c>
      <c r="C589974" s="349">
        <v>4.9041109802463012E-2</v>
      </c>
      <c r="D589974" s="349">
        <f t="shared" si="38"/>
        <v>0.11083472718442829</v>
      </c>
      <c r="E589974" s="349">
        <v>6.5834727184428288E-2</v>
      </c>
      <c r="F589974" s="349">
        <v>0.25</v>
      </c>
    </row>
    <row r="589975" spans="1:6" ht="16">
      <c r="A589975" s="347" t="s">
        <v>490</v>
      </c>
      <c r="B589975" s="348" t="s">
        <v>572</v>
      </c>
      <c r="C589975" s="349">
        <v>5.9924907017108855E-2</v>
      </c>
      <c r="D589975" s="349">
        <f t="shared" si="38"/>
        <v>0.12544556742118129</v>
      </c>
      <c r="E589975" s="349">
        <v>8.0445567421181294E-2</v>
      </c>
      <c r="F589975" s="349">
        <v>0.3</v>
      </c>
    </row>
    <row r="589976" spans="1:6" ht="16">
      <c r="A589976" s="347" t="s">
        <v>864</v>
      </c>
      <c r="B589976" s="154" t="s">
        <v>687</v>
      </c>
      <c r="C589976" s="277">
        <v>0.1054310997313879</v>
      </c>
      <c r="D589976" s="349">
        <f t="shared" si="38"/>
        <v>0.23253488197001548</v>
      </c>
      <c r="E589976" s="277">
        <v>0.1875348819700155</v>
      </c>
      <c r="F589976" s="277">
        <v>0.2724561140242252</v>
      </c>
    </row>
    <row r="589977" spans="1:6" ht="16">
      <c r="A589977" s="347" t="s">
        <v>328</v>
      </c>
      <c r="B589977" s="348" t="s">
        <v>585</v>
      </c>
      <c r="C589977" s="349">
        <v>7.6826803868088279E-3</v>
      </c>
      <c r="D589977" s="349">
        <f t="shared" si="38"/>
        <v>5.5313534284766833E-2</v>
      </c>
      <c r="E589977" s="349">
        <v>1.0313534284766834E-2</v>
      </c>
      <c r="F589977" s="349">
        <v>0.2</v>
      </c>
    </row>
    <row r="589978" spans="1:6" ht="16">
      <c r="A589978" s="347" t="s">
        <v>371</v>
      </c>
      <c r="B589978" s="348" t="s">
        <v>578</v>
      </c>
      <c r="C589978" s="349">
        <v>3.9181669972725021E-2</v>
      </c>
      <c r="D589978" s="349">
        <f t="shared" si="38"/>
        <v>9.7599024852310853E-2</v>
      </c>
      <c r="E589978" s="349">
        <v>5.2599024852310855E-2</v>
      </c>
      <c r="F589978" s="349">
        <v>0.3</v>
      </c>
    </row>
    <row r="589979" spans="1:6" ht="16">
      <c r="A589979" s="347" t="s">
        <v>329</v>
      </c>
      <c r="B589979" s="348" t="s">
        <v>576</v>
      </c>
      <c r="C589979" s="349">
        <v>3.2779436317050999E-2</v>
      </c>
      <c r="D589979" s="349">
        <f t="shared" si="38"/>
        <v>8.9004412948338496E-2</v>
      </c>
      <c r="E589979" s="349">
        <v>4.4004412948338498E-2</v>
      </c>
      <c r="F589979" s="349">
        <v>0.15</v>
      </c>
    </row>
    <row r="589980" spans="1:6" ht="16">
      <c r="A589980" s="347" t="s">
        <v>504</v>
      </c>
      <c r="B589980" s="348" t="s">
        <v>589</v>
      </c>
      <c r="C589980" s="349">
        <v>2.7273515373171343E-2</v>
      </c>
      <c r="D589980" s="349">
        <f t="shared" si="38"/>
        <v>8.161304671092226E-2</v>
      </c>
      <c r="E589980" s="349">
        <v>3.6613046710922262E-2</v>
      </c>
      <c r="F589980" s="349">
        <v>0</v>
      </c>
    </row>
    <row r="589981" spans="1:6" ht="16">
      <c r="A589981" s="350" t="s">
        <v>603</v>
      </c>
      <c r="B589981" s="348" t="s">
        <v>687</v>
      </c>
      <c r="C589981" s="349">
        <v>0.10896601681957191</v>
      </c>
      <c r="D589981" s="349">
        <f t="shared" si="38"/>
        <v>0.19128029460560964</v>
      </c>
      <c r="E589981" s="349">
        <v>0.14628029460560965</v>
      </c>
      <c r="F589981" s="349">
        <v>0.3</v>
      </c>
    </row>
    <row r="589982" spans="1:6" ht="16">
      <c r="A589982" s="347" t="s">
        <v>330</v>
      </c>
      <c r="B589982" s="348" t="s">
        <v>574</v>
      </c>
      <c r="C589982" s="349">
        <v>0</v>
      </c>
      <c r="D589982" s="349">
        <f t="shared" si="38"/>
        <v>4.4999999999999998E-2</v>
      </c>
      <c r="E589982" s="349">
        <v>0</v>
      </c>
      <c r="F589982" s="349">
        <v>0.17</v>
      </c>
    </row>
    <row r="589983" spans="1:6" ht="16">
      <c r="A589983" s="347" t="s">
        <v>372</v>
      </c>
      <c r="B589983" s="348" t="s">
        <v>583</v>
      </c>
      <c r="C589983" s="349">
        <v>9.2192164641705932E-3</v>
      </c>
      <c r="D589983" s="349">
        <f t="shared" si="38"/>
        <v>5.73762411417202E-2</v>
      </c>
      <c r="E589983" s="349">
        <v>1.2376241141720201E-2</v>
      </c>
      <c r="F589983" s="349">
        <v>0.21</v>
      </c>
    </row>
    <row r="589984" spans="1:6" ht="16">
      <c r="A589984" s="347" t="s">
        <v>331</v>
      </c>
      <c r="B589984" s="348" t="s">
        <v>587</v>
      </c>
      <c r="C589984" s="349">
        <v>1.3060556657575006E-2</v>
      </c>
      <c r="D589984" s="349">
        <f t="shared" si="38"/>
        <v>6.2533008284103617E-2</v>
      </c>
      <c r="E589984" s="349">
        <v>1.7533008284103618E-2</v>
      </c>
      <c r="F589984" s="349">
        <v>0.19</v>
      </c>
    </row>
    <row r="589985" spans="1:6" ht="16">
      <c r="A589985" s="347" t="s">
        <v>604</v>
      </c>
      <c r="B589985" s="348" t="s">
        <v>579</v>
      </c>
      <c r="C589985" s="349">
        <v>8.1692501446400528E-2</v>
      </c>
      <c r="D589985" s="349">
        <f t="shared" si="38"/>
        <v>0.15466724789468733</v>
      </c>
      <c r="E589985" s="349">
        <v>0.10966724789468733</v>
      </c>
      <c r="F589985" s="349">
        <v>0.3</v>
      </c>
    </row>
    <row r="589986" spans="1:6" ht="16">
      <c r="A589986" s="351" t="s">
        <v>605</v>
      </c>
      <c r="B589986" s="348" t="s">
        <v>687</v>
      </c>
      <c r="C589986" s="349">
        <v>0.13073361124886354</v>
      </c>
      <c r="D589986" s="349">
        <f t="shared" si="38"/>
        <v>0.22050197507911562</v>
      </c>
      <c r="E589986" s="349">
        <v>0.17550197507911564</v>
      </c>
      <c r="F589986" s="349">
        <v>0.29149999999999998</v>
      </c>
    </row>
    <row r="589987" spans="1:6" ht="16">
      <c r="A589987" s="347" t="s">
        <v>332</v>
      </c>
      <c r="B589987" s="348" t="s">
        <v>576</v>
      </c>
      <c r="C589987" s="349">
        <v>3.2779436317050999E-2</v>
      </c>
      <c r="D589987" s="349">
        <f t="shared" si="38"/>
        <v>8.9004412948338496E-2</v>
      </c>
      <c r="E589987" s="349">
        <v>4.4004412948338498E-2</v>
      </c>
      <c r="F589987" s="349">
        <v>0.27</v>
      </c>
    </row>
    <row r="589988" spans="1:6" ht="16">
      <c r="A589988" s="347" t="s">
        <v>865</v>
      </c>
      <c r="B589988" s="348" t="s">
        <v>568</v>
      </c>
      <c r="C589988" s="349">
        <v>5.3778762707661788E-3</v>
      </c>
      <c r="D589988" s="349">
        <f t="shared" si="38"/>
        <v>5.2219473999336782E-2</v>
      </c>
      <c r="E589988" s="349">
        <v>7.219473999336784E-3</v>
      </c>
      <c r="F589988" s="349">
        <v>0.25</v>
      </c>
    </row>
    <row r="589989" spans="1:6" ht="16">
      <c r="A589989" s="347" t="s">
        <v>333</v>
      </c>
      <c r="B589989" s="348" t="s">
        <v>573</v>
      </c>
      <c r="C589989" s="349">
        <v>1.7414075543433341E-2</v>
      </c>
      <c r="D589989" s="349">
        <f t="shared" si="38"/>
        <v>6.8377344378804827E-2</v>
      </c>
      <c r="E589989" s="349">
        <v>2.3377344378804829E-2</v>
      </c>
      <c r="F589989" s="349">
        <v>0.25</v>
      </c>
    </row>
    <row r="589990" spans="1:6" ht="16">
      <c r="A589990" s="347" t="s">
        <v>334</v>
      </c>
      <c r="B589990" s="348" t="s">
        <v>688</v>
      </c>
      <c r="C589990" s="349">
        <v>0.13073361124886354</v>
      </c>
      <c r="D589990" s="349">
        <f t="shared" si="38"/>
        <v>0.22050197507911562</v>
      </c>
      <c r="E589990" s="349">
        <v>0.17550197507911564</v>
      </c>
      <c r="F589990" s="349">
        <v>0.24</v>
      </c>
    </row>
    <row r="589991" spans="1:6" ht="16">
      <c r="A589991" s="347" t="s">
        <v>430</v>
      </c>
      <c r="B589991" s="348" t="s">
        <v>576</v>
      </c>
      <c r="C589991" s="349">
        <v>3.2779436317050999E-2</v>
      </c>
      <c r="D589991" s="349">
        <f t="shared" si="38"/>
        <v>8.9004412948338496E-2</v>
      </c>
      <c r="E589991" s="349">
        <v>4.4004412948338498E-2</v>
      </c>
      <c r="F589991" s="349">
        <v>0.2853</v>
      </c>
    </row>
    <row r="589992" spans="1:6" ht="16">
      <c r="A589992" s="347" t="s">
        <v>373</v>
      </c>
      <c r="B589992" s="348" t="s">
        <v>581</v>
      </c>
      <c r="C589992" s="349">
        <v>7.0808704231754685E-2</v>
      </c>
      <c r="D589992" s="349">
        <f t="shared" si="38"/>
        <v>0.14005640765793431</v>
      </c>
      <c r="E589992" s="349">
        <v>9.5056407657934314E-2</v>
      </c>
      <c r="F589992" s="349">
        <v>0.2853</v>
      </c>
    </row>
    <row r="589993" spans="1:6" ht="16">
      <c r="A589993" s="350" t="s">
        <v>606</v>
      </c>
      <c r="B589993" s="348" t="s">
        <v>687</v>
      </c>
      <c r="C589993" s="349">
        <v>0.17499999999999999</v>
      </c>
      <c r="D589993" s="349">
        <f t="shared" si="38"/>
        <v>0.27992692770782934</v>
      </c>
      <c r="E589993" s="349">
        <v>0.23492692770782936</v>
      </c>
      <c r="F589993" s="349">
        <v>0.35</v>
      </c>
    </row>
    <row r="589994" spans="1:6" ht="16">
      <c r="A589994" s="347" t="s">
        <v>374</v>
      </c>
      <c r="B589994" s="348" t="s">
        <v>689</v>
      </c>
      <c r="C589994" s="349">
        <v>0.10896601681957188</v>
      </c>
      <c r="D589994" s="349">
        <f t="shared" si="38"/>
        <v>0.19128029460560964</v>
      </c>
      <c r="E589994" s="349">
        <v>0.14628029460560965</v>
      </c>
      <c r="F589994" s="349">
        <v>0.36</v>
      </c>
    </row>
    <row r="589995" spans="1:6" ht="16">
      <c r="A589995" s="347" t="s">
        <v>607</v>
      </c>
      <c r="B589995" s="348" t="s">
        <v>581</v>
      </c>
      <c r="C589995" s="349">
        <v>7.0808704231754685E-2</v>
      </c>
      <c r="D589995" s="349">
        <f t="shared" si="38"/>
        <v>0.14005640765793431</v>
      </c>
      <c r="E589995" s="349">
        <v>9.5056407657934314E-2</v>
      </c>
      <c r="F589995" s="349">
        <v>0.27500000000000002</v>
      </c>
    </row>
    <row r="589996" spans="1:6" ht="16">
      <c r="A589996" s="347" t="s">
        <v>335</v>
      </c>
      <c r="B589996" s="348" t="s">
        <v>574</v>
      </c>
      <c r="C589996" s="349">
        <v>0</v>
      </c>
      <c r="D589996" s="349">
        <f t="shared" si="38"/>
        <v>4.4999999999999998E-2</v>
      </c>
      <c r="E589996" s="349">
        <v>0</v>
      </c>
      <c r="F589996" s="349">
        <v>0.20600000000000002</v>
      </c>
    </row>
    <row r="589997" spans="1:6" ht="16">
      <c r="A589997" s="347" t="s">
        <v>336</v>
      </c>
      <c r="B589997" s="348" t="s">
        <v>574</v>
      </c>
      <c r="C589997" s="349">
        <v>0</v>
      </c>
      <c r="D589997" s="349">
        <f t="shared" si="38"/>
        <v>4.4999999999999998E-2</v>
      </c>
      <c r="E589997" s="349">
        <v>0</v>
      </c>
      <c r="F589997" s="349">
        <v>0.14599999999999999</v>
      </c>
    </row>
    <row r="589998" spans="1:6" ht="16">
      <c r="A589998" s="351" t="s">
        <v>608</v>
      </c>
      <c r="B589998" s="348" t="s">
        <v>687</v>
      </c>
      <c r="C589998" s="349">
        <v>0.17499999999999999</v>
      </c>
      <c r="D589998" s="349">
        <f t="shared" si="38"/>
        <v>0.27992692770782934</v>
      </c>
      <c r="E589998" s="349">
        <v>0.23492692770782936</v>
      </c>
      <c r="F589998" s="349">
        <v>0.28000000000000003</v>
      </c>
    </row>
    <row r="589999" spans="1:6" ht="16">
      <c r="A589999" s="347" t="s">
        <v>337</v>
      </c>
      <c r="B589999" s="348" t="s">
        <v>580</v>
      </c>
      <c r="C589999" s="349">
        <v>6.5302783287875029E-3</v>
      </c>
      <c r="D589999" s="349">
        <f t="shared" si="38"/>
        <v>5.3766504142051808E-2</v>
      </c>
      <c r="E589999" s="349">
        <v>8.7665041420518092E-3</v>
      </c>
      <c r="F589999" s="349">
        <v>0.2</v>
      </c>
    </row>
    <row r="590000" spans="1:6" ht="16">
      <c r="A590000" s="347" t="s">
        <v>609</v>
      </c>
      <c r="B590000" s="348" t="s">
        <v>581</v>
      </c>
      <c r="C590000" s="349">
        <v>7.0808704231754685E-2</v>
      </c>
      <c r="D590000" s="349">
        <f t="shared" si="38"/>
        <v>0.14005640765793431</v>
      </c>
      <c r="E590000" s="349">
        <v>9.5056407657934314E-2</v>
      </c>
      <c r="F590000" s="349">
        <v>0.18</v>
      </c>
    </row>
    <row r="590001" spans="1:6" ht="16">
      <c r="A590001" s="347" t="s">
        <v>610</v>
      </c>
      <c r="B590001" s="348" t="s">
        <v>572</v>
      </c>
      <c r="C590001" s="349">
        <v>5.9924907017108855E-2</v>
      </c>
      <c r="D590001" s="349">
        <f t="shared" si="38"/>
        <v>0.12544556742118129</v>
      </c>
      <c r="E590001" s="349">
        <v>8.0445567421181294E-2</v>
      </c>
      <c r="F590001" s="349">
        <v>0.3</v>
      </c>
    </row>
    <row r="590002" spans="1:6" ht="16">
      <c r="A590002" s="347" t="s">
        <v>338</v>
      </c>
      <c r="B590002" s="348" t="s">
        <v>573</v>
      </c>
      <c r="C590002" s="349">
        <v>1.7414075543433341E-2</v>
      </c>
      <c r="D590002" s="349">
        <f t="shared" si="38"/>
        <v>6.8377344378804827E-2</v>
      </c>
      <c r="E590002" s="349">
        <v>2.3377344378804829E-2</v>
      </c>
      <c r="F590002" s="349">
        <v>0.2</v>
      </c>
    </row>
    <row r="590003" spans="1:6" ht="16">
      <c r="A590003" s="347" t="s">
        <v>611</v>
      </c>
      <c r="B590003" s="348" t="s">
        <v>581</v>
      </c>
      <c r="C590003" s="349">
        <v>7.0808704231754685E-2</v>
      </c>
      <c r="D590003" s="349">
        <f t="shared" si="38"/>
        <v>0.14005640765793431</v>
      </c>
      <c r="E590003" s="349">
        <v>9.5056407657934314E-2</v>
      </c>
      <c r="F590003" s="349">
        <v>0.26860000000000001</v>
      </c>
    </row>
    <row r="590004" spans="1:6" ht="16">
      <c r="A590004" s="347" t="s">
        <v>866</v>
      </c>
      <c r="B590004" s="348" t="s">
        <v>576</v>
      </c>
      <c r="C590004" s="349">
        <v>3.2779436317050999E-2</v>
      </c>
      <c r="D590004" s="349">
        <f t="shared" si="38"/>
        <v>8.9004412948338496E-2</v>
      </c>
      <c r="E590004" s="349">
        <v>4.4004412948338498E-2</v>
      </c>
      <c r="F590004" s="349">
        <v>0.3</v>
      </c>
    </row>
    <row r="590005" spans="1:6" ht="16">
      <c r="A590005" s="347" t="s">
        <v>339</v>
      </c>
      <c r="B590005" s="348" t="s">
        <v>586</v>
      </c>
      <c r="C590005" s="349">
        <v>9.8082219604926024E-2</v>
      </c>
      <c r="D590005" s="349">
        <f t="shared" si="38"/>
        <v>0.17666945436885656</v>
      </c>
      <c r="E590005" s="349">
        <v>0.13166945436885658</v>
      </c>
      <c r="F590005" s="349">
        <v>0.15</v>
      </c>
    </row>
    <row r="590006" spans="1:6" ht="16">
      <c r="A590006" s="347" t="s">
        <v>340</v>
      </c>
      <c r="B590006" s="348" t="s">
        <v>581</v>
      </c>
      <c r="C590006" s="349">
        <v>7.0808704231754685E-2</v>
      </c>
      <c r="D590006" s="349">
        <f t="shared" si="38"/>
        <v>0.14005640765793431</v>
      </c>
      <c r="E590006" s="349">
        <v>9.5056407657934314E-2</v>
      </c>
      <c r="F590006" s="349">
        <v>0.25</v>
      </c>
    </row>
    <row r="590007" spans="1:6" ht="16">
      <c r="A590007" s="353" t="s">
        <v>867</v>
      </c>
      <c r="B590007" s="348" t="s">
        <v>573</v>
      </c>
      <c r="C590007" s="349">
        <v>1.7414075543433341E-2</v>
      </c>
      <c r="D590007" s="349">
        <f t="shared" si="38"/>
        <v>6.8377344378804827E-2</v>
      </c>
      <c r="E590007" s="349">
        <v>2.3377344378804829E-2</v>
      </c>
      <c r="F590007" s="349">
        <v>0</v>
      </c>
    </row>
    <row r="590008" spans="1:6" ht="16">
      <c r="A590008" s="347" t="s">
        <v>431</v>
      </c>
      <c r="B590008" s="348" t="s">
        <v>572</v>
      </c>
      <c r="C590008" s="349">
        <v>5.9924907017108855E-2</v>
      </c>
      <c r="D590008" s="349">
        <f t="shared" si="38"/>
        <v>0.12544556742118129</v>
      </c>
      <c r="E590008" s="349">
        <v>8.0445567421181294E-2</v>
      </c>
      <c r="F590008" s="349">
        <v>0.3</v>
      </c>
    </row>
    <row r="590009" spans="1:6" ht="16">
      <c r="A590009" s="347" t="s">
        <v>341</v>
      </c>
      <c r="B590009" s="348" t="s">
        <v>688</v>
      </c>
      <c r="C590009" s="349">
        <v>0.13073361124886354</v>
      </c>
      <c r="D590009" s="349">
        <f t="shared" si="38"/>
        <v>0.22050197507911562</v>
      </c>
      <c r="E590009" s="349">
        <v>0.17550197507911564</v>
      </c>
      <c r="F590009" s="349">
        <v>0.18</v>
      </c>
    </row>
    <row r="590010" spans="1:6" ht="16">
      <c r="A590010" s="347" t="s">
        <v>342</v>
      </c>
      <c r="B590010" s="348" t="s">
        <v>568</v>
      </c>
      <c r="C590010" s="349">
        <v>5.3778762707661788E-3</v>
      </c>
      <c r="D590010" s="349">
        <f t="shared" si="38"/>
        <v>5.2219473999336782E-2</v>
      </c>
      <c r="E590010" s="349">
        <v>7.219473999336784E-3</v>
      </c>
      <c r="F590010" s="349">
        <v>0.25</v>
      </c>
    </row>
    <row r="590011" spans="1:6" ht="16">
      <c r="A590011" s="347" t="s">
        <v>343</v>
      </c>
      <c r="B590011" s="348" t="s">
        <v>580</v>
      </c>
      <c r="C590011" s="349">
        <v>6.5302783287875029E-3</v>
      </c>
      <c r="D590011" s="349">
        <f t="shared" si="38"/>
        <v>5.3766504142051808E-2</v>
      </c>
      <c r="E590011" s="349">
        <v>8.7665041420518092E-3</v>
      </c>
      <c r="F590011" s="349">
        <v>0.25</v>
      </c>
    </row>
    <row r="590012" spans="1:6" ht="16">
      <c r="A590012" s="347" t="s">
        <v>344</v>
      </c>
      <c r="B590012" s="348" t="s">
        <v>574</v>
      </c>
      <c r="C590012" s="349">
        <v>0</v>
      </c>
      <c r="D590012" s="349">
        <f t="shared" si="38"/>
        <v>4.4999999999999998E-2</v>
      </c>
      <c r="E590012" s="349">
        <v>0</v>
      </c>
      <c r="F590012" s="349">
        <v>0.25</v>
      </c>
    </row>
    <row r="590013" spans="1:6" ht="16">
      <c r="A590013" s="347" t="s">
        <v>345</v>
      </c>
      <c r="B590013" s="348" t="s">
        <v>571</v>
      </c>
      <c r="C590013" s="349">
        <v>2.0743237044383835E-2</v>
      </c>
      <c r="D590013" s="349">
        <f t="shared" si="38"/>
        <v>7.2846542568870451E-2</v>
      </c>
      <c r="E590013" s="349">
        <v>2.7846542568870453E-2</v>
      </c>
      <c r="F590013" s="349">
        <v>0.25</v>
      </c>
    </row>
    <row r="590014" spans="1:6" ht="16">
      <c r="A590014" s="347" t="s">
        <v>693</v>
      </c>
      <c r="B590014" s="348" t="s">
        <v>578</v>
      </c>
      <c r="C590014" s="349">
        <v>3.9181669972725021E-2</v>
      </c>
      <c r="D590014" s="349">
        <f t="shared" si="38"/>
        <v>9.7599024852310853E-2</v>
      </c>
      <c r="E590014" s="349">
        <v>5.2599024852310855E-2</v>
      </c>
      <c r="F590014" s="349">
        <v>0.15</v>
      </c>
    </row>
    <row r="590015" spans="1:6" ht="16">
      <c r="A590015" s="347" t="s">
        <v>346</v>
      </c>
      <c r="B590015" s="348" t="s">
        <v>615</v>
      </c>
      <c r="C590015" s="349">
        <v>0.17499999999999999</v>
      </c>
      <c r="D590015" s="349">
        <f t="shared" si="38"/>
        <v>0.27992692770782934</v>
      </c>
      <c r="E590015" s="349">
        <v>0.23492692770782936</v>
      </c>
      <c r="F590015" s="349">
        <v>0.34</v>
      </c>
    </row>
    <row r="590016" spans="1:6" ht="16">
      <c r="A590016" s="347" t="s">
        <v>347</v>
      </c>
      <c r="B590016" s="348" t="s">
        <v>576</v>
      </c>
      <c r="C590016" s="349">
        <v>3.2779436317050999E-2</v>
      </c>
      <c r="D590016" s="349">
        <f t="shared" si="38"/>
        <v>8.9004412948338496E-2</v>
      </c>
      <c r="E590016" s="349">
        <v>4.4004412948338498E-2</v>
      </c>
      <c r="F590016" s="349">
        <v>0.2</v>
      </c>
    </row>
    <row r="590017" spans="1:6" ht="16">
      <c r="A590017" s="350" t="s">
        <v>868</v>
      </c>
      <c r="B590017" s="348" t="s">
        <v>687</v>
      </c>
      <c r="C590017" s="349">
        <v>0.10896601681957191</v>
      </c>
      <c r="D590017" s="349">
        <f t="shared" si="38"/>
        <v>0.19128029460560964</v>
      </c>
      <c r="E590017" s="349">
        <v>0.14628029460560965</v>
      </c>
      <c r="F590017" s="349">
        <v>0.2</v>
      </c>
    </row>
    <row r="590018" spans="1:6" ht="16">
      <c r="A590018" s="347" t="s">
        <v>348</v>
      </c>
      <c r="B590018" s="348" t="s">
        <v>689</v>
      </c>
      <c r="C590018" s="349">
        <v>0.10896601681957188</v>
      </c>
      <c r="D590018" s="349">
        <f t="shared" si="38"/>
        <v>0.19128029460560964</v>
      </c>
      <c r="E590018" s="349">
        <v>0.14628029460560965</v>
      </c>
      <c r="F590018" s="349">
        <v>0.35</v>
      </c>
    </row>
    <row r="590019" spans="1:6" ht="16">
      <c r="A590019" s="351" t="s">
        <v>612</v>
      </c>
      <c r="B590019" s="348" t="s">
        <v>687</v>
      </c>
      <c r="C590019" s="349">
        <v>9.8082219604926024E-2</v>
      </c>
      <c r="D590019" s="349">
        <f t="shared" si="38"/>
        <v>0.17666945436885656</v>
      </c>
      <c r="E590019" s="349">
        <v>0.13166945436885658</v>
      </c>
      <c r="F590019" s="349">
        <v>0.25</v>
      </c>
    </row>
    <row r="590024" spans="1:6">
      <c r="A590024" s="354" t="s">
        <v>352</v>
      </c>
      <c r="B590024" s="355" t="s">
        <v>376</v>
      </c>
      <c r="C590024" s="355" t="s">
        <v>869</v>
      </c>
      <c r="D590024" s="355" t="s">
        <v>694</v>
      </c>
      <c r="E590024" s="355" t="s">
        <v>870</v>
      </c>
    </row>
    <row r="590025" spans="1:6">
      <c r="A590025" s="356" t="s">
        <v>355</v>
      </c>
      <c r="B590025" s="357">
        <f>$B$1+E590025</f>
        <v>0.13663852306889546</v>
      </c>
      <c r="C590025" s="357">
        <v>6.8262679351091926E-2</v>
      </c>
      <c r="D590025" s="357">
        <v>0.27302836489005694</v>
      </c>
      <c r="E590025" s="357">
        <v>9.1638523068895444E-2</v>
      </c>
    </row>
    <row r="590026" spans="1:6">
      <c r="A590026" s="356" t="s">
        <v>428</v>
      </c>
      <c r="B590026" s="357">
        <f t="shared" ref="B590026:B590034" si="39">$B$1+E590026</f>
        <v>6.1805405008578562E-2</v>
      </c>
      <c r="C590026" s="357">
        <v>1.2518555898193178E-2</v>
      </c>
      <c r="D590026" s="357">
        <v>0.2576437502455447</v>
      </c>
      <c r="E590026" s="357">
        <v>1.6805405008578567E-2</v>
      </c>
    </row>
    <row r="590027" spans="1:6">
      <c r="A590027" s="356" t="s">
        <v>357</v>
      </c>
      <c r="B590027" s="357">
        <f t="shared" si="39"/>
        <v>4.5047923618641933E-2</v>
      </c>
      <c r="C590027" s="357">
        <v>3.5698901544265913E-5</v>
      </c>
      <c r="D590027" s="357">
        <v>0.29744361328762281</v>
      </c>
      <c r="E590027" s="357">
        <v>4.7923618641935289E-5</v>
      </c>
    </row>
    <row r="590028" spans="1:6">
      <c r="A590028" s="356" t="s">
        <v>359</v>
      </c>
      <c r="B590028" s="357">
        <f t="shared" si="39"/>
        <v>0.1865348819700155</v>
      </c>
      <c r="C590028" s="357">
        <v>0.1054310997313879</v>
      </c>
      <c r="D590028" s="357">
        <v>0.2724561140242252</v>
      </c>
      <c r="E590028" s="357">
        <v>0.14153488197001549</v>
      </c>
    </row>
    <row r="590029" spans="1:6">
      <c r="A590029" s="356" t="s">
        <v>356</v>
      </c>
      <c r="B590029" s="357">
        <f t="shared" si="39"/>
        <v>0.10261091058162494</v>
      </c>
      <c r="C590029" s="357">
        <v>4.2915086193622262E-2</v>
      </c>
      <c r="D590029" s="357">
        <v>0.31595749426030023</v>
      </c>
      <c r="E590029" s="357">
        <v>5.7610910581624951E-2</v>
      </c>
    </row>
    <row r="590030" spans="1:6">
      <c r="A590030" s="356" t="s">
        <v>354</v>
      </c>
      <c r="B590030" s="357">
        <f t="shared" si="39"/>
        <v>9.5579383477192262E-2</v>
      </c>
      <c r="C590030" s="357">
        <v>3.7670398345457844E-2</v>
      </c>
      <c r="D590030" s="357">
        <v>0.18485819102180306</v>
      </c>
      <c r="E590030" s="357">
        <v>5.0579383477192263E-2</v>
      </c>
    </row>
    <row r="590031" spans="1:6">
      <c r="A590031" s="356" t="s">
        <v>360</v>
      </c>
      <c r="B590031" s="357">
        <f t="shared" si="39"/>
        <v>6.6589990892489848E-2</v>
      </c>
      <c r="C590031" s="357">
        <v>1.6082653627874467E-2</v>
      </c>
      <c r="D590031" s="357">
        <v>0.18760152153615242</v>
      </c>
      <c r="E590031" s="357">
        <v>2.1589990892489853E-2</v>
      </c>
    </row>
    <row r="590032" spans="1:6">
      <c r="A590032" s="356" t="s">
        <v>362</v>
      </c>
      <c r="B590032" s="357">
        <f t="shared" si="39"/>
        <v>4.4999999999999998E-2</v>
      </c>
      <c r="C590032" s="357">
        <v>0</v>
      </c>
      <c r="D590032" s="357">
        <v>0.25116286561170831</v>
      </c>
      <c r="E590032" s="357">
        <v>0</v>
      </c>
    </row>
    <row r="590033" spans="1:5">
      <c r="A590033" s="356" t="s">
        <v>353</v>
      </c>
      <c r="B590033" s="357">
        <f t="shared" si="39"/>
        <v>5.7871606293643366E-2</v>
      </c>
      <c r="C590033" s="357">
        <v>9.5882201472833571E-3</v>
      </c>
      <c r="D590033" s="357">
        <v>0.24707349543413576</v>
      </c>
      <c r="E590033" s="357">
        <v>1.2871606293643371E-2</v>
      </c>
    </row>
    <row r="590034" spans="1:5">
      <c r="A590034" s="356" t="s">
        <v>491</v>
      </c>
      <c r="B590034" s="357">
        <f t="shared" si="39"/>
        <v>6.3100000000000003E-2</v>
      </c>
      <c r="C590034" s="357">
        <v>1.35E-2</v>
      </c>
      <c r="D590034" s="357">
        <v>0.25225942509764748</v>
      </c>
      <c r="E590034" s="357">
        <v>1.8100000000000002E-2</v>
      </c>
    </row>
    <row r="655361" spans="1:6">
      <c r="A655361" t="s">
        <v>613</v>
      </c>
      <c r="B655361" s="242">
        <v>4.5999999999999999E-2</v>
      </c>
      <c r="C655361" t="s">
        <v>847</v>
      </c>
    </row>
    <row r="655362" spans="1:6" ht="14">
      <c r="A655362" s="275" t="s">
        <v>686</v>
      </c>
      <c r="B655362" s="275"/>
      <c r="C655362" s="275"/>
      <c r="D655362" s="275"/>
      <c r="E655362" s="275"/>
      <c r="F655362" s="275"/>
    </row>
    <row r="655364" spans="1:6" ht="16">
      <c r="A655364" s="344" t="s">
        <v>349</v>
      </c>
      <c r="B655364" s="345" t="s">
        <v>566</v>
      </c>
      <c r="C655364" s="346" t="s">
        <v>350</v>
      </c>
      <c r="D655364" s="346" t="s">
        <v>567</v>
      </c>
      <c r="E655364" s="346" t="s">
        <v>351</v>
      </c>
      <c r="F655364" s="346" t="s">
        <v>519</v>
      </c>
    </row>
    <row r="655365" spans="1:6" ht="16">
      <c r="A655365" s="347" t="s">
        <v>481</v>
      </c>
      <c r="B655365" s="348" t="s">
        <v>568</v>
      </c>
      <c r="C655365" s="349">
        <v>5.3778762707661788E-3</v>
      </c>
      <c r="D655365" s="349">
        <f>$B$1+E655365</f>
        <v>5.2219473999336782E-2</v>
      </c>
      <c r="E655365" s="349">
        <v>7.219473999336784E-3</v>
      </c>
      <c r="F655365" s="349">
        <v>0.15</v>
      </c>
    </row>
    <row r="655366" spans="1:6" ht="16">
      <c r="A655366" s="347" t="s">
        <v>245</v>
      </c>
      <c r="B655366" s="348" t="s">
        <v>569</v>
      </c>
      <c r="C655366" s="349">
        <v>4.9041109802463012E-2</v>
      </c>
      <c r="D655366" s="349">
        <f t="shared" ref="D655366:D655429" si="40">$B$1+E655366</f>
        <v>0.11083472718442829</v>
      </c>
      <c r="E655366" s="349">
        <v>6.5834727184428288E-2</v>
      </c>
      <c r="F655366" s="349">
        <v>0.15</v>
      </c>
    </row>
    <row r="655367" spans="1:6" ht="16">
      <c r="A655367" s="350" t="s">
        <v>570</v>
      </c>
      <c r="B655367" s="348" t="s">
        <v>687</v>
      </c>
      <c r="C655367" s="349">
        <v>4.9041109802463012E-2</v>
      </c>
      <c r="D655367" s="349">
        <f t="shared" si="40"/>
        <v>0.11083472718442829</v>
      </c>
      <c r="E655367" s="349">
        <v>6.5834727184428288E-2</v>
      </c>
      <c r="F655367" s="349">
        <v>0.26</v>
      </c>
    </row>
    <row r="655368" spans="1:6" ht="16">
      <c r="A655368" s="347" t="s">
        <v>499</v>
      </c>
      <c r="B655368" s="348" t="s">
        <v>571</v>
      </c>
      <c r="C655368" s="349">
        <v>2.0743237044383835E-2</v>
      </c>
      <c r="D655368" s="349">
        <f t="shared" si="40"/>
        <v>7.2846542568870451E-2</v>
      </c>
      <c r="E655368" s="349">
        <v>2.7846542568870453E-2</v>
      </c>
      <c r="F655368" s="349">
        <v>0.1898</v>
      </c>
    </row>
    <row r="655369" spans="1:6" ht="16">
      <c r="A655369" s="347" t="s">
        <v>246</v>
      </c>
      <c r="B655369" s="348" t="s">
        <v>581</v>
      </c>
      <c r="C655369" s="349">
        <v>7.0808704231754685E-2</v>
      </c>
      <c r="D655369" s="349">
        <f t="shared" si="40"/>
        <v>0.14005640765793431</v>
      </c>
      <c r="E655369" s="349">
        <v>9.5056407657934314E-2</v>
      </c>
      <c r="F655369" s="349">
        <v>0.25</v>
      </c>
    </row>
    <row r="655370" spans="1:6" ht="16">
      <c r="A655370" s="347" t="s">
        <v>848</v>
      </c>
      <c r="B655370" s="154" t="s">
        <v>687</v>
      </c>
      <c r="C655370" s="277">
        <v>0.1054310997313879</v>
      </c>
      <c r="D655370" s="349">
        <f t="shared" si="40"/>
        <v>0.23253488197001548</v>
      </c>
      <c r="E655370" s="277">
        <v>0.1875348819700155</v>
      </c>
      <c r="F655370" s="277">
        <v>0.2724561140242252</v>
      </c>
    </row>
    <row r="655371" spans="1:6" ht="16">
      <c r="A655371" s="347" t="s">
        <v>849</v>
      </c>
      <c r="B655371" s="154" t="s">
        <v>687</v>
      </c>
      <c r="C655371" s="277">
        <v>0.1054310997313879</v>
      </c>
      <c r="D655371" s="349">
        <f t="shared" si="40"/>
        <v>0.23253488197001548</v>
      </c>
      <c r="E655371" s="277">
        <v>0.1875348819700155</v>
      </c>
      <c r="F655371" s="277">
        <v>0.2724561140242252</v>
      </c>
    </row>
    <row r="655372" spans="1:6" ht="16">
      <c r="A655372" s="347" t="s">
        <v>247</v>
      </c>
      <c r="B655372" s="348" t="s">
        <v>688</v>
      </c>
      <c r="C655372" s="349">
        <v>0.13073361124886354</v>
      </c>
      <c r="D655372" s="349">
        <f t="shared" si="40"/>
        <v>0.22050197507911562</v>
      </c>
      <c r="E655372" s="349">
        <v>0.17550197507911564</v>
      </c>
      <c r="F655372" s="349">
        <v>0.35</v>
      </c>
    </row>
    <row r="655373" spans="1:6" ht="16">
      <c r="A655373" s="347" t="s">
        <v>248</v>
      </c>
      <c r="B655373" s="348" t="s">
        <v>578</v>
      </c>
      <c r="C655373" s="349">
        <v>3.9181669972725021E-2</v>
      </c>
      <c r="D655373" s="349">
        <f t="shared" si="40"/>
        <v>9.7599024852310853E-2</v>
      </c>
      <c r="E655373" s="349">
        <v>5.2599024852310855E-2</v>
      </c>
      <c r="F655373" s="349">
        <v>0.18</v>
      </c>
    </row>
    <row r="655374" spans="1:6" ht="16">
      <c r="A655374" s="347" t="s">
        <v>249</v>
      </c>
      <c r="B655374" s="348" t="s">
        <v>571</v>
      </c>
      <c r="C655374" s="349">
        <v>2.0743237044383835E-2</v>
      </c>
      <c r="D655374" s="349">
        <f t="shared" si="40"/>
        <v>7.2846542568870451E-2</v>
      </c>
      <c r="E655374" s="349">
        <v>2.7846542568870453E-2</v>
      </c>
      <c r="F655374" s="349">
        <v>0.25</v>
      </c>
    </row>
    <row r="655375" spans="1:6" ht="16">
      <c r="A655375" s="347" t="s">
        <v>250</v>
      </c>
      <c r="B655375" s="348" t="s">
        <v>574</v>
      </c>
      <c r="C655375" s="349">
        <v>0</v>
      </c>
      <c r="D655375" s="349">
        <f t="shared" si="40"/>
        <v>4.4999999999999998E-2</v>
      </c>
      <c r="E655375" s="349">
        <v>0</v>
      </c>
      <c r="F655375" s="349">
        <v>0.3</v>
      </c>
    </row>
    <row r="655376" spans="1:6" ht="16">
      <c r="A655376" s="347" t="s">
        <v>251</v>
      </c>
      <c r="B655376" s="348" t="s">
        <v>575</v>
      </c>
      <c r="C655376" s="349">
        <v>4.3535188858583353E-3</v>
      </c>
      <c r="D655376" s="349">
        <f t="shared" si="40"/>
        <v>5.0844336094701202E-2</v>
      </c>
      <c r="E655376" s="349">
        <v>5.8443360947012038E-3</v>
      </c>
      <c r="F655376" s="349">
        <v>0.24</v>
      </c>
    </row>
    <row r="655377" spans="1:6" ht="16">
      <c r="A655377" s="347" t="s">
        <v>358</v>
      </c>
      <c r="B655377" s="348" t="s">
        <v>589</v>
      </c>
      <c r="C655377" s="349">
        <v>2.7273515373171343E-2</v>
      </c>
      <c r="D655377" s="349">
        <f t="shared" si="40"/>
        <v>8.161304671092226E-2</v>
      </c>
      <c r="E655377" s="349">
        <v>3.6613046710922262E-2</v>
      </c>
      <c r="F655377" s="349">
        <v>0.2</v>
      </c>
    </row>
    <row r="655378" spans="1:6" ht="16">
      <c r="A655378" s="347" t="s">
        <v>252</v>
      </c>
      <c r="B655378" s="348" t="s">
        <v>569</v>
      </c>
      <c r="C655378" s="349">
        <v>4.9041109802463012E-2</v>
      </c>
      <c r="D655378" s="349">
        <f t="shared" si="40"/>
        <v>0.11083472718442829</v>
      </c>
      <c r="E655378" s="349">
        <v>6.5834727184428288E-2</v>
      </c>
      <c r="F655378" s="349">
        <v>0</v>
      </c>
    </row>
    <row r="655379" spans="1:6" ht="16">
      <c r="A655379" s="347" t="s">
        <v>253</v>
      </c>
      <c r="B655379" s="348" t="s">
        <v>572</v>
      </c>
      <c r="C655379" s="349">
        <v>5.9924907017108855E-2</v>
      </c>
      <c r="D655379" s="349">
        <f t="shared" si="40"/>
        <v>0.12544556742118129</v>
      </c>
      <c r="E655379" s="349">
        <v>8.0445567421181294E-2</v>
      </c>
      <c r="F655379" s="349">
        <v>0</v>
      </c>
    </row>
    <row r="655380" spans="1:6" ht="16">
      <c r="A655380" s="347" t="s">
        <v>254</v>
      </c>
      <c r="B655380" s="348" t="s">
        <v>569</v>
      </c>
      <c r="C655380" s="349">
        <v>4.9041109802463012E-2</v>
      </c>
      <c r="D655380" s="349">
        <f t="shared" si="40"/>
        <v>0.11083472718442829</v>
      </c>
      <c r="E655380" s="349">
        <v>6.5834727184428288E-2</v>
      </c>
      <c r="F655380" s="349">
        <v>0.3</v>
      </c>
    </row>
    <row r="655381" spans="1:6" ht="16">
      <c r="A655381" s="347" t="s">
        <v>255</v>
      </c>
      <c r="B655381" s="348" t="s">
        <v>581</v>
      </c>
      <c r="C655381" s="349">
        <v>7.0808704231754685E-2</v>
      </c>
      <c r="D655381" s="349">
        <f t="shared" si="40"/>
        <v>0.14005640765793431</v>
      </c>
      <c r="E655381" s="349">
        <v>9.5056407657934314E-2</v>
      </c>
      <c r="F655381" s="349">
        <v>5.5E-2</v>
      </c>
    </row>
    <row r="655382" spans="1:6" ht="16">
      <c r="A655382" s="347" t="s">
        <v>256</v>
      </c>
      <c r="B655382" s="348" t="s">
        <v>615</v>
      </c>
      <c r="C655382" s="349">
        <v>0.17499999999999999</v>
      </c>
      <c r="D655382" s="349">
        <f t="shared" si="40"/>
        <v>0.27992692770782934</v>
      </c>
      <c r="E655382" s="349">
        <v>0.23492692770782936</v>
      </c>
      <c r="F655382" s="349">
        <v>0.18</v>
      </c>
    </row>
    <row r="655383" spans="1:6" ht="16">
      <c r="A655383" s="347" t="s">
        <v>257</v>
      </c>
      <c r="B655383" s="348" t="s">
        <v>580</v>
      </c>
      <c r="C655383" s="349">
        <v>6.5302783287875029E-3</v>
      </c>
      <c r="D655383" s="349">
        <f t="shared" si="40"/>
        <v>5.3766504142051808E-2</v>
      </c>
      <c r="E655383" s="349">
        <v>8.7665041420518092E-3</v>
      </c>
      <c r="F655383" s="349">
        <v>0.25</v>
      </c>
    </row>
    <row r="655384" spans="1:6" ht="16">
      <c r="A655384" s="347" t="s">
        <v>361</v>
      </c>
      <c r="B655384" s="348" t="s">
        <v>586</v>
      </c>
      <c r="C655384" s="349">
        <v>9.8082219604926024E-2</v>
      </c>
      <c r="D655384" s="349">
        <f t="shared" si="40"/>
        <v>0.17666945436885656</v>
      </c>
      <c r="E655384" s="349">
        <v>0.13166945436885658</v>
      </c>
      <c r="F655384" s="349">
        <v>0.2853</v>
      </c>
    </row>
    <row r="655385" spans="1:6" ht="16">
      <c r="A655385" s="347" t="s">
        <v>582</v>
      </c>
      <c r="B655385" s="348" t="s">
        <v>569</v>
      </c>
      <c r="C655385" s="349">
        <v>4.9041109802463012E-2</v>
      </c>
      <c r="D655385" s="349">
        <f t="shared" si="40"/>
        <v>0.11083472718442829</v>
      </c>
      <c r="E655385" s="349">
        <v>6.5834727184428288E-2</v>
      </c>
      <c r="F655385" s="349">
        <v>0.3</v>
      </c>
    </row>
    <row r="655386" spans="1:6" ht="16">
      <c r="A655386" s="347" t="s">
        <v>258</v>
      </c>
      <c r="B655386" s="348" t="s">
        <v>583</v>
      </c>
      <c r="C655386" s="349">
        <v>9.2192164641705932E-3</v>
      </c>
      <c r="D655386" s="349">
        <f t="shared" si="40"/>
        <v>5.73762411417202E-2</v>
      </c>
      <c r="E655386" s="349">
        <v>1.2376241141720201E-2</v>
      </c>
      <c r="F655386" s="349">
        <v>0</v>
      </c>
    </row>
    <row r="655387" spans="1:6" ht="16">
      <c r="A655387" s="347" t="s">
        <v>259</v>
      </c>
      <c r="B655387" s="348" t="s">
        <v>579</v>
      </c>
      <c r="C655387" s="349">
        <v>8.1692501446400528E-2</v>
      </c>
      <c r="D655387" s="349">
        <f t="shared" si="40"/>
        <v>0.15466724789468733</v>
      </c>
      <c r="E655387" s="349">
        <v>0.10966724789468733</v>
      </c>
      <c r="F655387" s="349">
        <v>0.25</v>
      </c>
    </row>
    <row r="655388" spans="1:6" ht="16">
      <c r="A655388" s="347" t="s">
        <v>260</v>
      </c>
      <c r="B655388" s="348" t="s">
        <v>581</v>
      </c>
      <c r="C655388" s="349">
        <v>7.0808704231754685E-2</v>
      </c>
      <c r="D655388" s="349">
        <f t="shared" si="40"/>
        <v>0.14005640765793431</v>
      </c>
      <c r="E655388" s="349">
        <v>9.5056407657934314E-2</v>
      </c>
      <c r="F655388" s="349">
        <v>0.1</v>
      </c>
    </row>
    <row r="655389" spans="1:6" ht="16">
      <c r="A655389" s="347" t="s">
        <v>261</v>
      </c>
      <c r="B655389" s="348" t="s">
        <v>587</v>
      </c>
      <c r="C655389" s="349">
        <v>1.3060556657575006E-2</v>
      </c>
      <c r="D655389" s="349">
        <f t="shared" si="40"/>
        <v>6.2533008284103617E-2</v>
      </c>
      <c r="E655389" s="349">
        <v>1.7533008284103618E-2</v>
      </c>
      <c r="F655389" s="349">
        <v>0.22</v>
      </c>
    </row>
    <row r="655390" spans="1:6" ht="16">
      <c r="A655390" s="347" t="s">
        <v>262</v>
      </c>
      <c r="B655390" s="348" t="s">
        <v>576</v>
      </c>
      <c r="C655390" s="349">
        <v>3.2779436317050999E-2</v>
      </c>
      <c r="D655390" s="349">
        <f t="shared" si="40"/>
        <v>8.9004412948338496E-2</v>
      </c>
      <c r="E655390" s="349">
        <v>4.4004412948338498E-2</v>
      </c>
      <c r="F655390" s="349">
        <v>0.34</v>
      </c>
    </row>
    <row r="655391" spans="1:6" ht="16">
      <c r="A655391" s="347" t="s">
        <v>850</v>
      </c>
      <c r="B655391" s="348" t="s">
        <v>576</v>
      </c>
      <c r="C655391" s="349">
        <v>3.2779436317050999E-2</v>
      </c>
      <c r="D655391" s="349">
        <f t="shared" si="40"/>
        <v>8.9004412948338496E-2</v>
      </c>
      <c r="E655391" s="349">
        <v>4.4004412948338498E-2</v>
      </c>
      <c r="F655391" s="349">
        <v>0.34</v>
      </c>
    </row>
    <row r="655392" spans="1:6" ht="16">
      <c r="A655392" s="351" t="s">
        <v>584</v>
      </c>
      <c r="B655392" s="348" t="s">
        <v>687</v>
      </c>
      <c r="C655392" s="349">
        <v>6.5302783287875029E-3</v>
      </c>
      <c r="D655392" s="349">
        <f t="shared" si="40"/>
        <v>5.3766504142051808E-2</v>
      </c>
      <c r="E655392" s="349">
        <v>8.7665041420518092E-3</v>
      </c>
      <c r="F655392" s="349">
        <v>0.185</v>
      </c>
    </row>
    <row r="655393" spans="1:6" ht="16">
      <c r="A655393" s="347" t="s">
        <v>263</v>
      </c>
      <c r="B655393" s="348" t="s">
        <v>573</v>
      </c>
      <c r="C655393" s="349">
        <v>1.7414075543433341E-2</v>
      </c>
      <c r="D655393" s="349">
        <f t="shared" si="40"/>
        <v>6.8377344378804827E-2</v>
      </c>
      <c r="E655393" s="349">
        <v>2.3377344378804829E-2</v>
      </c>
      <c r="F655393" s="349">
        <v>0.1</v>
      </c>
    </row>
    <row r="655394" spans="1:6" ht="16">
      <c r="A655394" s="347" t="s">
        <v>482</v>
      </c>
      <c r="B655394" s="348" t="s">
        <v>579</v>
      </c>
      <c r="C655394" s="349">
        <v>8.1692501446400528E-2</v>
      </c>
      <c r="D655394" s="349">
        <f t="shared" si="40"/>
        <v>0.15466724789468733</v>
      </c>
      <c r="E655394" s="349">
        <v>0.10966724789468733</v>
      </c>
      <c r="F655394" s="349">
        <v>0.28000000000000003</v>
      </c>
    </row>
    <row r="655395" spans="1:6" ht="16">
      <c r="A655395" s="347" t="s">
        <v>264</v>
      </c>
      <c r="B655395" s="348" t="s">
        <v>572</v>
      </c>
      <c r="C655395" s="349">
        <v>5.9924907017108855E-2</v>
      </c>
      <c r="D655395" s="349">
        <f t="shared" si="40"/>
        <v>0.12544556742118129</v>
      </c>
      <c r="E655395" s="349">
        <v>8.0445567421181294E-2</v>
      </c>
      <c r="F655395" s="349">
        <v>0.2</v>
      </c>
    </row>
    <row r="655396" spans="1:6" ht="16">
      <c r="A655396" s="347" t="s">
        <v>483</v>
      </c>
      <c r="B655396" s="348" t="s">
        <v>579</v>
      </c>
      <c r="C655396" s="349">
        <v>8.1692501446400528E-2</v>
      </c>
      <c r="D655396" s="349">
        <f t="shared" si="40"/>
        <v>0.15466724789468733</v>
      </c>
      <c r="E655396" s="349">
        <v>0.10966724789468733</v>
      </c>
      <c r="F655396" s="349">
        <v>0.33</v>
      </c>
    </row>
    <row r="655397" spans="1:6" ht="16">
      <c r="A655397" s="347" t="s">
        <v>265</v>
      </c>
      <c r="B655397" s="348" t="s">
        <v>574</v>
      </c>
      <c r="C655397" s="349">
        <v>0</v>
      </c>
      <c r="D655397" s="349">
        <f t="shared" si="40"/>
        <v>4.4999999999999998E-2</v>
      </c>
      <c r="E655397" s="349">
        <v>0</v>
      </c>
      <c r="F655397" s="349">
        <v>0.26500000000000001</v>
      </c>
    </row>
    <row r="655398" spans="1:6" ht="16">
      <c r="A655398" s="347" t="s">
        <v>484</v>
      </c>
      <c r="B655398" s="348" t="s">
        <v>581</v>
      </c>
      <c r="C655398" s="349">
        <v>7.0808704231754685E-2</v>
      </c>
      <c r="D655398" s="349">
        <f t="shared" si="40"/>
        <v>0.14005640765793431</v>
      </c>
      <c r="E655398" s="349">
        <v>9.5056407657934314E-2</v>
      </c>
      <c r="F655398" s="349">
        <v>0</v>
      </c>
    </row>
    <row r="655399" spans="1:6" ht="16">
      <c r="A655399" s="347" t="s">
        <v>266</v>
      </c>
      <c r="B655399" s="348" t="s">
        <v>580</v>
      </c>
      <c r="C655399" s="349">
        <v>6.5302783287875029E-3</v>
      </c>
      <c r="D655399" s="349">
        <f t="shared" si="40"/>
        <v>5.3766504142051808E-2</v>
      </c>
      <c r="E655399" s="349">
        <v>8.7665041420518092E-3</v>
      </c>
      <c r="F655399" s="349">
        <v>0</v>
      </c>
    </row>
    <row r="655400" spans="1:6" ht="16">
      <c r="A655400" s="347" t="s">
        <v>851</v>
      </c>
      <c r="B655400" s="154" t="s">
        <v>687</v>
      </c>
      <c r="C655400" s="277">
        <v>9.5882201472833571E-3</v>
      </c>
      <c r="D655400" s="349">
        <f t="shared" si="40"/>
        <v>0.10387160629364336</v>
      </c>
      <c r="E655400" s="277">
        <v>5.8871606293643367E-2</v>
      </c>
      <c r="F655400" s="277">
        <v>0.24707349543413576</v>
      </c>
    </row>
    <row r="655401" spans="1:6" ht="16">
      <c r="A655401" s="347" t="s">
        <v>267</v>
      </c>
      <c r="B655401" s="348" t="s">
        <v>583</v>
      </c>
      <c r="C655401" s="349">
        <v>9.2192164641705932E-3</v>
      </c>
      <c r="D655401" s="349">
        <f t="shared" si="40"/>
        <v>5.73762411417202E-2</v>
      </c>
      <c r="E655401" s="349">
        <v>1.2376241141720201E-2</v>
      </c>
      <c r="F655401" s="349">
        <v>0.27</v>
      </c>
    </row>
    <row r="655402" spans="1:6" ht="16">
      <c r="A655402" s="347" t="s">
        <v>268</v>
      </c>
      <c r="B655402" s="348" t="s">
        <v>585</v>
      </c>
      <c r="C655402" s="349">
        <v>7.6826803868088279E-3</v>
      </c>
      <c r="D655402" s="349">
        <f t="shared" si="40"/>
        <v>5.5313534284766833E-2</v>
      </c>
      <c r="E655402" s="349">
        <v>1.0313534284766834E-2</v>
      </c>
      <c r="F655402" s="349">
        <v>0.25</v>
      </c>
    </row>
    <row r="655403" spans="1:6" ht="16">
      <c r="A655403" s="347" t="s">
        <v>269</v>
      </c>
      <c r="B655403" s="348" t="s">
        <v>571</v>
      </c>
      <c r="C655403" s="349">
        <v>2.0743237044383835E-2</v>
      </c>
      <c r="D655403" s="349">
        <f t="shared" si="40"/>
        <v>7.2846542568870451E-2</v>
      </c>
      <c r="E655403" s="349">
        <v>2.7846542568870453E-2</v>
      </c>
      <c r="F655403" s="349">
        <v>0.35</v>
      </c>
    </row>
    <row r="655404" spans="1:6" ht="16">
      <c r="A655404" s="347" t="s">
        <v>500</v>
      </c>
      <c r="B655404" s="348" t="s">
        <v>581</v>
      </c>
      <c r="C655404" s="349">
        <v>7.0808704231754685E-2</v>
      </c>
      <c r="D655404" s="349">
        <f t="shared" si="40"/>
        <v>0.14005640765793431</v>
      </c>
      <c r="E655404" s="349">
        <v>9.5056407657934314E-2</v>
      </c>
      <c r="F655404" s="349">
        <v>0.3</v>
      </c>
    </row>
    <row r="655405" spans="1:6" ht="16">
      <c r="A655405" s="347" t="s">
        <v>501</v>
      </c>
      <c r="B655405" s="348" t="s">
        <v>586</v>
      </c>
      <c r="C655405" s="349">
        <v>9.8082219604926024E-2</v>
      </c>
      <c r="D655405" s="349">
        <f t="shared" si="40"/>
        <v>0.17666945436885656</v>
      </c>
      <c r="E655405" s="349">
        <v>0.13166945436885658</v>
      </c>
      <c r="F655405" s="349">
        <v>0.28000000000000003</v>
      </c>
    </row>
    <row r="655406" spans="1:6" ht="16">
      <c r="A655406" s="347" t="s">
        <v>485</v>
      </c>
      <c r="B655406" s="348" t="s">
        <v>569</v>
      </c>
      <c r="C655406" s="349">
        <v>4.9041109802463012E-2</v>
      </c>
      <c r="D655406" s="349">
        <f t="shared" si="40"/>
        <v>0.11083472718442829</v>
      </c>
      <c r="E655406" s="349">
        <v>6.5834727184428288E-2</v>
      </c>
      <c r="F655406" s="349">
        <v>0.2974</v>
      </c>
    </row>
    <row r="655407" spans="1:6" ht="16">
      <c r="A655407" s="347" t="s">
        <v>270</v>
      </c>
      <c r="B655407" s="348" t="s">
        <v>569</v>
      </c>
      <c r="C655407" s="349">
        <v>4.9041109802463012E-2</v>
      </c>
      <c r="D655407" s="349">
        <f t="shared" si="40"/>
        <v>0.11083472718442829</v>
      </c>
      <c r="E655407" s="349">
        <v>6.5834727184428288E-2</v>
      </c>
      <c r="F655407" s="349">
        <v>0.3</v>
      </c>
    </row>
    <row r="655408" spans="1:6" ht="16">
      <c r="A655408" s="347" t="s">
        <v>271</v>
      </c>
      <c r="B655408" s="348" t="s">
        <v>571</v>
      </c>
      <c r="C655408" s="349">
        <v>2.0743237044383835E-2</v>
      </c>
      <c r="D655408" s="349">
        <f t="shared" si="40"/>
        <v>7.2846542568870451E-2</v>
      </c>
      <c r="E655408" s="349">
        <v>2.7846542568870453E-2</v>
      </c>
      <c r="F655408" s="349">
        <v>0.18</v>
      </c>
    </row>
    <row r="655409" spans="1:6" ht="16">
      <c r="A655409" s="347" t="s">
        <v>363</v>
      </c>
      <c r="B655409" s="348" t="s">
        <v>688</v>
      </c>
      <c r="C655409" s="349">
        <v>0.13073361124886354</v>
      </c>
      <c r="D655409" s="349">
        <f t="shared" si="40"/>
        <v>0.22050197507911562</v>
      </c>
      <c r="E655409" s="349">
        <v>0.17550197507911564</v>
      </c>
      <c r="F655409" s="349">
        <v>0.2853</v>
      </c>
    </row>
    <row r="655410" spans="1:6" ht="16">
      <c r="A655410" s="352" t="s">
        <v>852</v>
      </c>
      <c r="B655410" s="348" t="s">
        <v>571</v>
      </c>
      <c r="C655410" s="349">
        <v>2.0743237044383835E-2</v>
      </c>
      <c r="D655410" s="349">
        <f t="shared" si="40"/>
        <v>7.2846542568870451E-2</v>
      </c>
      <c r="E655410" s="349">
        <v>2.7846542568870453E-2</v>
      </c>
      <c r="F655410" s="349">
        <v>0.22</v>
      </c>
    </row>
    <row r="655411" spans="1:6" ht="16">
      <c r="A655411" s="347" t="s">
        <v>272</v>
      </c>
      <c r="B655411" s="348" t="s">
        <v>571</v>
      </c>
      <c r="C655411" s="349">
        <v>2.0743237044383835E-2</v>
      </c>
      <c r="D655411" s="349">
        <f t="shared" si="40"/>
        <v>7.2846542568870451E-2</v>
      </c>
      <c r="E655411" s="349">
        <v>2.7846542568870453E-2</v>
      </c>
      <c r="F655411" s="349">
        <v>0.125</v>
      </c>
    </row>
    <row r="655412" spans="1:6" ht="16">
      <c r="A655412" s="347" t="s">
        <v>273</v>
      </c>
      <c r="B655412" s="348" t="s">
        <v>580</v>
      </c>
      <c r="C655412" s="349">
        <v>6.5302783287875029E-3</v>
      </c>
      <c r="D655412" s="349">
        <f t="shared" si="40"/>
        <v>5.3766504142051808E-2</v>
      </c>
      <c r="E655412" s="349">
        <v>8.7665041420518092E-3</v>
      </c>
      <c r="F655412" s="349">
        <v>0.19</v>
      </c>
    </row>
    <row r="655413" spans="1:6" ht="16">
      <c r="A655413" s="347" t="s">
        <v>274</v>
      </c>
      <c r="B655413" s="348" t="s">
        <v>574</v>
      </c>
      <c r="C655413" s="349">
        <v>0</v>
      </c>
      <c r="D655413" s="349">
        <f t="shared" si="40"/>
        <v>4.4999999999999998E-2</v>
      </c>
      <c r="E655413" s="349">
        <v>0</v>
      </c>
      <c r="F655413" s="349">
        <v>0.22</v>
      </c>
    </row>
    <row r="655414" spans="1:6" ht="16">
      <c r="A655414" s="347" t="s">
        <v>275</v>
      </c>
      <c r="B655414" s="348" t="s">
        <v>578</v>
      </c>
      <c r="C655414" s="349">
        <v>3.9181669972725021E-2</v>
      </c>
      <c r="D655414" s="349">
        <f t="shared" si="40"/>
        <v>9.7599024852310853E-2</v>
      </c>
      <c r="E655414" s="349">
        <v>5.2599024852310855E-2</v>
      </c>
      <c r="F655414" s="349">
        <v>0.27</v>
      </c>
    </row>
    <row r="655415" spans="1:6" ht="16">
      <c r="A655415" s="347" t="s">
        <v>276</v>
      </c>
      <c r="B655415" s="348" t="s">
        <v>689</v>
      </c>
      <c r="C655415" s="349">
        <v>0.10896601681957188</v>
      </c>
      <c r="D655415" s="349">
        <f t="shared" si="40"/>
        <v>0.19128029460560964</v>
      </c>
      <c r="E655415" s="349">
        <v>0.14628029460560965</v>
      </c>
      <c r="F655415" s="349">
        <v>0.25</v>
      </c>
    </row>
    <row r="655416" spans="1:6" ht="16">
      <c r="A655416" s="347" t="s">
        <v>277</v>
      </c>
      <c r="B655416" s="348" t="s">
        <v>579</v>
      </c>
      <c r="C655416" s="349">
        <v>8.1692501446400528E-2</v>
      </c>
      <c r="D655416" s="349">
        <f t="shared" si="40"/>
        <v>0.15466724789468733</v>
      </c>
      <c r="E655416" s="349">
        <v>0.10966724789468733</v>
      </c>
      <c r="F655416" s="349">
        <v>0.22500000000000001</v>
      </c>
    </row>
    <row r="655417" spans="1:6" ht="16">
      <c r="A655417" s="347" t="s">
        <v>364</v>
      </c>
      <c r="B655417" s="348" t="s">
        <v>689</v>
      </c>
      <c r="C655417" s="349">
        <v>0.10896601681957188</v>
      </c>
      <c r="D655417" s="349">
        <f t="shared" si="40"/>
        <v>0.19128029460560964</v>
      </c>
      <c r="E655417" s="349">
        <v>0.14628029460560965</v>
      </c>
      <c r="F655417" s="349">
        <v>0.3</v>
      </c>
    </row>
    <row r="655418" spans="1:6" ht="16">
      <c r="A655418" s="347" t="s">
        <v>278</v>
      </c>
      <c r="B655418" s="348" t="s">
        <v>585</v>
      </c>
      <c r="C655418" s="349">
        <v>7.6826803868088279E-3</v>
      </c>
      <c r="D655418" s="349">
        <f t="shared" si="40"/>
        <v>5.5313534284766833E-2</v>
      </c>
      <c r="E655418" s="349">
        <v>1.0313534284766834E-2</v>
      </c>
      <c r="F655418" s="349">
        <v>0.2</v>
      </c>
    </row>
    <row r="655419" spans="1:6" ht="16">
      <c r="A655419" s="347" t="s">
        <v>502</v>
      </c>
      <c r="B655419" s="348" t="s">
        <v>586</v>
      </c>
      <c r="C655419" s="349">
        <v>9.8082219604926024E-2</v>
      </c>
      <c r="D655419" s="349">
        <f t="shared" si="40"/>
        <v>0.17666945436885656</v>
      </c>
      <c r="E655419" s="349">
        <v>0.13166945436885658</v>
      </c>
      <c r="F655419" s="349">
        <v>0.3</v>
      </c>
    </row>
    <row r="655420" spans="1:6" ht="16">
      <c r="A655420" s="347" t="s">
        <v>853</v>
      </c>
      <c r="B655420" s="154" t="s">
        <v>687</v>
      </c>
      <c r="C655420" s="277">
        <v>4.2915086193622262E-2</v>
      </c>
      <c r="D655420" s="349">
        <f t="shared" si="40"/>
        <v>0.14861091058162493</v>
      </c>
      <c r="E655420" s="277">
        <v>0.10361091058162493</v>
      </c>
      <c r="F655420" s="277">
        <v>0.31595749426030023</v>
      </c>
    </row>
    <row r="655421" spans="1:6" ht="16">
      <c r="A655421" s="347" t="s">
        <v>279</v>
      </c>
      <c r="B655421" s="348" t="s">
        <v>569</v>
      </c>
      <c r="C655421" s="349">
        <v>4.9041109802463012E-2</v>
      </c>
      <c r="D655421" s="349">
        <f t="shared" si="40"/>
        <v>0.11083472718442829</v>
      </c>
      <c r="E655421" s="349">
        <v>6.5834727184428288E-2</v>
      </c>
      <c r="F655421" s="349">
        <v>0.2</v>
      </c>
    </row>
    <row r="655422" spans="1:6" ht="16">
      <c r="A655422" s="347" t="s">
        <v>280</v>
      </c>
      <c r="B655422" s="348" t="s">
        <v>575</v>
      </c>
      <c r="C655422" s="349">
        <v>4.3535188858583353E-3</v>
      </c>
      <c r="D655422" s="349">
        <f t="shared" si="40"/>
        <v>5.0844336094701202E-2</v>
      </c>
      <c r="E655422" s="349">
        <v>5.8443360947012038E-3</v>
      </c>
      <c r="F655422" s="349">
        <v>0.2</v>
      </c>
    </row>
    <row r="655423" spans="1:6" ht="16">
      <c r="A655423" s="347" t="s">
        <v>281</v>
      </c>
      <c r="B655423" s="348" t="s">
        <v>568</v>
      </c>
      <c r="C655423" s="349">
        <v>5.3778762707661788E-3</v>
      </c>
      <c r="D655423" s="349">
        <f t="shared" si="40"/>
        <v>5.2219473999336782E-2</v>
      </c>
      <c r="E655423" s="349">
        <v>7.219473999336784E-3</v>
      </c>
      <c r="F655423" s="349">
        <v>0.25</v>
      </c>
    </row>
    <row r="655424" spans="1:6" ht="16">
      <c r="A655424" s="347" t="s">
        <v>854</v>
      </c>
      <c r="B655424" s="154" t="s">
        <v>687</v>
      </c>
      <c r="C655424" s="277">
        <v>4.2915086193622262E-2</v>
      </c>
      <c r="D655424" s="349">
        <f t="shared" si="40"/>
        <v>0.14861091058162493</v>
      </c>
      <c r="E655424" s="277">
        <v>0.10361091058162493</v>
      </c>
      <c r="F655424" s="277">
        <v>0.31595749426030023</v>
      </c>
    </row>
    <row r="655425" spans="1:6" ht="16">
      <c r="A655425" s="347" t="s">
        <v>486</v>
      </c>
      <c r="B655425" s="348" t="s">
        <v>579</v>
      </c>
      <c r="C655425" s="349">
        <v>8.1692501446400528E-2</v>
      </c>
      <c r="D655425" s="349">
        <f t="shared" si="40"/>
        <v>0.15466724789468733</v>
      </c>
      <c r="E655425" s="349">
        <v>0.10966724789468733</v>
      </c>
      <c r="F655425" s="349">
        <v>0.3</v>
      </c>
    </row>
    <row r="655426" spans="1:6" ht="16">
      <c r="A655426" s="350" t="s">
        <v>588</v>
      </c>
      <c r="B655426" s="348" t="s">
        <v>687</v>
      </c>
      <c r="C655426" s="349">
        <v>4.9041109802463012E-2</v>
      </c>
      <c r="D655426" s="349">
        <f t="shared" si="40"/>
        <v>0.11083472718442829</v>
      </c>
      <c r="E655426" s="349">
        <v>6.5834727184428288E-2</v>
      </c>
      <c r="F655426" s="349">
        <v>0.31</v>
      </c>
    </row>
    <row r="655427" spans="1:6" ht="16">
      <c r="A655427" s="347" t="s">
        <v>365</v>
      </c>
      <c r="B655427" s="348" t="s">
        <v>576</v>
      </c>
      <c r="C655427" s="349">
        <v>3.2779436317050999E-2</v>
      </c>
      <c r="D655427" s="349">
        <f t="shared" si="40"/>
        <v>8.9004412948338496E-2</v>
      </c>
      <c r="E655427" s="349">
        <v>4.4004412948338498E-2</v>
      </c>
      <c r="F655427" s="349">
        <v>0.15</v>
      </c>
    </row>
    <row r="655428" spans="1:6" ht="16">
      <c r="A655428" s="347" t="s">
        <v>282</v>
      </c>
      <c r="B655428" s="348" t="s">
        <v>574</v>
      </c>
      <c r="C655428" s="349">
        <v>0</v>
      </c>
      <c r="D655428" s="349">
        <f t="shared" si="40"/>
        <v>4.4999999999999998E-2</v>
      </c>
      <c r="E655428" s="349">
        <v>0</v>
      </c>
      <c r="F655428" s="349">
        <v>0.3</v>
      </c>
    </row>
    <row r="655429" spans="1:6" ht="16">
      <c r="A655429" s="347" t="s">
        <v>487</v>
      </c>
      <c r="B655429" s="348" t="s">
        <v>689</v>
      </c>
      <c r="C655429" s="349">
        <v>0.10896601681957188</v>
      </c>
      <c r="D655429" s="349">
        <f t="shared" si="40"/>
        <v>0.19128029460560964</v>
      </c>
      <c r="E655429" s="349">
        <v>0.14628029460560965</v>
      </c>
      <c r="F655429" s="349">
        <v>0.25</v>
      </c>
    </row>
    <row r="655430" spans="1:6" ht="16">
      <c r="A655430" s="347" t="s">
        <v>855</v>
      </c>
      <c r="B655430" s="154" t="s">
        <v>687</v>
      </c>
      <c r="C655430" s="277">
        <v>9.5882201472833571E-3</v>
      </c>
      <c r="D655430" s="349">
        <f t="shared" ref="D655430:D655493" si="41">$B$1+E655430</f>
        <v>0.10387160629364336</v>
      </c>
      <c r="E655430" s="277">
        <v>5.8871606293643367E-2</v>
      </c>
      <c r="F655430" s="277">
        <v>0.24707349543413576</v>
      </c>
    </row>
    <row r="655431" spans="1:6" ht="16">
      <c r="A655431" s="347" t="s">
        <v>283</v>
      </c>
      <c r="B655431" s="348" t="s">
        <v>589</v>
      </c>
      <c r="C655431" s="349">
        <v>2.7273515373171343E-2</v>
      </c>
      <c r="D655431" s="349">
        <f t="shared" si="41"/>
        <v>8.161304671092226E-2</v>
      </c>
      <c r="E655431" s="349">
        <v>3.6613046710922262E-2</v>
      </c>
      <c r="F655431" s="349">
        <v>0.22</v>
      </c>
    </row>
    <row r="655432" spans="1:6" ht="16">
      <c r="A655432" s="347" t="s">
        <v>856</v>
      </c>
      <c r="B655432" s="154" t="s">
        <v>687</v>
      </c>
      <c r="C655432" s="277">
        <f>J655432</f>
        <v>0</v>
      </c>
      <c r="D655432" s="349">
        <f t="shared" si="41"/>
        <v>4.4999999999999998E-2</v>
      </c>
      <c r="E655432" s="277">
        <f>H655432</f>
        <v>0</v>
      </c>
      <c r="F655432" s="277">
        <f>K655432</f>
        <v>0</v>
      </c>
    </row>
    <row r="655433" spans="1:6" ht="16">
      <c r="A655433" s="347" t="s">
        <v>284</v>
      </c>
      <c r="B655433" s="348" t="s">
        <v>589</v>
      </c>
      <c r="C655433" s="349">
        <v>2.7273515373171343E-2</v>
      </c>
      <c r="D655433" s="349">
        <f t="shared" si="41"/>
        <v>8.161304671092226E-2</v>
      </c>
      <c r="E655433" s="349">
        <v>3.6613046710922262E-2</v>
      </c>
      <c r="F655433" s="349">
        <v>0.25</v>
      </c>
    </row>
    <row r="655434" spans="1:6" ht="16">
      <c r="A655434" s="347" t="s">
        <v>690</v>
      </c>
      <c r="B655434" s="348" t="s">
        <v>585</v>
      </c>
      <c r="C655434" s="349">
        <v>7.6826803868088279E-3</v>
      </c>
      <c r="D655434" s="349">
        <f t="shared" si="41"/>
        <v>5.5313534284766833E-2</v>
      </c>
      <c r="E655434" s="349">
        <v>1.0313534284766834E-2</v>
      </c>
      <c r="F655434" s="349">
        <v>0</v>
      </c>
    </row>
    <row r="655435" spans="1:6" ht="16">
      <c r="A655435" s="351" t="s">
        <v>590</v>
      </c>
      <c r="B655435" s="348" t="s">
        <v>687</v>
      </c>
      <c r="C655435" s="349">
        <v>9.8082219604926024E-2</v>
      </c>
      <c r="D655435" s="349">
        <f t="shared" si="41"/>
        <v>0.17666945436885656</v>
      </c>
      <c r="E655435" s="349">
        <v>0.13166945436885658</v>
      </c>
      <c r="F655435" s="349">
        <v>0.29149999999999998</v>
      </c>
    </row>
    <row r="655436" spans="1:6" ht="16">
      <c r="A655436" s="350" t="s">
        <v>591</v>
      </c>
      <c r="B655436" s="348" t="s">
        <v>687</v>
      </c>
      <c r="C655436" s="349">
        <v>5.9924907017108842E-2</v>
      </c>
      <c r="D655436" s="349">
        <f t="shared" si="41"/>
        <v>0.12544556742118129</v>
      </c>
      <c r="E655436" s="349">
        <v>8.0445567421181294E-2</v>
      </c>
      <c r="F655436" s="349">
        <v>0.29149999999999998</v>
      </c>
    </row>
    <row r="655437" spans="1:6" ht="16">
      <c r="A655437" s="351" t="s">
        <v>592</v>
      </c>
      <c r="B655437" s="348" t="s">
        <v>687</v>
      </c>
      <c r="C655437" s="349">
        <v>1.7414075543433345E-2</v>
      </c>
      <c r="D655437" s="349">
        <f t="shared" si="41"/>
        <v>6.8377344378804827E-2</v>
      </c>
      <c r="E655437" s="349">
        <v>2.3377344378804829E-2</v>
      </c>
      <c r="F655437" s="349">
        <v>0.18640000000000001</v>
      </c>
    </row>
    <row r="655438" spans="1:6" ht="16">
      <c r="A655438" s="350" t="s">
        <v>593</v>
      </c>
      <c r="B655438" s="348" t="s">
        <v>687</v>
      </c>
      <c r="C655438" s="349">
        <v>0.10896601681957191</v>
      </c>
      <c r="D655438" s="349">
        <f t="shared" si="41"/>
        <v>0.19128029460560964</v>
      </c>
      <c r="E655438" s="349">
        <v>0.14628029460560965</v>
      </c>
      <c r="F655438" s="349">
        <v>0.18640000000000001</v>
      </c>
    </row>
    <row r="655439" spans="1:6" ht="16">
      <c r="A655439" s="347" t="s">
        <v>285</v>
      </c>
      <c r="B655439" s="348" t="s">
        <v>569</v>
      </c>
      <c r="C655439" s="349">
        <v>4.9041109802463012E-2</v>
      </c>
      <c r="D655439" s="349">
        <f t="shared" si="41"/>
        <v>0.11083472718442829</v>
      </c>
      <c r="E655439" s="349">
        <v>6.5834727184428288E-2</v>
      </c>
      <c r="F655439" s="349">
        <v>0.25</v>
      </c>
    </row>
    <row r="655440" spans="1:6" ht="16">
      <c r="A655440" s="347" t="s">
        <v>286</v>
      </c>
      <c r="B655440" s="348" t="s">
        <v>580</v>
      </c>
      <c r="C655440" s="349">
        <v>6.5302783287875029E-3</v>
      </c>
      <c r="D655440" s="349">
        <f t="shared" si="41"/>
        <v>5.3766504142051808E-2</v>
      </c>
      <c r="E655440" s="349">
        <v>8.7665041420518092E-3</v>
      </c>
      <c r="F655440" s="349">
        <v>0.16500000000000001</v>
      </c>
    </row>
    <row r="655441" spans="1:6" ht="16">
      <c r="A655441" s="347" t="s">
        <v>287</v>
      </c>
      <c r="B655441" s="348" t="s">
        <v>571</v>
      </c>
      <c r="C655441" s="349">
        <v>2.0743237044383835E-2</v>
      </c>
      <c r="D655441" s="349">
        <f t="shared" si="41"/>
        <v>7.2846542568870451E-2</v>
      </c>
      <c r="E655441" s="349">
        <v>2.7846542568870453E-2</v>
      </c>
      <c r="F655441" s="349">
        <v>0.09</v>
      </c>
    </row>
    <row r="655442" spans="1:6" ht="16">
      <c r="A655442" s="347" t="s">
        <v>288</v>
      </c>
      <c r="B655442" s="348" t="s">
        <v>583</v>
      </c>
      <c r="C655442" s="349">
        <v>9.2192164641705932E-3</v>
      </c>
      <c r="D655442" s="349">
        <f t="shared" si="41"/>
        <v>5.73762411417202E-2</v>
      </c>
      <c r="E655442" s="349">
        <v>1.2376241141720201E-2</v>
      </c>
      <c r="F655442" s="349">
        <v>0.2</v>
      </c>
    </row>
    <row r="655443" spans="1:6" ht="16">
      <c r="A655443" s="347" t="s">
        <v>289</v>
      </c>
      <c r="B655443" s="348" t="s">
        <v>577</v>
      </c>
      <c r="C655443" s="349">
        <v>2.3944353872220846E-2</v>
      </c>
      <c r="D655443" s="349">
        <f t="shared" si="41"/>
        <v>7.7143848520856623E-2</v>
      </c>
      <c r="E655443" s="349">
        <v>3.2143848520856624E-2</v>
      </c>
      <c r="F655443" s="349">
        <v>0.3</v>
      </c>
    </row>
    <row r="655444" spans="1:6" ht="16">
      <c r="A655444" s="347" t="s">
        <v>290</v>
      </c>
      <c r="B655444" s="348" t="s">
        <v>571</v>
      </c>
      <c r="C655444" s="349">
        <v>2.0743237044383835E-2</v>
      </c>
      <c r="D655444" s="349">
        <f t="shared" si="41"/>
        <v>7.2846542568870451E-2</v>
      </c>
      <c r="E655444" s="349">
        <v>2.7846542568870453E-2</v>
      </c>
      <c r="F655444" s="349">
        <v>0.22</v>
      </c>
    </row>
    <row r="655445" spans="1:6" ht="16">
      <c r="A655445" s="351" t="s">
        <v>594</v>
      </c>
      <c r="B655445" s="348" t="s">
        <v>687</v>
      </c>
      <c r="C655445" s="349">
        <v>7.0808704231754685E-2</v>
      </c>
      <c r="D655445" s="349">
        <f t="shared" si="41"/>
        <v>0.14005640765793431</v>
      </c>
      <c r="E655445" s="349">
        <v>9.5056407657934314E-2</v>
      </c>
      <c r="F655445" s="349">
        <v>0.20230000000000001</v>
      </c>
    </row>
    <row r="655446" spans="1:6" ht="16">
      <c r="A655446" s="347" t="s">
        <v>559</v>
      </c>
      <c r="B655446" s="348" t="s">
        <v>579</v>
      </c>
      <c r="C655446" s="349">
        <v>8.1692501446400528E-2</v>
      </c>
      <c r="D655446" s="349">
        <f t="shared" si="41"/>
        <v>0.15466724789468733</v>
      </c>
      <c r="E655446" s="349">
        <v>0.10966724789468733</v>
      </c>
      <c r="F655446" s="349">
        <v>0.15</v>
      </c>
    </row>
    <row r="655447" spans="1:6" ht="16">
      <c r="A655447" s="347" t="s">
        <v>291</v>
      </c>
      <c r="B655447" s="348" t="s">
        <v>580</v>
      </c>
      <c r="C655447" s="349">
        <v>6.5302783287875029E-3</v>
      </c>
      <c r="D655447" s="349">
        <f t="shared" si="41"/>
        <v>5.3766504142051808E-2</v>
      </c>
      <c r="E655447" s="349">
        <v>8.7665041420518092E-3</v>
      </c>
      <c r="F655447" s="349">
        <v>0.125</v>
      </c>
    </row>
    <row r="655448" spans="1:6" ht="16">
      <c r="A655448" s="347" t="s">
        <v>292</v>
      </c>
      <c r="B655448" s="348" t="s">
        <v>580</v>
      </c>
      <c r="C655448" s="349">
        <v>6.5302783287875029E-3</v>
      </c>
      <c r="D655448" s="349">
        <f t="shared" si="41"/>
        <v>5.3766504142051808E-2</v>
      </c>
      <c r="E655448" s="349">
        <v>8.7665041420518092E-3</v>
      </c>
      <c r="F655448" s="349">
        <v>0</v>
      </c>
    </row>
    <row r="655449" spans="1:6" ht="16">
      <c r="A655449" s="347" t="s">
        <v>293</v>
      </c>
      <c r="B655449" s="348" t="s">
        <v>585</v>
      </c>
      <c r="C655449" s="349">
        <v>7.6826803868088279E-3</v>
      </c>
      <c r="D655449" s="349">
        <f t="shared" si="41"/>
        <v>5.5313534284766833E-2</v>
      </c>
      <c r="E655449" s="349">
        <v>1.0313534284766834E-2</v>
      </c>
      <c r="F655449" s="349">
        <v>0.23</v>
      </c>
    </row>
    <row r="655450" spans="1:6" ht="16">
      <c r="A655450" s="347" t="s">
        <v>294</v>
      </c>
      <c r="B655450" s="348" t="s">
        <v>577</v>
      </c>
      <c r="C655450" s="349">
        <v>2.3944353872220846E-2</v>
      </c>
      <c r="D655450" s="349">
        <f t="shared" si="41"/>
        <v>7.7143848520856623E-2</v>
      </c>
      <c r="E655450" s="349">
        <v>3.2143848520856624E-2</v>
      </c>
      <c r="F655450" s="349">
        <v>0.24</v>
      </c>
    </row>
    <row r="655451" spans="1:6" ht="16">
      <c r="A655451" s="347" t="s">
        <v>857</v>
      </c>
      <c r="B655451" s="348" t="s">
        <v>578</v>
      </c>
      <c r="C655451" s="349">
        <v>3.9181669972725021E-2</v>
      </c>
      <c r="D655451" s="349">
        <f t="shared" si="41"/>
        <v>9.7599024852310853E-2</v>
      </c>
      <c r="E655451" s="349">
        <v>5.2599024852310855E-2</v>
      </c>
      <c r="F655451" s="349">
        <v>0.25</v>
      </c>
    </row>
    <row r="655452" spans="1:6" ht="16">
      <c r="A655452" s="347" t="s">
        <v>295</v>
      </c>
      <c r="B655452" s="348" t="s">
        <v>569</v>
      </c>
      <c r="C655452" s="349">
        <v>4.9041109802463012E-2</v>
      </c>
      <c r="D655452" s="349">
        <f t="shared" si="41"/>
        <v>0.11083472718442829</v>
      </c>
      <c r="E655452" s="349">
        <v>6.5834727184428288E-2</v>
      </c>
      <c r="F655452" s="349">
        <v>0.25</v>
      </c>
    </row>
    <row r="655453" spans="1:6" ht="16">
      <c r="A655453" s="347" t="s">
        <v>296</v>
      </c>
      <c r="B655453" s="348" t="s">
        <v>585</v>
      </c>
      <c r="C655453" s="349">
        <v>7.6826803868088279E-3</v>
      </c>
      <c r="D655453" s="349">
        <f t="shared" si="41"/>
        <v>5.5313534284766833E-2</v>
      </c>
      <c r="E655453" s="349">
        <v>1.0313534284766834E-2</v>
      </c>
      <c r="F655453" s="349">
        <v>0.30620000000000003</v>
      </c>
    </row>
    <row r="655454" spans="1:6" ht="16">
      <c r="A655454" s="347" t="s">
        <v>691</v>
      </c>
      <c r="B655454" s="348" t="s">
        <v>580</v>
      </c>
      <c r="C655454" s="349">
        <v>6.5302783287875029E-3</v>
      </c>
      <c r="D655454" s="349">
        <f t="shared" si="41"/>
        <v>5.3766504142051808E-2</v>
      </c>
      <c r="E655454" s="349">
        <v>8.7665041420518092E-3</v>
      </c>
      <c r="F655454" s="349">
        <v>0</v>
      </c>
    </row>
    <row r="655455" spans="1:6" ht="16">
      <c r="A655455" s="347" t="s">
        <v>297</v>
      </c>
      <c r="B655455" s="348" t="s">
        <v>569</v>
      </c>
      <c r="C655455" s="349">
        <v>4.9041109802463012E-2</v>
      </c>
      <c r="D655455" s="349">
        <f t="shared" si="41"/>
        <v>0.11083472718442829</v>
      </c>
      <c r="E655455" s="349">
        <v>6.5834727184428288E-2</v>
      </c>
      <c r="F655455" s="349">
        <v>0.2</v>
      </c>
    </row>
    <row r="655456" spans="1:6" ht="16">
      <c r="A655456" s="347" t="s">
        <v>298</v>
      </c>
      <c r="B655456" s="348" t="s">
        <v>571</v>
      </c>
      <c r="C655456" s="349">
        <v>2.0743237044383835E-2</v>
      </c>
      <c r="D655456" s="349">
        <f t="shared" si="41"/>
        <v>7.2846542568870451E-2</v>
      </c>
      <c r="E655456" s="349">
        <v>2.7846542568870453E-2</v>
      </c>
      <c r="F655456" s="349">
        <v>0.2</v>
      </c>
    </row>
    <row r="655457" spans="1:6" ht="16">
      <c r="A655457" s="347" t="s">
        <v>429</v>
      </c>
      <c r="B655457" s="348" t="s">
        <v>581</v>
      </c>
      <c r="C655457" s="349">
        <v>7.0808704231754685E-2</v>
      </c>
      <c r="D655457" s="349">
        <f t="shared" si="41"/>
        <v>0.14005640765793431</v>
      </c>
      <c r="E655457" s="349">
        <v>9.5056407657934314E-2</v>
      </c>
      <c r="F655457" s="349">
        <v>0.3</v>
      </c>
    </row>
    <row r="655458" spans="1:6" ht="16">
      <c r="A655458" s="350" t="s">
        <v>595</v>
      </c>
      <c r="B655458" s="348" t="s">
        <v>687</v>
      </c>
      <c r="C655458" s="349">
        <v>0.17499999999999999</v>
      </c>
      <c r="D655458" s="349">
        <f t="shared" si="41"/>
        <v>0.27992692770782934</v>
      </c>
      <c r="E655458" s="349">
        <v>0.23492692770782936</v>
      </c>
      <c r="F655458" s="349">
        <v>0.23100000000000001</v>
      </c>
    </row>
    <row r="655459" spans="1:6" ht="16">
      <c r="A655459" s="347" t="s">
        <v>299</v>
      </c>
      <c r="B655459" s="348" t="s">
        <v>585</v>
      </c>
      <c r="C655459" s="349">
        <v>7.6826803868088279E-3</v>
      </c>
      <c r="D655459" s="349">
        <f t="shared" si="41"/>
        <v>5.5313534284766833E-2</v>
      </c>
      <c r="E655459" s="349">
        <v>1.0313534284766834E-2</v>
      </c>
      <c r="F655459" s="349">
        <v>0.15</v>
      </c>
    </row>
    <row r="655460" spans="1:6" ht="16">
      <c r="A655460" s="347" t="s">
        <v>488</v>
      </c>
      <c r="B655460" s="348" t="s">
        <v>581</v>
      </c>
      <c r="C655460" s="349">
        <v>7.0808704231754685E-2</v>
      </c>
      <c r="D655460" s="349">
        <f t="shared" si="41"/>
        <v>0.14005640765793431</v>
      </c>
      <c r="E655460" s="349">
        <v>9.5056407657934314E-2</v>
      </c>
      <c r="F655460" s="349">
        <v>0.1</v>
      </c>
    </row>
    <row r="655461" spans="1:6" ht="16">
      <c r="A655461" s="347" t="s">
        <v>622</v>
      </c>
      <c r="B655461" s="348" t="s">
        <v>689</v>
      </c>
      <c r="C655461" s="349">
        <v>0.10896601681957188</v>
      </c>
      <c r="D655461" s="349">
        <f t="shared" si="41"/>
        <v>0.19128029460560964</v>
      </c>
      <c r="E655461" s="349">
        <v>0.14628029460560965</v>
      </c>
      <c r="F655461" s="349">
        <v>0.26860000000000001</v>
      </c>
    </row>
    <row r="655462" spans="1:6" ht="16">
      <c r="A655462" s="347" t="s">
        <v>300</v>
      </c>
      <c r="B655462" s="348" t="s">
        <v>587</v>
      </c>
      <c r="C655462" s="349">
        <v>1.3060556657575006E-2</v>
      </c>
      <c r="D655462" s="349">
        <f t="shared" si="41"/>
        <v>6.2533008284103617E-2</v>
      </c>
      <c r="E655462" s="349">
        <v>1.7533008284103618E-2</v>
      </c>
      <c r="F655462" s="349">
        <v>0.2</v>
      </c>
    </row>
    <row r="655463" spans="1:6" ht="16">
      <c r="A655463" s="347" t="s">
        <v>366</v>
      </c>
      <c r="B655463" s="348" t="s">
        <v>615</v>
      </c>
      <c r="C655463" s="349">
        <v>0.17499999999999999</v>
      </c>
      <c r="D655463" s="349">
        <f t="shared" si="41"/>
        <v>0.27992692770782934</v>
      </c>
      <c r="E655463" s="349">
        <v>0.23492692770782936</v>
      </c>
      <c r="F655463" s="349">
        <v>0.17</v>
      </c>
    </row>
    <row r="655464" spans="1:6" ht="16">
      <c r="A655464" s="351" t="s">
        <v>596</v>
      </c>
      <c r="B655464" s="348" t="s">
        <v>687</v>
      </c>
      <c r="C655464" s="349">
        <v>0.13073361124886354</v>
      </c>
      <c r="D655464" s="349">
        <f t="shared" si="41"/>
        <v>0.22050197507911562</v>
      </c>
      <c r="E655464" s="349">
        <v>0.17550197507911564</v>
      </c>
      <c r="F655464" s="349">
        <v>0.29149999999999998</v>
      </c>
    </row>
    <row r="655465" spans="1:6" ht="16">
      <c r="A655465" s="350" t="s">
        <v>597</v>
      </c>
      <c r="B655465" s="348" t="s">
        <v>687</v>
      </c>
      <c r="C655465" s="349">
        <v>2.0743237044383835E-2</v>
      </c>
      <c r="D655465" s="349">
        <f t="shared" si="41"/>
        <v>7.2846542568870451E-2</v>
      </c>
      <c r="E655465" s="349">
        <v>2.7846542568870453E-2</v>
      </c>
      <c r="F655465" s="349">
        <v>0.2</v>
      </c>
    </row>
    <row r="655466" spans="1:6" ht="16">
      <c r="A655466" s="347" t="s">
        <v>301</v>
      </c>
      <c r="B655466" s="348" t="s">
        <v>574</v>
      </c>
      <c r="C655466" s="349">
        <v>0</v>
      </c>
      <c r="D655466" s="349">
        <f t="shared" si="41"/>
        <v>4.4999999999999998E-2</v>
      </c>
      <c r="E655466" s="349">
        <v>0</v>
      </c>
      <c r="F655466" s="349">
        <v>0.125</v>
      </c>
    </row>
    <row r="655467" spans="1:6" ht="16">
      <c r="A655467" s="347" t="s">
        <v>302</v>
      </c>
      <c r="B655467" s="348" t="s">
        <v>583</v>
      </c>
      <c r="C655467" s="349">
        <v>9.2192164641705932E-3</v>
      </c>
      <c r="D655467" s="349">
        <f t="shared" si="41"/>
        <v>5.73762411417202E-2</v>
      </c>
      <c r="E655467" s="349">
        <v>1.2376241141720201E-2</v>
      </c>
      <c r="F655467" s="349">
        <v>0.15</v>
      </c>
    </row>
    <row r="655468" spans="1:6" ht="16">
      <c r="A655468" s="347" t="s">
        <v>303</v>
      </c>
      <c r="B655468" s="348" t="s">
        <v>574</v>
      </c>
      <c r="C655468" s="349">
        <v>0</v>
      </c>
      <c r="D655468" s="349">
        <f t="shared" si="41"/>
        <v>4.4999999999999998E-2</v>
      </c>
      <c r="E655468" s="349">
        <v>0</v>
      </c>
      <c r="F655468" s="349">
        <v>0.24940000000000001</v>
      </c>
    </row>
    <row r="655469" spans="1:6" ht="16">
      <c r="A655469" s="347" t="s">
        <v>858</v>
      </c>
      <c r="B655469" s="348" t="s">
        <v>580</v>
      </c>
      <c r="C655469" s="349">
        <v>6.5302783287875029E-3</v>
      </c>
      <c r="D655469" s="349">
        <f t="shared" si="41"/>
        <v>5.3766504142051808E-2</v>
      </c>
      <c r="E655469" s="349">
        <v>8.7665041420518092E-3</v>
      </c>
      <c r="F655469" s="349">
        <v>0.26860000000000001</v>
      </c>
    </row>
    <row r="655470" spans="1:6" ht="16">
      <c r="A655470" s="347" t="s">
        <v>304</v>
      </c>
      <c r="B655470" s="348" t="s">
        <v>578</v>
      </c>
      <c r="C655470" s="349">
        <v>3.9181669972725021E-2</v>
      </c>
      <c r="D655470" s="349">
        <f t="shared" si="41"/>
        <v>9.7599024852310853E-2</v>
      </c>
      <c r="E655470" s="349">
        <v>5.2599024852310855E-2</v>
      </c>
      <c r="F655470" s="349">
        <v>0.1</v>
      </c>
    </row>
    <row r="655471" spans="1:6" ht="16">
      <c r="A655471" s="351" t="s">
        <v>598</v>
      </c>
      <c r="B655471" s="348" t="s">
        <v>687</v>
      </c>
      <c r="C655471" s="349">
        <v>7.0808704231754685E-2</v>
      </c>
      <c r="D655471" s="349">
        <f t="shared" si="41"/>
        <v>0.14005640765793431</v>
      </c>
      <c r="E655471" s="349">
        <v>9.5056407657934314E-2</v>
      </c>
      <c r="F655471" s="349">
        <v>0.2</v>
      </c>
    </row>
    <row r="655472" spans="1:6" ht="16">
      <c r="A655472" s="350" t="s">
        <v>599</v>
      </c>
      <c r="B655472" s="348" t="s">
        <v>687</v>
      </c>
      <c r="C655472" s="349">
        <v>0.13073361124886354</v>
      </c>
      <c r="D655472" s="349">
        <f t="shared" si="41"/>
        <v>0.22050197507911562</v>
      </c>
      <c r="E655472" s="349">
        <v>0.17550197507911564</v>
      </c>
      <c r="F655472" s="349">
        <v>0.3</v>
      </c>
    </row>
    <row r="655473" spans="1:6" ht="16">
      <c r="A655473" s="347" t="s">
        <v>305</v>
      </c>
      <c r="B655473" s="348" t="s">
        <v>587</v>
      </c>
      <c r="C655473" s="349">
        <v>1.3060556657575006E-2</v>
      </c>
      <c r="D655473" s="349">
        <f t="shared" si="41"/>
        <v>6.2533008284103617E-2</v>
      </c>
      <c r="E655473" s="349">
        <v>1.7533008284103618E-2</v>
      </c>
      <c r="F655473" s="349">
        <v>0.24</v>
      </c>
    </row>
    <row r="655474" spans="1:6" ht="16">
      <c r="A655474" s="347" t="s">
        <v>692</v>
      </c>
      <c r="B655474" s="348" t="s">
        <v>579</v>
      </c>
      <c r="C655474" s="349">
        <v>8.1692501446400528E-2</v>
      </c>
      <c r="D655474" s="349">
        <f t="shared" si="41"/>
        <v>0.15466724789468733</v>
      </c>
      <c r="E655474" s="349">
        <v>0.10966724789468733</v>
      </c>
      <c r="F655474" s="349">
        <v>0.26860000000000001</v>
      </c>
    </row>
    <row r="655475" spans="1:6" ht="16">
      <c r="A655475" s="347" t="s">
        <v>600</v>
      </c>
      <c r="B655475" s="348" t="s">
        <v>586</v>
      </c>
      <c r="C655475" s="349">
        <v>9.8082219604926024E-2</v>
      </c>
      <c r="D655475" s="349">
        <f t="shared" si="41"/>
        <v>0.17666945436885656</v>
      </c>
      <c r="E655475" s="349">
        <v>0.13166945436885658</v>
      </c>
      <c r="F655475" s="349">
        <v>0.26860000000000001</v>
      </c>
    </row>
    <row r="655476" spans="1:6" ht="16">
      <c r="A655476" s="347" t="s">
        <v>306</v>
      </c>
      <c r="B655476" s="348" t="s">
        <v>583</v>
      </c>
      <c r="C655476" s="349">
        <v>9.2192164641705932E-3</v>
      </c>
      <c r="D655476" s="349">
        <f t="shared" si="41"/>
        <v>5.73762411417202E-2</v>
      </c>
      <c r="E655476" s="349">
        <v>1.2376241141720201E-2</v>
      </c>
      <c r="F655476" s="349">
        <v>0.35</v>
      </c>
    </row>
    <row r="655477" spans="1:6" ht="16">
      <c r="A655477" s="347" t="s">
        <v>859</v>
      </c>
      <c r="B655477" s="154" t="s">
        <v>687</v>
      </c>
      <c r="C655477" s="277">
        <f>J655477</f>
        <v>0</v>
      </c>
      <c r="D655477" s="349">
        <f t="shared" si="41"/>
        <v>4.4999999999999998E-2</v>
      </c>
      <c r="E655477" s="277">
        <f>H655477</f>
        <v>0</v>
      </c>
      <c r="F655477" s="277">
        <f>K655477</f>
        <v>0</v>
      </c>
    </row>
    <row r="655478" spans="1:6" ht="16">
      <c r="A655478" s="347" t="s">
        <v>307</v>
      </c>
      <c r="B655478" s="348" t="s">
        <v>577</v>
      </c>
      <c r="C655478" s="349">
        <v>2.3944353872220846E-2</v>
      </c>
      <c r="D655478" s="349">
        <f t="shared" si="41"/>
        <v>7.7143848520856623E-2</v>
      </c>
      <c r="E655478" s="349">
        <v>3.2143848520856624E-2</v>
      </c>
      <c r="F655478" s="349">
        <v>0.15</v>
      </c>
    </row>
    <row r="655479" spans="1:6" ht="16">
      <c r="A655479" s="347" t="s">
        <v>308</v>
      </c>
      <c r="B655479" s="348" t="s">
        <v>571</v>
      </c>
      <c r="C655479" s="349">
        <v>2.0743237044383835E-2</v>
      </c>
      <c r="D655479" s="349">
        <f t="shared" si="41"/>
        <v>7.2846542568870451E-2</v>
      </c>
      <c r="E655479" s="349">
        <v>2.7846542568870453E-2</v>
      </c>
      <c r="F655479" s="349">
        <v>0.3</v>
      </c>
    </row>
    <row r="655480" spans="1:6" ht="16">
      <c r="A655480" s="347" t="s">
        <v>860</v>
      </c>
      <c r="B655480" s="154" t="s">
        <v>687</v>
      </c>
      <c r="C655480" s="277">
        <v>9.5882201472833571E-3</v>
      </c>
      <c r="D655480" s="349">
        <f t="shared" si="41"/>
        <v>0.10387160629364336</v>
      </c>
      <c r="E655480" s="277">
        <v>5.8871606293643367E-2</v>
      </c>
      <c r="F655480" s="277">
        <v>0.24707349543413576</v>
      </c>
    </row>
    <row r="655481" spans="1:6" ht="16">
      <c r="A655481" s="347" t="s">
        <v>367</v>
      </c>
      <c r="B655481" s="348" t="s">
        <v>581</v>
      </c>
      <c r="C655481" s="349">
        <v>7.0808704231754685E-2</v>
      </c>
      <c r="D655481" s="349">
        <f t="shared" si="41"/>
        <v>0.14005640765793431</v>
      </c>
      <c r="E655481" s="349">
        <v>9.5056407657934314E-2</v>
      </c>
      <c r="F655481" s="349">
        <v>0.12</v>
      </c>
    </row>
    <row r="655482" spans="1:6" ht="16">
      <c r="A655482" s="347" t="s">
        <v>368</v>
      </c>
      <c r="B655482" s="348" t="s">
        <v>581</v>
      </c>
      <c r="C655482" s="349">
        <v>7.0808704231754685E-2</v>
      </c>
      <c r="D655482" s="349">
        <f t="shared" si="41"/>
        <v>0.14005640765793431</v>
      </c>
      <c r="E655482" s="349">
        <v>9.5056407657934314E-2</v>
      </c>
      <c r="F655482" s="349">
        <v>0.25</v>
      </c>
    </row>
    <row r="655483" spans="1:6" ht="16">
      <c r="A655483" s="347" t="s">
        <v>309</v>
      </c>
      <c r="B655483" s="348" t="s">
        <v>569</v>
      </c>
      <c r="C655483" s="349">
        <v>4.9041109802463012E-2</v>
      </c>
      <c r="D655483" s="349">
        <f t="shared" si="41"/>
        <v>0.11083472718442829</v>
      </c>
      <c r="E655483" s="349">
        <v>6.5834727184428288E-2</v>
      </c>
      <c r="F655483" s="349">
        <v>0.15</v>
      </c>
    </row>
    <row r="655484" spans="1:6" ht="16">
      <c r="A655484" s="347" t="s">
        <v>489</v>
      </c>
      <c r="B655484" s="348" t="s">
        <v>577</v>
      </c>
      <c r="C655484" s="349">
        <v>2.3944353872220846E-2</v>
      </c>
      <c r="D655484" s="349">
        <f t="shared" si="41"/>
        <v>7.7143848520856623E-2</v>
      </c>
      <c r="E655484" s="349">
        <v>3.2143848520856624E-2</v>
      </c>
      <c r="F655484" s="349">
        <v>0.2853</v>
      </c>
    </row>
    <row r="655485" spans="1:6" ht="16">
      <c r="A655485" s="347" t="s">
        <v>369</v>
      </c>
      <c r="B655485" s="348" t="s">
        <v>589</v>
      </c>
      <c r="C655485" s="349">
        <v>2.7273515373171343E-2</v>
      </c>
      <c r="D655485" s="349">
        <f t="shared" si="41"/>
        <v>8.161304671092226E-2</v>
      </c>
      <c r="E655485" s="349">
        <v>3.6613046710922262E-2</v>
      </c>
      <c r="F655485" s="349">
        <v>0.32</v>
      </c>
    </row>
    <row r="655486" spans="1:6" ht="16">
      <c r="A655486" s="347" t="s">
        <v>310</v>
      </c>
      <c r="B655486" s="348" t="s">
        <v>586</v>
      </c>
      <c r="C655486" s="349">
        <v>9.8082219604926024E-2</v>
      </c>
      <c r="D655486" s="349">
        <f t="shared" si="41"/>
        <v>0.17666945436885656</v>
      </c>
      <c r="E655486" s="349">
        <v>0.13166945436885658</v>
      </c>
      <c r="F655486" s="349">
        <v>0.32</v>
      </c>
    </row>
    <row r="655487" spans="1:6" ht="16">
      <c r="A655487" s="351" t="s">
        <v>601</v>
      </c>
      <c r="B655487" s="348" t="s">
        <v>687</v>
      </c>
      <c r="C655487" s="349">
        <v>0.10896601681957191</v>
      </c>
      <c r="D655487" s="349">
        <f t="shared" si="41"/>
        <v>0.19128029460560964</v>
      </c>
      <c r="E655487" s="349">
        <v>0.14628029460560965</v>
      </c>
      <c r="F655487" s="349">
        <v>0.25</v>
      </c>
    </row>
    <row r="655488" spans="1:6" ht="16">
      <c r="A655488" s="347" t="s">
        <v>311</v>
      </c>
      <c r="B655488" s="348" t="s">
        <v>569</v>
      </c>
      <c r="C655488" s="349">
        <v>4.9041109802463012E-2</v>
      </c>
      <c r="D655488" s="349">
        <f t="shared" si="41"/>
        <v>0.11083472718442829</v>
      </c>
      <c r="E655488" s="349">
        <v>6.5834727184428288E-2</v>
      </c>
      <c r="F655488" s="349">
        <v>0.32</v>
      </c>
    </row>
    <row r="655489" spans="1:6" ht="16">
      <c r="A655489" s="347" t="s">
        <v>312</v>
      </c>
      <c r="B655489" s="348" t="s">
        <v>574</v>
      </c>
      <c r="C655489" s="349">
        <v>0</v>
      </c>
      <c r="D655489" s="349">
        <f t="shared" si="41"/>
        <v>4.4999999999999998E-2</v>
      </c>
      <c r="E655489" s="349">
        <v>0</v>
      </c>
      <c r="F655489" s="349">
        <v>0.25800000000000001</v>
      </c>
    </row>
    <row r="655490" spans="1:6" ht="16">
      <c r="A655490" s="347" t="s">
        <v>861</v>
      </c>
      <c r="B655490" s="154" t="s">
        <v>687</v>
      </c>
      <c r="C655490" s="277">
        <v>0.1054310997313879</v>
      </c>
      <c r="D655490" s="349">
        <f t="shared" si="41"/>
        <v>0.23253488197001548</v>
      </c>
      <c r="E655490" s="277">
        <v>0.1875348819700155</v>
      </c>
      <c r="F655490" s="277">
        <v>0.2724561140242252</v>
      </c>
    </row>
    <row r="655491" spans="1:6" ht="16">
      <c r="A655491" s="347" t="s">
        <v>313</v>
      </c>
      <c r="B655491" s="348" t="s">
        <v>574</v>
      </c>
      <c r="C655491" s="349">
        <v>0</v>
      </c>
      <c r="D655491" s="349">
        <f t="shared" si="41"/>
        <v>4.4999999999999998E-2</v>
      </c>
      <c r="E655491" s="349">
        <v>0</v>
      </c>
      <c r="F655491" s="349">
        <v>0.28000000000000003</v>
      </c>
    </row>
    <row r="655492" spans="1:6" ht="16">
      <c r="A655492" s="347" t="s">
        <v>370</v>
      </c>
      <c r="B655492" s="348" t="s">
        <v>581</v>
      </c>
      <c r="C655492" s="349">
        <v>7.0808704231754685E-2</v>
      </c>
      <c r="D655492" s="349">
        <f t="shared" si="41"/>
        <v>0.14005640765793431</v>
      </c>
      <c r="E655492" s="349">
        <v>9.5056407657934314E-2</v>
      </c>
      <c r="F655492" s="349">
        <v>0.3</v>
      </c>
    </row>
    <row r="655493" spans="1:6" ht="16">
      <c r="A655493" s="347" t="s">
        <v>602</v>
      </c>
      <c r="B655493" s="348" t="s">
        <v>586</v>
      </c>
      <c r="C655493" s="349">
        <v>9.8082219604926024E-2</v>
      </c>
      <c r="D655493" s="349">
        <f t="shared" si="41"/>
        <v>0.17666945436885656</v>
      </c>
      <c r="E655493" s="349">
        <v>0.13166945436885658</v>
      </c>
      <c r="F655493" s="349">
        <v>0.26860000000000001</v>
      </c>
    </row>
    <row r="655494" spans="1:6" ht="16">
      <c r="A655494" s="347" t="s">
        <v>314</v>
      </c>
      <c r="B655494" s="348" t="s">
        <v>579</v>
      </c>
      <c r="C655494" s="349">
        <v>8.1692501446400528E-2</v>
      </c>
      <c r="D655494" s="349">
        <f t="shared" ref="D655494:D655555" si="42">$B$1+E655494</f>
        <v>0.15466724789468733</v>
      </c>
      <c r="E655494" s="349">
        <v>0.10966724789468733</v>
      </c>
      <c r="F655494" s="349">
        <v>0.3</v>
      </c>
    </row>
    <row r="655495" spans="1:6" ht="16">
      <c r="A655495" s="347" t="s">
        <v>315</v>
      </c>
      <c r="B655495" s="348" t="s">
        <v>574</v>
      </c>
      <c r="C655495" s="349">
        <v>0</v>
      </c>
      <c r="D655495" s="349">
        <f t="shared" si="42"/>
        <v>4.4999999999999998E-2</v>
      </c>
      <c r="E655495" s="349">
        <v>0</v>
      </c>
      <c r="F655495" s="349">
        <v>0.22</v>
      </c>
    </row>
    <row r="655496" spans="1:6" ht="16">
      <c r="A655496" s="347" t="s">
        <v>316</v>
      </c>
      <c r="B655496" s="348" t="s">
        <v>589</v>
      </c>
      <c r="C655496" s="349">
        <v>2.7273515373171343E-2</v>
      </c>
      <c r="D655496" s="349">
        <f t="shared" si="42"/>
        <v>8.161304671092226E-2</v>
      </c>
      <c r="E655496" s="349">
        <v>3.6613046710922262E-2</v>
      </c>
      <c r="F655496" s="349">
        <v>0.15</v>
      </c>
    </row>
    <row r="655497" spans="1:6" ht="16">
      <c r="A655497" s="347" t="s">
        <v>317</v>
      </c>
      <c r="B655497" s="348" t="s">
        <v>689</v>
      </c>
      <c r="C655497" s="349">
        <v>0.10896601681957188</v>
      </c>
      <c r="D655497" s="349">
        <f t="shared" si="42"/>
        <v>0.19128029460560964</v>
      </c>
      <c r="E655497" s="349">
        <v>0.14628029460560965</v>
      </c>
      <c r="F655497" s="349">
        <v>0.28999999999999998</v>
      </c>
    </row>
    <row r="655498" spans="1:6" ht="16">
      <c r="A655498" s="347" t="s">
        <v>862</v>
      </c>
      <c r="B655498" s="154" t="s">
        <v>687</v>
      </c>
      <c r="C655498" s="277">
        <v>1.6082653627874467E-2</v>
      </c>
      <c r="D655498" s="349">
        <f t="shared" si="42"/>
        <v>0.11258999089248985</v>
      </c>
      <c r="E655498" s="277">
        <v>6.7589990892489848E-2</v>
      </c>
      <c r="F655498" s="277">
        <v>0.18760152153615242</v>
      </c>
    </row>
    <row r="655499" spans="1:6" ht="16">
      <c r="A655499" s="347" t="s">
        <v>318</v>
      </c>
      <c r="B655499" s="348" t="s">
        <v>571</v>
      </c>
      <c r="C655499" s="349">
        <v>2.0743237044383835E-2</v>
      </c>
      <c r="D655499" s="349">
        <f t="shared" si="42"/>
        <v>7.2846542568870451E-2</v>
      </c>
      <c r="E655499" s="349">
        <v>2.7846542568870453E-2</v>
      </c>
      <c r="F655499" s="349">
        <v>0.25</v>
      </c>
    </row>
    <row r="655500" spans="1:6" ht="16">
      <c r="A655500" s="347" t="s">
        <v>319</v>
      </c>
      <c r="B655500" s="348" t="s">
        <v>572</v>
      </c>
      <c r="C655500" s="349">
        <v>5.9924907017108855E-2</v>
      </c>
      <c r="D655500" s="349">
        <f t="shared" si="42"/>
        <v>0.12544556742118129</v>
      </c>
      <c r="E655500" s="349">
        <v>8.0445567421181294E-2</v>
      </c>
      <c r="F655500" s="349">
        <v>0.3</v>
      </c>
    </row>
    <row r="655501" spans="1:6" ht="16">
      <c r="A655501" s="347" t="s">
        <v>320</v>
      </c>
      <c r="B655501" s="348" t="s">
        <v>589</v>
      </c>
      <c r="C655501" s="349">
        <v>2.7273515373171343E-2</v>
      </c>
      <c r="D655501" s="349">
        <f t="shared" si="42"/>
        <v>8.161304671092226E-2</v>
      </c>
      <c r="E655501" s="349">
        <v>3.6613046710922262E-2</v>
      </c>
      <c r="F655501" s="349">
        <v>0.1</v>
      </c>
    </row>
    <row r="655502" spans="1:6" ht="16">
      <c r="A655502" s="347" t="s">
        <v>321</v>
      </c>
      <c r="B655502" s="348" t="s">
        <v>573</v>
      </c>
      <c r="C655502" s="349">
        <v>1.7414075543433341E-2</v>
      </c>
      <c r="D655502" s="349">
        <f t="shared" si="42"/>
        <v>6.8377344378804827E-2</v>
      </c>
      <c r="E655502" s="349">
        <v>2.3377344378804829E-2</v>
      </c>
      <c r="F655502" s="349">
        <v>0.29499999999999998</v>
      </c>
    </row>
    <row r="655503" spans="1:6" ht="16">
      <c r="A655503" s="347" t="s">
        <v>322</v>
      </c>
      <c r="B655503" s="348" t="s">
        <v>571</v>
      </c>
      <c r="C655503" s="349">
        <v>2.0743237044383835E-2</v>
      </c>
      <c r="D655503" s="349">
        <f t="shared" si="42"/>
        <v>7.2846542568870451E-2</v>
      </c>
      <c r="E655503" s="349">
        <v>2.7846542568870453E-2</v>
      </c>
      <c r="F655503" s="349">
        <v>0.25</v>
      </c>
    </row>
    <row r="655504" spans="1:6" ht="16">
      <c r="A655504" s="347" t="s">
        <v>323</v>
      </c>
      <c r="B655504" s="348" t="s">
        <v>583</v>
      </c>
      <c r="C655504" s="349">
        <v>9.2192164641705932E-3</v>
      </c>
      <c r="D655504" s="349">
        <f t="shared" si="42"/>
        <v>5.73762411417202E-2</v>
      </c>
      <c r="E655504" s="349">
        <v>1.2376241141720201E-2</v>
      </c>
      <c r="F655504" s="349">
        <v>0.19</v>
      </c>
    </row>
    <row r="655505" spans="1:6" ht="16">
      <c r="A655505" s="347" t="s">
        <v>324</v>
      </c>
      <c r="B655505" s="348" t="s">
        <v>587</v>
      </c>
      <c r="C655505" s="349">
        <v>1.3060556657575006E-2</v>
      </c>
      <c r="D655505" s="349">
        <f t="shared" si="42"/>
        <v>6.2533008284103617E-2</v>
      </c>
      <c r="E655505" s="349">
        <v>1.7533008284103618E-2</v>
      </c>
      <c r="F655505" s="349">
        <v>0.21</v>
      </c>
    </row>
    <row r="655506" spans="1:6" ht="16">
      <c r="A655506" s="347" t="s">
        <v>325</v>
      </c>
      <c r="B655506" s="348" t="s">
        <v>580</v>
      </c>
      <c r="C655506" s="349">
        <v>6.5302783287875029E-3</v>
      </c>
      <c r="D655506" s="349">
        <f t="shared" si="42"/>
        <v>5.3766504142051808E-2</v>
      </c>
      <c r="E655506" s="349">
        <v>8.7665041420518092E-3</v>
      </c>
      <c r="F655506" s="349">
        <v>0.1</v>
      </c>
    </row>
    <row r="655507" spans="1:6" ht="16">
      <c r="A655507" s="347" t="s">
        <v>503</v>
      </c>
      <c r="B655507" s="348" t="s">
        <v>587</v>
      </c>
      <c r="C655507" s="349">
        <v>1.3060556657575006E-2</v>
      </c>
      <c r="D655507" s="349">
        <f t="shared" si="42"/>
        <v>6.2533008284103617E-2</v>
      </c>
      <c r="E655507" s="349">
        <v>1.7533008284103618E-2</v>
      </c>
      <c r="F655507" s="349">
        <v>0</v>
      </c>
    </row>
    <row r="655508" spans="1:6" ht="16">
      <c r="A655508" s="347" t="s">
        <v>863</v>
      </c>
      <c r="B655508" s="154" t="s">
        <v>687</v>
      </c>
      <c r="C655508" s="277">
        <v>1.2518555898193178E-2</v>
      </c>
      <c r="D655508" s="349">
        <f t="shared" si="42"/>
        <v>0.10780540500857855</v>
      </c>
      <c r="E655508" s="277">
        <v>6.2805405008578549E-2</v>
      </c>
      <c r="F655508" s="277">
        <v>0.2576437502455447</v>
      </c>
    </row>
    <row r="655509" spans="1:6" ht="16">
      <c r="A655509" s="347" t="s">
        <v>326</v>
      </c>
      <c r="B655509" s="348" t="s">
        <v>577</v>
      </c>
      <c r="C655509" s="349">
        <v>2.3944353872220846E-2</v>
      </c>
      <c r="D655509" s="349">
        <f t="shared" si="42"/>
        <v>7.7143848520856623E-2</v>
      </c>
      <c r="E655509" s="349">
        <v>3.2143848520856624E-2</v>
      </c>
      <c r="F655509" s="349">
        <v>0.16</v>
      </c>
    </row>
    <row r="655510" spans="1:6" ht="16">
      <c r="A655510" s="347" t="s">
        <v>327</v>
      </c>
      <c r="B655510" s="348" t="s">
        <v>687</v>
      </c>
      <c r="C655510" s="349">
        <v>4.9041109802463012E-2</v>
      </c>
      <c r="D655510" s="349">
        <f t="shared" si="42"/>
        <v>0.11083472718442829</v>
      </c>
      <c r="E655510" s="349">
        <v>6.5834727184428288E-2</v>
      </c>
      <c r="F655510" s="349">
        <v>0.25</v>
      </c>
    </row>
    <row r="655511" spans="1:6" ht="16">
      <c r="A655511" s="347" t="s">
        <v>490</v>
      </c>
      <c r="B655511" s="348" t="s">
        <v>572</v>
      </c>
      <c r="C655511" s="349">
        <v>5.9924907017108855E-2</v>
      </c>
      <c r="D655511" s="349">
        <f t="shared" si="42"/>
        <v>0.12544556742118129</v>
      </c>
      <c r="E655511" s="349">
        <v>8.0445567421181294E-2</v>
      </c>
      <c r="F655511" s="349">
        <v>0.3</v>
      </c>
    </row>
    <row r="655512" spans="1:6" ht="16">
      <c r="A655512" s="347" t="s">
        <v>864</v>
      </c>
      <c r="B655512" s="154" t="s">
        <v>687</v>
      </c>
      <c r="C655512" s="277">
        <v>0.1054310997313879</v>
      </c>
      <c r="D655512" s="349">
        <f t="shared" si="42"/>
        <v>0.23253488197001548</v>
      </c>
      <c r="E655512" s="277">
        <v>0.1875348819700155</v>
      </c>
      <c r="F655512" s="277">
        <v>0.2724561140242252</v>
      </c>
    </row>
    <row r="655513" spans="1:6" ht="16">
      <c r="A655513" s="347" t="s">
        <v>328</v>
      </c>
      <c r="B655513" s="348" t="s">
        <v>585</v>
      </c>
      <c r="C655513" s="349">
        <v>7.6826803868088279E-3</v>
      </c>
      <c r="D655513" s="349">
        <f t="shared" si="42"/>
        <v>5.5313534284766833E-2</v>
      </c>
      <c r="E655513" s="349">
        <v>1.0313534284766834E-2</v>
      </c>
      <c r="F655513" s="349">
        <v>0.2</v>
      </c>
    </row>
    <row r="655514" spans="1:6" ht="16">
      <c r="A655514" s="347" t="s">
        <v>371</v>
      </c>
      <c r="B655514" s="348" t="s">
        <v>578</v>
      </c>
      <c r="C655514" s="349">
        <v>3.9181669972725021E-2</v>
      </c>
      <c r="D655514" s="349">
        <f t="shared" si="42"/>
        <v>9.7599024852310853E-2</v>
      </c>
      <c r="E655514" s="349">
        <v>5.2599024852310855E-2</v>
      </c>
      <c r="F655514" s="349">
        <v>0.3</v>
      </c>
    </row>
    <row r="655515" spans="1:6" ht="16">
      <c r="A655515" s="347" t="s">
        <v>329</v>
      </c>
      <c r="B655515" s="348" t="s">
        <v>576</v>
      </c>
      <c r="C655515" s="349">
        <v>3.2779436317050999E-2</v>
      </c>
      <c r="D655515" s="349">
        <f t="shared" si="42"/>
        <v>8.9004412948338496E-2</v>
      </c>
      <c r="E655515" s="349">
        <v>4.4004412948338498E-2</v>
      </c>
      <c r="F655515" s="349">
        <v>0.15</v>
      </c>
    </row>
    <row r="655516" spans="1:6" ht="16">
      <c r="A655516" s="347" t="s">
        <v>504</v>
      </c>
      <c r="B655516" s="348" t="s">
        <v>589</v>
      </c>
      <c r="C655516" s="349">
        <v>2.7273515373171343E-2</v>
      </c>
      <c r="D655516" s="349">
        <f t="shared" si="42"/>
        <v>8.161304671092226E-2</v>
      </c>
      <c r="E655516" s="349">
        <v>3.6613046710922262E-2</v>
      </c>
      <c r="F655516" s="349">
        <v>0</v>
      </c>
    </row>
    <row r="655517" spans="1:6" ht="16">
      <c r="A655517" s="350" t="s">
        <v>603</v>
      </c>
      <c r="B655517" s="348" t="s">
        <v>687</v>
      </c>
      <c r="C655517" s="349">
        <v>0.10896601681957191</v>
      </c>
      <c r="D655517" s="349">
        <f t="shared" si="42"/>
        <v>0.19128029460560964</v>
      </c>
      <c r="E655517" s="349">
        <v>0.14628029460560965</v>
      </c>
      <c r="F655517" s="349">
        <v>0.3</v>
      </c>
    </row>
    <row r="655518" spans="1:6" ht="16">
      <c r="A655518" s="347" t="s">
        <v>330</v>
      </c>
      <c r="B655518" s="348" t="s">
        <v>574</v>
      </c>
      <c r="C655518" s="349">
        <v>0</v>
      </c>
      <c r="D655518" s="349">
        <f t="shared" si="42"/>
        <v>4.4999999999999998E-2</v>
      </c>
      <c r="E655518" s="349">
        <v>0</v>
      </c>
      <c r="F655518" s="349">
        <v>0.17</v>
      </c>
    </row>
    <row r="655519" spans="1:6" ht="16">
      <c r="A655519" s="347" t="s">
        <v>372</v>
      </c>
      <c r="B655519" s="348" t="s">
        <v>583</v>
      </c>
      <c r="C655519" s="349">
        <v>9.2192164641705932E-3</v>
      </c>
      <c r="D655519" s="349">
        <f t="shared" si="42"/>
        <v>5.73762411417202E-2</v>
      </c>
      <c r="E655519" s="349">
        <v>1.2376241141720201E-2</v>
      </c>
      <c r="F655519" s="349">
        <v>0.21</v>
      </c>
    </row>
    <row r="655520" spans="1:6" ht="16">
      <c r="A655520" s="347" t="s">
        <v>331</v>
      </c>
      <c r="B655520" s="348" t="s">
        <v>587</v>
      </c>
      <c r="C655520" s="349">
        <v>1.3060556657575006E-2</v>
      </c>
      <c r="D655520" s="349">
        <f t="shared" si="42"/>
        <v>6.2533008284103617E-2</v>
      </c>
      <c r="E655520" s="349">
        <v>1.7533008284103618E-2</v>
      </c>
      <c r="F655520" s="349">
        <v>0.19</v>
      </c>
    </row>
    <row r="655521" spans="1:6" ht="16">
      <c r="A655521" s="347" t="s">
        <v>604</v>
      </c>
      <c r="B655521" s="348" t="s">
        <v>579</v>
      </c>
      <c r="C655521" s="349">
        <v>8.1692501446400528E-2</v>
      </c>
      <c r="D655521" s="349">
        <f t="shared" si="42"/>
        <v>0.15466724789468733</v>
      </c>
      <c r="E655521" s="349">
        <v>0.10966724789468733</v>
      </c>
      <c r="F655521" s="349">
        <v>0.3</v>
      </c>
    </row>
    <row r="655522" spans="1:6" ht="16">
      <c r="A655522" s="351" t="s">
        <v>605</v>
      </c>
      <c r="B655522" s="348" t="s">
        <v>687</v>
      </c>
      <c r="C655522" s="349">
        <v>0.13073361124886354</v>
      </c>
      <c r="D655522" s="349">
        <f t="shared" si="42"/>
        <v>0.22050197507911562</v>
      </c>
      <c r="E655522" s="349">
        <v>0.17550197507911564</v>
      </c>
      <c r="F655522" s="349">
        <v>0.29149999999999998</v>
      </c>
    </row>
    <row r="655523" spans="1:6" ht="16">
      <c r="A655523" s="347" t="s">
        <v>332</v>
      </c>
      <c r="B655523" s="348" t="s">
        <v>576</v>
      </c>
      <c r="C655523" s="349">
        <v>3.2779436317050999E-2</v>
      </c>
      <c r="D655523" s="349">
        <f t="shared" si="42"/>
        <v>8.9004412948338496E-2</v>
      </c>
      <c r="E655523" s="349">
        <v>4.4004412948338498E-2</v>
      </c>
      <c r="F655523" s="349">
        <v>0.27</v>
      </c>
    </row>
    <row r="655524" spans="1:6" ht="16">
      <c r="A655524" s="347" t="s">
        <v>865</v>
      </c>
      <c r="B655524" s="348" t="s">
        <v>568</v>
      </c>
      <c r="C655524" s="349">
        <v>5.3778762707661788E-3</v>
      </c>
      <c r="D655524" s="349">
        <f t="shared" si="42"/>
        <v>5.2219473999336782E-2</v>
      </c>
      <c r="E655524" s="349">
        <v>7.219473999336784E-3</v>
      </c>
      <c r="F655524" s="349">
        <v>0.25</v>
      </c>
    </row>
    <row r="655525" spans="1:6" ht="16">
      <c r="A655525" s="347" t="s">
        <v>333</v>
      </c>
      <c r="B655525" s="348" t="s">
        <v>573</v>
      </c>
      <c r="C655525" s="349">
        <v>1.7414075543433341E-2</v>
      </c>
      <c r="D655525" s="349">
        <f t="shared" si="42"/>
        <v>6.8377344378804827E-2</v>
      </c>
      <c r="E655525" s="349">
        <v>2.3377344378804829E-2</v>
      </c>
      <c r="F655525" s="349">
        <v>0.25</v>
      </c>
    </row>
    <row r="655526" spans="1:6" ht="16">
      <c r="A655526" s="347" t="s">
        <v>334</v>
      </c>
      <c r="B655526" s="348" t="s">
        <v>688</v>
      </c>
      <c r="C655526" s="349">
        <v>0.13073361124886354</v>
      </c>
      <c r="D655526" s="349">
        <f t="shared" si="42"/>
        <v>0.22050197507911562</v>
      </c>
      <c r="E655526" s="349">
        <v>0.17550197507911564</v>
      </c>
      <c r="F655526" s="349">
        <v>0.24</v>
      </c>
    </row>
    <row r="655527" spans="1:6" ht="16">
      <c r="A655527" s="347" t="s">
        <v>430</v>
      </c>
      <c r="B655527" s="348" t="s">
        <v>576</v>
      </c>
      <c r="C655527" s="349">
        <v>3.2779436317050999E-2</v>
      </c>
      <c r="D655527" s="349">
        <f t="shared" si="42"/>
        <v>8.9004412948338496E-2</v>
      </c>
      <c r="E655527" s="349">
        <v>4.4004412948338498E-2</v>
      </c>
      <c r="F655527" s="349">
        <v>0.2853</v>
      </c>
    </row>
    <row r="655528" spans="1:6" ht="16">
      <c r="A655528" s="347" t="s">
        <v>373</v>
      </c>
      <c r="B655528" s="348" t="s">
        <v>581</v>
      </c>
      <c r="C655528" s="349">
        <v>7.0808704231754685E-2</v>
      </c>
      <c r="D655528" s="349">
        <f t="shared" si="42"/>
        <v>0.14005640765793431</v>
      </c>
      <c r="E655528" s="349">
        <v>9.5056407657934314E-2</v>
      </c>
      <c r="F655528" s="349">
        <v>0.2853</v>
      </c>
    </row>
    <row r="655529" spans="1:6" ht="16">
      <c r="A655529" s="350" t="s">
        <v>606</v>
      </c>
      <c r="B655529" s="348" t="s">
        <v>687</v>
      </c>
      <c r="C655529" s="349">
        <v>0.17499999999999999</v>
      </c>
      <c r="D655529" s="349">
        <f t="shared" si="42"/>
        <v>0.27992692770782934</v>
      </c>
      <c r="E655529" s="349">
        <v>0.23492692770782936</v>
      </c>
      <c r="F655529" s="349">
        <v>0.35</v>
      </c>
    </row>
    <row r="655530" spans="1:6" ht="16">
      <c r="A655530" s="347" t="s">
        <v>374</v>
      </c>
      <c r="B655530" s="348" t="s">
        <v>689</v>
      </c>
      <c r="C655530" s="349">
        <v>0.10896601681957188</v>
      </c>
      <c r="D655530" s="349">
        <f t="shared" si="42"/>
        <v>0.19128029460560964</v>
      </c>
      <c r="E655530" s="349">
        <v>0.14628029460560965</v>
      </c>
      <c r="F655530" s="349">
        <v>0.36</v>
      </c>
    </row>
    <row r="655531" spans="1:6" ht="16">
      <c r="A655531" s="347" t="s">
        <v>607</v>
      </c>
      <c r="B655531" s="348" t="s">
        <v>581</v>
      </c>
      <c r="C655531" s="349">
        <v>7.0808704231754685E-2</v>
      </c>
      <c r="D655531" s="349">
        <f t="shared" si="42"/>
        <v>0.14005640765793431</v>
      </c>
      <c r="E655531" s="349">
        <v>9.5056407657934314E-2</v>
      </c>
      <c r="F655531" s="349">
        <v>0.27500000000000002</v>
      </c>
    </row>
    <row r="655532" spans="1:6" ht="16">
      <c r="A655532" s="347" t="s">
        <v>335</v>
      </c>
      <c r="B655532" s="348" t="s">
        <v>574</v>
      </c>
      <c r="C655532" s="349">
        <v>0</v>
      </c>
      <c r="D655532" s="349">
        <f t="shared" si="42"/>
        <v>4.4999999999999998E-2</v>
      </c>
      <c r="E655532" s="349">
        <v>0</v>
      </c>
      <c r="F655532" s="349">
        <v>0.20600000000000002</v>
      </c>
    </row>
    <row r="655533" spans="1:6" ht="16">
      <c r="A655533" s="347" t="s">
        <v>336</v>
      </c>
      <c r="B655533" s="348" t="s">
        <v>574</v>
      </c>
      <c r="C655533" s="349">
        <v>0</v>
      </c>
      <c r="D655533" s="349">
        <f t="shared" si="42"/>
        <v>4.4999999999999998E-2</v>
      </c>
      <c r="E655533" s="349">
        <v>0</v>
      </c>
      <c r="F655533" s="349">
        <v>0.14599999999999999</v>
      </c>
    </row>
    <row r="655534" spans="1:6" ht="16">
      <c r="A655534" s="351" t="s">
        <v>608</v>
      </c>
      <c r="B655534" s="348" t="s">
        <v>687</v>
      </c>
      <c r="C655534" s="349">
        <v>0.17499999999999999</v>
      </c>
      <c r="D655534" s="349">
        <f t="shared" si="42"/>
        <v>0.27992692770782934</v>
      </c>
      <c r="E655534" s="349">
        <v>0.23492692770782936</v>
      </c>
      <c r="F655534" s="349">
        <v>0.28000000000000003</v>
      </c>
    </row>
    <row r="655535" spans="1:6" ht="16">
      <c r="A655535" s="347" t="s">
        <v>337</v>
      </c>
      <c r="B655535" s="348" t="s">
        <v>580</v>
      </c>
      <c r="C655535" s="349">
        <v>6.5302783287875029E-3</v>
      </c>
      <c r="D655535" s="349">
        <f t="shared" si="42"/>
        <v>5.3766504142051808E-2</v>
      </c>
      <c r="E655535" s="349">
        <v>8.7665041420518092E-3</v>
      </c>
      <c r="F655535" s="349">
        <v>0.2</v>
      </c>
    </row>
    <row r="655536" spans="1:6" ht="16">
      <c r="A655536" s="347" t="s">
        <v>609</v>
      </c>
      <c r="B655536" s="348" t="s">
        <v>581</v>
      </c>
      <c r="C655536" s="349">
        <v>7.0808704231754685E-2</v>
      </c>
      <c r="D655536" s="349">
        <f t="shared" si="42"/>
        <v>0.14005640765793431</v>
      </c>
      <c r="E655536" s="349">
        <v>9.5056407657934314E-2</v>
      </c>
      <c r="F655536" s="349">
        <v>0.18</v>
      </c>
    </row>
    <row r="655537" spans="1:6" ht="16">
      <c r="A655537" s="347" t="s">
        <v>610</v>
      </c>
      <c r="B655537" s="348" t="s">
        <v>572</v>
      </c>
      <c r="C655537" s="349">
        <v>5.9924907017108855E-2</v>
      </c>
      <c r="D655537" s="349">
        <f t="shared" si="42"/>
        <v>0.12544556742118129</v>
      </c>
      <c r="E655537" s="349">
        <v>8.0445567421181294E-2</v>
      </c>
      <c r="F655537" s="349">
        <v>0.3</v>
      </c>
    </row>
    <row r="655538" spans="1:6" ht="16">
      <c r="A655538" s="347" t="s">
        <v>338</v>
      </c>
      <c r="B655538" s="348" t="s">
        <v>573</v>
      </c>
      <c r="C655538" s="349">
        <v>1.7414075543433341E-2</v>
      </c>
      <c r="D655538" s="349">
        <f t="shared" si="42"/>
        <v>6.8377344378804827E-2</v>
      </c>
      <c r="E655538" s="349">
        <v>2.3377344378804829E-2</v>
      </c>
      <c r="F655538" s="349">
        <v>0.2</v>
      </c>
    </row>
    <row r="655539" spans="1:6" ht="16">
      <c r="A655539" s="347" t="s">
        <v>611</v>
      </c>
      <c r="B655539" s="348" t="s">
        <v>581</v>
      </c>
      <c r="C655539" s="349">
        <v>7.0808704231754685E-2</v>
      </c>
      <c r="D655539" s="349">
        <f t="shared" si="42"/>
        <v>0.14005640765793431</v>
      </c>
      <c r="E655539" s="349">
        <v>9.5056407657934314E-2</v>
      </c>
      <c r="F655539" s="349">
        <v>0.26860000000000001</v>
      </c>
    </row>
    <row r="655540" spans="1:6" ht="16">
      <c r="A655540" s="347" t="s">
        <v>866</v>
      </c>
      <c r="B655540" s="348" t="s">
        <v>576</v>
      </c>
      <c r="C655540" s="349">
        <v>3.2779436317050999E-2</v>
      </c>
      <c r="D655540" s="349">
        <f t="shared" si="42"/>
        <v>8.9004412948338496E-2</v>
      </c>
      <c r="E655540" s="349">
        <v>4.4004412948338498E-2</v>
      </c>
      <c r="F655540" s="349">
        <v>0.3</v>
      </c>
    </row>
    <row r="655541" spans="1:6" ht="16">
      <c r="A655541" s="347" t="s">
        <v>339</v>
      </c>
      <c r="B655541" s="348" t="s">
        <v>586</v>
      </c>
      <c r="C655541" s="349">
        <v>9.8082219604926024E-2</v>
      </c>
      <c r="D655541" s="349">
        <f t="shared" si="42"/>
        <v>0.17666945436885656</v>
      </c>
      <c r="E655541" s="349">
        <v>0.13166945436885658</v>
      </c>
      <c r="F655541" s="349">
        <v>0.15</v>
      </c>
    </row>
    <row r="655542" spans="1:6" ht="16">
      <c r="A655542" s="347" t="s">
        <v>340</v>
      </c>
      <c r="B655542" s="348" t="s">
        <v>581</v>
      </c>
      <c r="C655542" s="349">
        <v>7.0808704231754685E-2</v>
      </c>
      <c r="D655542" s="349">
        <f t="shared" si="42"/>
        <v>0.14005640765793431</v>
      </c>
      <c r="E655542" s="349">
        <v>9.5056407657934314E-2</v>
      </c>
      <c r="F655542" s="349">
        <v>0.25</v>
      </c>
    </row>
    <row r="655543" spans="1:6" ht="16">
      <c r="A655543" s="353" t="s">
        <v>867</v>
      </c>
      <c r="B655543" s="348" t="s">
        <v>573</v>
      </c>
      <c r="C655543" s="349">
        <v>1.7414075543433341E-2</v>
      </c>
      <c r="D655543" s="349">
        <f t="shared" si="42"/>
        <v>6.8377344378804827E-2</v>
      </c>
      <c r="E655543" s="349">
        <v>2.3377344378804829E-2</v>
      </c>
      <c r="F655543" s="349">
        <v>0</v>
      </c>
    </row>
    <row r="655544" spans="1:6" ht="16">
      <c r="A655544" s="347" t="s">
        <v>431</v>
      </c>
      <c r="B655544" s="348" t="s">
        <v>572</v>
      </c>
      <c r="C655544" s="349">
        <v>5.9924907017108855E-2</v>
      </c>
      <c r="D655544" s="349">
        <f t="shared" si="42"/>
        <v>0.12544556742118129</v>
      </c>
      <c r="E655544" s="349">
        <v>8.0445567421181294E-2</v>
      </c>
      <c r="F655544" s="349">
        <v>0.3</v>
      </c>
    </row>
    <row r="655545" spans="1:6" ht="16">
      <c r="A655545" s="347" t="s">
        <v>341</v>
      </c>
      <c r="B655545" s="348" t="s">
        <v>688</v>
      </c>
      <c r="C655545" s="349">
        <v>0.13073361124886354</v>
      </c>
      <c r="D655545" s="349">
        <f t="shared" si="42"/>
        <v>0.22050197507911562</v>
      </c>
      <c r="E655545" s="349">
        <v>0.17550197507911564</v>
      </c>
      <c r="F655545" s="349">
        <v>0.18</v>
      </c>
    </row>
    <row r="655546" spans="1:6" ht="16">
      <c r="A655546" s="347" t="s">
        <v>342</v>
      </c>
      <c r="B655546" s="348" t="s">
        <v>568</v>
      </c>
      <c r="C655546" s="349">
        <v>5.3778762707661788E-3</v>
      </c>
      <c r="D655546" s="349">
        <f t="shared" si="42"/>
        <v>5.2219473999336782E-2</v>
      </c>
      <c r="E655546" s="349">
        <v>7.219473999336784E-3</v>
      </c>
      <c r="F655546" s="349">
        <v>0.25</v>
      </c>
    </row>
    <row r="655547" spans="1:6" ht="16">
      <c r="A655547" s="347" t="s">
        <v>343</v>
      </c>
      <c r="B655547" s="348" t="s">
        <v>580</v>
      </c>
      <c r="C655547" s="349">
        <v>6.5302783287875029E-3</v>
      </c>
      <c r="D655547" s="349">
        <f t="shared" si="42"/>
        <v>5.3766504142051808E-2</v>
      </c>
      <c r="E655547" s="349">
        <v>8.7665041420518092E-3</v>
      </c>
      <c r="F655547" s="349">
        <v>0.25</v>
      </c>
    </row>
    <row r="655548" spans="1:6" ht="16">
      <c r="A655548" s="347" t="s">
        <v>344</v>
      </c>
      <c r="B655548" s="348" t="s">
        <v>574</v>
      </c>
      <c r="C655548" s="349">
        <v>0</v>
      </c>
      <c r="D655548" s="349">
        <f t="shared" si="42"/>
        <v>4.4999999999999998E-2</v>
      </c>
      <c r="E655548" s="349">
        <v>0</v>
      </c>
      <c r="F655548" s="349">
        <v>0.25</v>
      </c>
    </row>
    <row r="655549" spans="1:6" ht="16">
      <c r="A655549" s="347" t="s">
        <v>345</v>
      </c>
      <c r="B655549" s="348" t="s">
        <v>571</v>
      </c>
      <c r="C655549" s="349">
        <v>2.0743237044383835E-2</v>
      </c>
      <c r="D655549" s="349">
        <f t="shared" si="42"/>
        <v>7.2846542568870451E-2</v>
      </c>
      <c r="E655549" s="349">
        <v>2.7846542568870453E-2</v>
      </c>
      <c r="F655549" s="349">
        <v>0.25</v>
      </c>
    </row>
    <row r="655550" spans="1:6" ht="16">
      <c r="A655550" s="347" t="s">
        <v>693</v>
      </c>
      <c r="B655550" s="348" t="s">
        <v>578</v>
      </c>
      <c r="C655550" s="349">
        <v>3.9181669972725021E-2</v>
      </c>
      <c r="D655550" s="349">
        <f t="shared" si="42"/>
        <v>9.7599024852310853E-2</v>
      </c>
      <c r="E655550" s="349">
        <v>5.2599024852310855E-2</v>
      </c>
      <c r="F655550" s="349">
        <v>0.15</v>
      </c>
    </row>
    <row r="655551" spans="1:6" ht="16">
      <c r="A655551" s="347" t="s">
        <v>346</v>
      </c>
      <c r="B655551" s="348" t="s">
        <v>615</v>
      </c>
      <c r="C655551" s="349">
        <v>0.17499999999999999</v>
      </c>
      <c r="D655551" s="349">
        <f t="shared" si="42"/>
        <v>0.27992692770782934</v>
      </c>
      <c r="E655551" s="349">
        <v>0.23492692770782936</v>
      </c>
      <c r="F655551" s="349">
        <v>0.34</v>
      </c>
    </row>
    <row r="655552" spans="1:6" ht="16">
      <c r="A655552" s="347" t="s">
        <v>347</v>
      </c>
      <c r="B655552" s="348" t="s">
        <v>576</v>
      </c>
      <c r="C655552" s="349">
        <v>3.2779436317050999E-2</v>
      </c>
      <c r="D655552" s="349">
        <f t="shared" si="42"/>
        <v>8.9004412948338496E-2</v>
      </c>
      <c r="E655552" s="349">
        <v>4.4004412948338498E-2</v>
      </c>
      <c r="F655552" s="349">
        <v>0.2</v>
      </c>
    </row>
    <row r="655553" spans="1:6" ht="16">
      <c r="A655553" s="350" t="s">
        <v>868</v>
      </c>
      <c r="B655553" s="348" t="s">
        <v>687</v>
      </c>
      <c r="C655553" s="349">
        <v>0.10896601681957191</v>
      </c>
      <c r="D655553" s="349">
        <f t="shared" si="42"/>
        <v>0.19128029460560964</v>
      </c>
      <c r="E655553" s="349">
        <v>0.14628029460560965</v>
      </c>
      <c r="F655553" s="349">
        <v>0.2</v>
      </c>
    </row>
    <row r="655554" spans="1:6" ht="16">
      <c r="A655554" s="347" t="s">
        <v>348</v>
      </c>
      <c r="B655554" s="348" t="s">
        <v>689</v>
      </c>
      <c r="C655554" s="349">
        <v>0.10896601681957188</v>
      </c>
      <c r="D655554" s="349">
        <f t="shared" si="42"/>
        <v>0.19128029460560964</v>
      </c>
      <c r="E655554" s="349">
        <v>0.14628029460560965</v>
      </c>
      <c r="F655554" s="349">
        <v>0.35</v>
      </c>
    </row>
    <row r="655555" spans="1:6" ht="16">
      <c r="A655555" s="351" t="s">
        <v>612</v>
      </c>
      <c r="B655555" s="348" t="s">
        <v>687</v>
      </c>
      <c r="C655555" s="349">
        <v>9.8082219604926024E-2</v>
      </c>
      <c r="D655555" s="349">
        <f t="shared" si="42"/>
        <v>0.17666945436885656</v>
      </c>
      <c r="E655555" s="349">
        <v>0.13166945436885658</v>
      </c>
      <c r="F655555" s="349">
        <v>0.25</v>
      </c>
    </row>
    <row r="655560" spans="1:6">
      <c r="A655560" s="354" t="s">
        <v>352</v>
      </c>
      <c r="B655560" s="355" t="s">
        <v>376</v>
      </c>
      <c r="C655560" s="355" t="s">
        <v>869</v>
      </c>
      <c r="D655560" s="355" t="s">
        <v>694</v>
      </c>
      <c r="E655560" s="355" t="s">
        <v>870</v>
      </c>
    </row>
    <row r="655561" spans="1:6">
      <c r="A655561" s="356" t="s">
        <v>355</v>
      </c>
      <c r="B655561" s="357">
        <f>$B$1+E655561</f>
        <v>0.13663852306889546</v>
      </c>
      <c r="C655561" s="357">
        <v>6.8262679351091926E-2</v>
      </c>
      <c r="D655561" s="357">
        <v>0.27302836489005694</v>
      </c>
      <c r="E655561" s="357">
        <v>9.1638523068895444E-2</v>
      </c>
    </row>
    <row r="655562" spans="1:6">
      <c r="A655562" s="356" t="s">
        <v>428</v>
      </c>
      <c r="B655562" s="357">
        <f t="shared" ref="B655562:B655570" si="43">$B$1+E655562</f>
        <v>6.1805405008578562E-2</v>
      </c>
      <c r="C655562" s="357">
        <v>1.2518555898193178E-2</v>
      </c>
      <c r="D655562" s="357">
        <v>0.2576437502455447</v>
      </c>
      <c r="E655562" s="357">
        <v>1.6805405008578567E-2</v>
      </c>
    </row>
    <row r="655563" spans="1:6">
      <c r="A655563" s="356" t="s">
        <v>357</v>
      </c>
      <c r="B655563" s="357">
        <f t="shared" si="43"/>
        <v>4.5047923618641933E-2</v>
      </c>
      <c r="C655563" s="357">
        <v>3.5698901544265913E-5</v>
      </c>
      <c r="D655563" s="357">
        <v>0.29744361328762281</v>
      </c>
      <c r="E655563" s="357">
        <v>4.7923618641935289E-5</v>
      </c>
    </row>
    <row r="655564" spans="1:6">
      <c r="A655564" s="356" t="s">
        <v>359</v>
      </c>
      <c r="B655564" s="357">
        <f t="shared" si="43"/>
        <v>0.1865348819700155</v>
      </c>
      <c r="C655564" s="357">
        <v>0.1054310997313879</v>
      </c>
      <c r="D655564" s="357">
        <v>0.2724561140242252</v>
      </c>
      <c r="E655564" s="357">
        <v>0.14153488197001549</v>
      </c>
    </row>
    <row r="655565" spans="1:6">
      <c r="A655565" s="356" t="s">
        <v>356</v>
      </c>
      <c r="B655565" s="357">
        <f t="shared" si="43"/>
        <v>0.10261091058162494</v>
      </c>
      <c r="C655565" s="357">
        <v>4.2915086193622262E-2</v>
      </c>
      <c r="D655565" s="357">
        <v>0.31595749426030023</v>
      </c>
      <c r="E655565" s="357">
        <v>5.7610910581624951E-2</v>
      </c>
    </row>
    <row r="655566" spans="1:6">
      <c r="A655566" s="356" t="s">
        <v>354</v>
      </c>
      <c r="B655566" s="357">
        <f t="shared" si="43"/>
        <v>9.5579383477192262E-2</v>
      </c>
      <c r="C655566" s="357">
        <v>3.7670398345457844E-2</v>
      </c>
      <c r="D655566" s="357">
        <v>0.18485819102180306</v>
      </c>
      <c r="E655566" s="357">
        <v>5.0579383477192263E-2</v>
      </c>
    </row>
    <row r="655567" spans="1:6">
      <c r="A655567" s="356" t="s">
        <v>360</v>
      </c>
      <c r="B655567" s="357">
        <f t="shared" si="43"/>
        <v>6.6589990892489848E-2</v>
      </c>
      <c r="C655567" s="357">
        <v>1.6082653627874467E-2</v>
      </c>
      <c r="D655567" s="357">
        <v>0.18760152153615242</v>
      </c>
      <c r="E655567" s="357">
        <v>2.1589990892489853E-2</v>
      </c>
    </row>
    <row r="655568" spans="1:6">
      <c r="A655568" s="356" t="s">
        <v>362</v>
      </c>
      <c r="B655568" s="357">
        <f t="shared" si="43"/>
        <v>4.4999999999999998E-2</v>
      </c>
      <c r="C655568" s="357">
        <v>0</v>
      </c>
      <c r="D655568" s="357">
        <v>0.25116286561170831</v>
      </c>
      <c r="E655568" s="357">
        <v>0</v>
      </c>
    </row>
    <row r="655569" spans="1:5">
      <c r="A655569" s="356" t="s">
        <v>353</v>
      </c>
      <c r="B655569" s="357">
        <f t="shared" si="43"/>
        <v>5.7871606293643366E-2</v>
      </c>
      <c r="C655569" s="357">
        <v>9.5882201472833571E-3</v>
      </c>
      <c r="D655569" s="357">
        <v>0.24707349543413576</v>
      </c>
      <c r="E655569" s="357">
        <v>1.2871606293643371E-2</v>
      </c>
    </row>
    <row r="655570" spans="1:5">
      <c r="A655570" s="356" t="s">
        <v>491</v>
      </c>
      <c r="B655570" s="357">
        <f t="shared" si="43"/>
        <v>6.3100000000000003E-2</v>
      </c>
      <c r="C655570" s="357">
        <v>1.35E-2</v>
      </c>
      <c r="D655570" s="357">
        <v>0.25225942509764748</v>
      </c>
      <c r="E655570" s="357">
        <v>1.8100000000000002E-2</v>
      </c>
    </row>
    <row r="720897" spans="1:6">
      <c r="A720897" t="s">
        <v>613</v>
      </c>
      <c r="B720897" s="242">
        <v>4.5999999999999999E-2</v>
      </c>
      <c r="C720897" t="s">
        <v>847</v>
      </c>
    </row>
    <row r="720898" spans="1:6" ht="14">
      <c r="A720898" s="275" t="s">
        <v>686</v>
      </c>
      <c r="B720898" s="275"/>
      <c r="C720898" s="275"/>
      <c r="D720898" s="275"/>
      <c r="E720898" s="275"/>
      <c r="F720898" s="275"/>
    </row>
    <row r="720900" spans="1:6" ht="16">
      <c r="A720900" s="344" t="s">
        <v>349</v>
      </c>
      <c r="B720900" s="345" t="s">
        <v>566</v>
      </c>
      <c r="C720900" s="346" t="s">
        <v>350</v>
      </c>
      <c r="D720900" s="346" t="s">
        <v>567</v>
      </c>
      <c r="E720900" s="346" t="s">
        <v>351</v>
      </c>
      <c r="F720900" s="346" t="s">
        <v>519</v>
      </c>
    </row>
    <row r="720901" spans="1:6" ht="16">
      <c r="A720901" s="347" t="s">
        <v>481</v>
      </c>
      <c r="B720901" s="348" t="s">
        <v>568</v>
      </c>
      <c r="C720901" s="349">
        <v>5.3778762707661788E-3</v>
      </c>
      <c r="D720901" s="349">
        <f>$B$1+E720901</f>
        <v>5.2219473999336782E-2</v>
      </c>
      <c r="E720901" s="349">
        <v>7.219473999336784E-3</v>
      </c>
      <c r="F720901" s="349">
        <v>0.15</v>
      </c>
    </row>
    <row r="720902" spans="1:6" ht="16">
      <c r="A720902" s="347" t="s">
        <v>245</v>
      </c>
      <c r="B720902" s="348" t="s">
        <v>569</v>
      </c>
      <c r="C720902" s="349">
        <v>4.9041109802463012E-2</v>
      </c>
      <c r="D720902" s="349">
        <f t="shared" ref="D720902:D720965" si="44">$B$1+E720902</f>
        <v>0.11083472718442829</v>
      </c>
      <c r="E720902" s="349">
        <v>6.5834727184428288E-2</v>
      </c>
      <c r="F720902" s="349">
        <v>0.15</v>
      </c>
    </row>
    <row r="720903" spans="1:6" ht="16">
      <c r="A720903" s="350" t="s">
        <v>570</v>
      </c>
      <c r="B720903" s="348" t="s">
        <v>687</v>
      </c>
      <c r="C720903" s="349">
        <v>4.9041109802463012E-2</v>
      </c>
      <c r="D720903" s="349">
        <f t="shared" si="44"/>
        <v>0.11083472718442829</v>
      </c>
      <c r="E720903" s="349">
        <v>6.5834727184428288E-2</v>
      </c>
      <c r="F720903" s="349">
        <v>0.26</v>
      </c>
    </row>
    <row r="720904" spans="1:6" ht="16">
      <c r="A720904" s="347" t="s">
        <v>499</v>
      </c>
      <c r="B720904" s="348" t="s">
        <v>571</v>
      </c>
      <c r="C720904" s="349">
        <v>2.0743237044383835E-2</v>
      </c>
      <c r="D720904" s="349">
        <f t="shared" si="44"/>
        <v>7.2846542568870451E-2</v>
      </c>
      <c r="E720904" s="349">
        <v>2.7846542568870453E-2</v>
      </c>
      <c r="F720904" s="349">
        <v>0.1898</v>
      </c>
    </row>
    <row r="720905" spans="1:6" ht="16">
      <c r="A720905" s="347" t="s">
        <v>246</v>
      </c>
      <c r="B720905" s="348" t="s">
        <v>581</v>
      </c>
      <c r="C720905" s="349">
        <v>7.0808704231754685E-2</v>
      </c>
      <c r="D720905" s="349">
        <f t="shared" si="44"/>
        <v>0.14005640765793431</v>
      </c>
      <c r="E720905" s="349">
        <v>9.5056407657934314E-2</v>
      </c>
      <c r="F720905" s="349">
        <v>0.25</v>
      </c>
    </row>
    <row r="720906" spans="1:6" ht="16">
      <c r="A720906" s="347" t="s">
        <v>848</v>
      </c>
      <c r="B720906" s="154" t="s">
        <v>687</v>
      </c>
      <c r="C720906" s="277">
        <v>0.1054310997313879</v>
      </c>
      <c r="D720906" s="349">
        <f t="shared" si="44"/>
        <v>0.23253488197001548</v>
      </c>
      <c r="E720906" s="277">
        <v>0.1875348819700155</v>
      </c>
      <c r="F720906" s="277">
        <v>0.2724561140242252</v>
      </c>
    </row>
    <row r="720907" spans="1:6" ht="16">
      <c r="A720907" s="347" t="s">
        <v>849</v>
      </c>
      <c r="B720907" s="154" t="s">
        <v>687</v>
      </c>
      <c r="C720907" s="277">
        <v>0.1054310997313879</v>
      </c>
      <c r="D720907" s="349">
        <f t="shared" si="44"/>
        <v>0.23253488197001548</v>
      </c>
      <c r="E720907" s="277">
        <v>0.1875348819700155</v>
      </c>
      <c r="F720907" s="277">
        <v>0.2724561140242252</v>
      </c>
    </row>
    <row r="720908" spans="1:6" ht="16">
      <c r="A720908" s="347" t="s">
        <v>247</v>
      </c>
      <c r="B720908" s="348" t="s">
        <v>688</v>
      </c>
      <c r="C720908" s="349">
        <v>0.13073361124886354</v>
      </c>
      <c r="D720908" s="349">
        <f t="shared" si="44"/>
        <v>0.22050197507911562</v>
      </c>
      <c r="E720908" s="349">
        <v>0.17550197507911564</v>
      </c>
      <c r="F720908" s="349">
        <v>0.35</v>
      </c>
    </row>
    <row r="720909" spans="1:6" ht="16">
      <c r="A720909" s="347" t="s">
        <v>248</v>
      </c>
      <c r="B720909" s="348" t="s">
        <v>578</v>
      </c>
      <c r="C720909" s="349">
        <v>3.9181669972725021E-2</v>
      </c>
      <c r="D720909" s="349">
        <f t="shared" si="44"/>
        <v>9.7599024852310853E-2</v>
      </c>
      <c r="E720909" s="349">
        <v>5.2599024852310855E-2</v>
      </c>
      <c r="F720909" s="349">
        <v>0.18</v>
      </c>
    </row>
    <row r="720910" spans="1:6" ht="16">
      <c r="A720910" s="347" t="s">
        <v>249</v>
      </c>
      <c r="B720910" s="348" t="s">
        <v>571</v>
      </c>
      <c r="C720910" s="349">
        <v>2.0743237044383835E-2</v>
      </c>
      <c r="D720910" s="349">
        <f t="shared" si="44"/>
        <v>7.2846542568870451E-2</v>
      </c>
      <c r="E720910" s="349">
        <v>2.7846542568870453E-2</v>
      </c>
      <c r="F720910" s="349">
        <v>0.25</v>
      </c>
    </row>
    <row r="720911" spans="1:6" ht="16">
      <c r="A720911" s="347" t="s">
        <v>250</v>
      </c>
      <c r="B720911" s="348" t="s">
        <v>574</v>
      </c>
      <c r="C720911" s="349">
        <v>0</v>
      </c>
      <c r="D720911" s="349">
        <f t="shared" si="44"/>
        <v>4.4999999999999998E-2</v>
      </c>
      <c r="E720911" s="349">
        <v>0</v>
      </c>
      <c r="F720911" s="349">
        <v>0.3</v>
      </c>
    </row>
    <row r="720912" spans="1:6" ht="16">
      <c r="A720912" s="347" t="s">
        <v>251</v>
      </c>
      <c r="B720912" s="348" t="s">
        <v>575</v>
      </c>
      <c r="C720912" s="349">
        <v>4.3535188858583353E-3</v>
      </c>
      <c r="D720912" s="349">
        <f t="shared" si="44"/>
        <v>5.0844336094701202E-2</v>
      </c>
      <c r="E720912" s="349">
        <v>5.8443360947012038E-3</v>
      </c>
      <c r="F720912" s="349">
        <v>0.24</v>
      </c>
    </row>
    <row r="720913" spans="1:6" ht="16">
      <c r="A720913" s="347" t="s">
        <v>358</v>
      </c>
      <c r="B720913" s="348" t="s">
        <v>589</v>
      </c>
      <c r="C720913" s="349">
        <v>2.7273515373171343E-2</v>
      </c>
      <c r="D720913" s="349">
        <f t="shared" si="44"/>
        <v>8.161304671092226E-2</v>
      </c>
      <c r="E720913" s="349">
        <v>3.6613046710922262E-2</v>
      </c>
      <c r="F720913" s="349">
        <v>0.2</v>
      </c>
    </row>
    <row r="720914" spans="1:6" ht="16">
      <c r="A720914" s="347" t="s">
        <v>252</v>
      </c>
      <c r="B720914" s="348" t="s">
        <v>569</v>
      </c>
      <c r="C720914" s="349">
        <v>4.9041109802463012E-2</v>
      </c>
      <c r="D720914" s="349">
        <f t="shared" si="44"/>
        <v>0.11083472718442829</v>
      </c>
      <c r="E720914" s="349">
        <v>6.5834727184428288E-2</v>
      </c>
      <c r="F720914" s="349">
        <v>0</v>
      </c>
    </row>
    <row r="720915" spans="1:6" ht="16">
      <c r="A720915" s="347" t="s">
        <v>253</v>
      </c>
      <c r="B720915" s="348" t="s">
        <v>572</v>
      </c>
      <c r="C720915" s="349">
        <v>5.9924907017108855E-2</v>
      </c>
      <c r="D720915" s="349">
        <f t="shared" si="44"/>
        <v>0.12544556742118129</v>
      </c>
      <c r="E720915" s="349">
        <v>8.0445567421181294E-2</v>
      </c>
      <c r="F720915" s="349">
        <v>0</v>
      </c>
    </row>
    <row r="720916" spans="1:6" ht="16">
      <c r="A720916" s="347" t="s">
        <v>254</v>
      </c>
      <c r="B720916" s="348" t="s">
        <v>569</v>
      </c>
      <c r="C720916" s="349">
        <v>4.9041109802463012E-2</v>
      </c>
      <c r="D720916" s="349">
        <f t="shared" si="44"/>
        <v>0.11083472718442829</v>
      </c>
      <c r="E720916" s="349">
        <v>6.5834727184428288E-2</v>
      </c>
      <c r="F720916" s="349">
        <v>0.3</v>
      </c>
    </row>
    <row r="720917" spans="1:6" ht="16">
      <c r="A720917" s="347" t="s">
        <v>255</v>
      </c>
      <c r="B720917" s="348" t="s">
        <v>581</v>
      </c>
      <c r="C720917" s="349">
        <v>7.0808704231754685E-2</v>
      </c>
      <c r="D720917" s="349">
        <f t="shared" si="44"/>
        <v>0.14005640765793431</v>
      </c>
      <c r="E720917" s="349">
        <v>9.5056407657934314E-2</v>
      </c>
      <c r="F720917" s="349">
        <v>5.5E-2</v>
      </c>
    </row>
    <row r="720918" spans="1:6" ht="16">
      <c r="A720918" s="347" t="s">
        <v>256</v>
      </c>
      <c r="B720918" s="348" t="s">
        <v>615</v>
      </c>
      <c r="C720918" s="349">
        <v>0.17499999999999999</v>
      </c>
      <c r="D720918" s="349">
        <f t="shared" si="44"/>
        <v>0.27992692770782934</v>
      </c>
      <c r="E720918" s="349">
        <v>0.23492692770782936</v>
      </c>
      <c r="F720918" s="349">
        <v>0.18</v>
      </c>
    </row>
    <row r="720919" spans="1:6" ht="16">
      <c r="A720919" s="347" t="s">
        <v>257</v>
      </c>
      <c r="B720919" s="348" t="s">
        <v>580</v>
      </c>
      <c r="C720919" s="349">
        <v>6.5302783287875029E-3</v>
      </c>
      <c r="D720919" s="349">
        <f t="shared" si="44"/>
        <v>5.3766504142051808E-2</v>
      </c>
      <c r="E720919" s="349">
        <v>8.7665041420518092E-3</v>
      </c>
      <c r="F720919" s="349">
        <v>0.25</v>
      </c>
    </row>
    <row r="720920" spans="1:6" ht="16">
      <c r="A720920" s="347" t="s">
        <v>361</v>
      </c>
      <c r="B720920" s="348" t="s">
        <v>586</v>
      </c>
      <c r="C720920" s="349">
        <v>9.8082219604926024E-2</v>
      </c>
      <c r="D720920" s="349">
        <f t="shared" si="44"/>
        <v>0.17666945436885656</v>
      </c>
      <c r="E720920" s="349">
        <v>0.13166945436885658</v>
      </c>
      <c r="F720920" s="349">
        <v>0.2853</v>
      </c>
    </row>
    <row r="720921" spans="1:6" ht="16">
      <c r="A720921" s="347" t="s">
        <v>582</v>
      </c>
      <c r="B720921" s="348" t="s">
        <v>569</v>
      </c>
      <c r="C720921" s="349">
        <v>4.9041109802463012E-2</v>
      </c>
      <c r="D720921" s="349">
        <f t="shared" si="44"/>
        <v>0.11083472718442829</v>
      </c>
      <c r="E720921" s="349">
        <v>6.5834727184428288E-2</v>
      </c>
      <c r="F720921" s="349">
        <v>0.3</v>
      </c>
    </row>
    <row r="720922" spans="1:6" ht="16">
      <c r="A720922" s="347" t="s">
        <v>258</v>
      </c>
      <c r="B720922" s="348" t="s">
        <v>583</v>
      </c>
      <c r="C720922" s="349">
        <v>9.2192164641705932E-3</v>
      </c>
      <c r="D720922" s="349">
        <f t="shared" si="44"/>
        <v>5.73762411417202E-2</v>
      </c>
      <c r="E720922" s="349">
        <v>1.2376241141720201E-2</v>
      </c>
      <c r="F720922" s="349">
        <v>0</v>
      </c>
    </row>
    <row r="720923" spans="1:6" ht="16">
      <c r="A720923" s="347" t="s">
        <v>259</v>
      </c>
      <c r="B720923" s="348" t="s">
        <v>579</v>
      </c>
      <c r="C720923" s="349">
        <v>8.1692501446400528E-2</v>
      </c>
      <c r="D720923" s="349">
        <f t="shared" si="44"/>
        <v>0.15466724789468733</v>
      </c>
      <c r="E720923" s="349">
        <v>0.10966724789468733</v>
      </c>
      <c r="F720923" s="349">
        <v>0.25</v>
      </c>
    </row>
    <row r="720924" spans="1:6" ht="16">
      <c r="A720924" s="347" t="s">
        <v>260</v>
      </c>
      <c r="B720924" s="348" t="s">
        <v>581</v>
      </c>
      <c r="C720924" s="349">
        <v>7.0808704231754685E-2</v>
      </c>
      <c r="D720924" s="349">
        <f t="shared" si="44"/>
        <v>0.14005640765793431</v>
      </c>
      <c r="E720924" s="349">
        <v>9.5056407657934314E-2</v>
      </c>
      <c r="F720924" s="349">
        <v>0.1</v>
      </c>
    </row>
    <row r="720925" spans="1:6" ht="16">
      <c r="A720925" s="347" t="s">
        <v>261</v>
      </c>
      <c r="B720925" s="348" t="s">
        <v>587</v>
      </c>
      <c r="C720925" s="349">
        <v>1.3060556657575006E-2</v>
      </c>
      <c r="D720925" s="349">
        <f t="shared" si="44"/>
        <v>6.2533008284103617E-2</v>
      </c>
      <c r="E720925" s="349">
        <v>1.7533008284103618E-2</v>
      </c>
      <c r="F720925" s="349">
        <v>0.22</v>
      </c>
    </row>
    <row r="720926" spans="1:6" ht="16">
      <c r="A720926" s="347" t="s">
        <v>262</v>
      </c>
      <c r="B720926" s="348" t="s">
        <v>576</v>
      </c>
      <c r="C720926" s="349">
        <v>3.2779436317050999E-2</v>
      </c>
      <c r="D720926" s="349">
        <f t="shared" si="44"/>
        <v>8.9004412948338496E-2</v>
      </c>
      <c r="E720926" s="349">
        <v>4.4004412948338498E-2</v>
      </c>
      <c r="F720926" s="349">
        <v>0.34</v>
      </c>
    </row>
    <row r="720927" spans="1:6" ht="16">
      <c r="A720927" s="347" t="s">
        <v>850</v>
      </c>
      <c r="B720927" s="348" t="s">
        <v>576</v>
      </c>
      <c r="C720927" s="349">
        <v>3.2779436317050999E-2</v>
      </c>
      <c r="D720927" s="349">
        <f t="shared" si="44"/>
        <v>8.9004412948338496E-2</v>
      </c>
      <c r="E720927" s="349">
        <v>4.4004412948338498E-2</v>
      </c>
      <c r="F720927" s="349">
        <v>0.34</v>
      </c>
    </row>
    <row r="720928" spans="1:6" ht="16">
      <c r="A720928" s="351" t="s">
        <v>584</v>
      </c>
      <c r="B720928" s="348" t="s">
        <v>687</v>
      </c>
      <c r="C720928" s="349">
        <v>6.5302783287875029E-3</v>
      </c>
      <c r="D720928" s="349">
        <f t="shared" si="44"/>
        <v>5.3766504142051808E-2</v>
      </c>
      <c r="E720928" s="349">
        <v>8.7665041420518092E-3</v>
      </c>
      <c r="F720928" s="349">
        <v>0.185</v>
      </c>
    </row>
    <row r="720929" spans="1:6" ht="16">
      <c r="A720929" s="347" t="s">
        <v>263</v>
      </c>
      <c r="B720929" s="348" t="s">
        <v>573</v>
      </c>
      <c r="C720929" s="349">
        <v>1.7414075543433341E-2</v>
      </c>
      <c r="D720929" s="349">
        <f t="shared" si="44"/>
        <v>6.8377344378804827E-2</v>
      </c>
      <c r="E720929" s="349">
        <v>2.3377344378804829E-2</v>
      </c>
      <c r="F720929" s="349">
        <v>0.1</v>
      </c>
    </row>
    <row r="720930" spans="1:6" ht="16">
      <c r="A720930" s="347" t="s">
        <v>482</v>
      </c>
      <c r="B720930" s="348" t="s">
        <v>579</v>
      </c>
      <c r="C720930" s="349">
        <v>8.1692501446400528E-2</v>
      </c>
      <c r="D720930" s="349">
        <f t="shared" si="44"/>
        <v>0.15466724789468733</v>
      </c>
      <c r="E720930" s="349">
        <v>0.10966724789468733</v>
      </c>
      <c r="F720930" s="349">
        <v>0.28000000000000003</v>
      </c>
    </row>
    <row r="720931" spans="1:6" ht="16">
      <c r="A720931" s="347" t="s">
        <v>264</v>
      </c>
      <c r="B720931" s="348" t="s">
        <v>572</v>
      </c>
      <c r="C720931" s="349">
        <v>5.9924907017108855E-2</v>
      </c>
      <c r="D720931" s="349">
        <f t="shared" si="44"/>
        <v>0.12544556742118129</v>
      </c>
      <c r="E720931" s="349">
        <v>8.0445567421181294E-2</v>
      </c>
      <c r="F720931" s="349">
        <v>0.2</v>
      </c>
    </row>
    <row r="720932" spans="1:6" ht="16">
      <c r="A720932" s="347" t="s">
        <v>483</v>
      </c>
      <c r="B720932" s="348" t="s">
        <v>579</v>
      </c>
      <c r="C720932" s="349">
        <v>8.1692501446400528E-2</v>
      </c>
      <c r="D720932" s="349">
        <f t="shared" si="44"/>
        <v>0.15466724789468733</v>
      </c>
      <c r="E720932" s="349">
        <v>0.10966724789468733</v>
      </c>
      <c r="F720932" s="349">
        <v>0.33</v>
      </c>
    </row>
    <row r="720933" spans="1:6" ht="16">
      <c r="A720933" s="347" t="s">
        <v>265</v>
      </c>
      <c r="B720933" s="348" t="s">
        <v>574</v>
      </c>
      <c r="C720933" s="349">
        <v>0</v>
      </c>
      <c r="D720933" s="349">
        <f t="shared" si="44"/>
        <v>4.4999999999999998E-2</v>
      </c>
      <c r="E720933" s="349">
        <v>0</v>
      </c>
      <c r="F720933" s="349">
        <v>0.26500000000000001</v>
      </c>
    </row>
    <row r="720934" spans="1:6" ht="16">
      <c r="A720934" s="347" t="s">
        <v>484</v>
      </c>
      <c r="B720934" s="348" t="s">
        <v>581</v>
      </c>
      <c r="C720934" s="349">
        <v>7.0808704231754685E-2</v>
      </c>
      <c r="D720934" s="349">
        <f t="shared" si="44"/>
        <v>0.14005640765793431</v>
      </c>
      <c r="E720934" s="349">
        <v>9.5056407657934314E-2</v>
      </c>
      <c r="F720934" s="349">
        <v>0</v>
      </c>
    </row>
    <row r="720935" spans="1:6" ht="16">
      <c r="A720935" s="347" t="s">
        <v>266</v>
      </c>
      <c r="B720935" s="348" t="s">
        <v>580</v>
      </c>
      <c r="C720935" s="349">
        <v>6.5302783287875029E-3</v>
      </c>
      <c r="D720935" s="349">
        <f t="shared" si="44"/>
        <v>5.3766504142051808E-2</v>
      </c>
      <c r="E720935" s="349">
        <v>8.7665041420518092E-3</v>
      </c>
      <c r="F720935" s="349">
        <v>0</v>
      </c>
    </row>
    <row r="720936" spans="1:6" ht="16">
      <c r="A720936" s="347" t="s">
        <v>851</v>
      </c>
      <c r="B720936" s="154" t="s">
        <v>687</v>
      </c>
      <c r="C720936" s="277">
        <v>9.5882201472833571E-3</v>
      </c>
      <c r="D720936" s="349">
        <f t="shared" si="44"/>
        <v>0.10387160629364336</v>
      </c>
      <c r="E720936" s="277">
        <v>5.8871606293643367E-2</v>
      </c>
      <c r="F720936" s="277">
        <v>0.24707349543413576</v>
      </c>
    </row>
    <row r="720937" spans="1:6" ht="16">
      <c r="A720937" s="347" t="s">
        <v>267</v>
      </c>
      <c r="B720937" s="348" t="s">
        <v>583</v>
      </c>
      <c r="C720937" s="349">
        <v>9.2192164641705932E-3</v>
      </c>
      <c r="D720937" s="349">
        <f t="shared" si="44"/>
        <v>5.73762411417202E-2</v>
      </c>
      <c r="E720937" s="349">
        <v>1.2376241141720201E-2</v>
      </c>
      <c r="F720937" s="349">
        <v>0.27</v>
      </c>
    </row>
    <row r="720938" spans="1:6" ht="16">
      <c r="A720938" s="347" t="s">
        <v>268</v>
      </c>
      <c r="B720938" s="348" t="s">
        <v>585</v>
      </c>
      <c r="C720938" s="349">
        <v>7.6826803868088279E-3</v>
      </c>
      <c r="D720938" s="349">
        <f t="shared" si="44"/>
        <v>5.5313534284766833E-2</v>
      </c>
      <c r="E720938" s="349">
        <v>1.0313534284766834E-2</v>
      </c>
      <c r="F720938" s="349">
        <v>0.25</v>
      </c>
    </row>
    <row r="720939" spans="1:6" ht="16">
      <c r="A720939" s="347" t="s">
        <v>269</v>
      </c>
      <c r="B720939" s="348" t="s">
        <v>571</v>
      </c>
      <c r="C720939" s="349">
        <v>2.0743237044383835E-2</v>
      </c>
      <c r="D720939" s="349">
        <f t="shared" si="44"/>
        <v>7.2846542568870451E-2</v>
      </c>
      <c r="E720939" s="349">
        <v>2.7846542568870453E-2</v>
      </c>
      <c r="F720939" s="349">
        <v>0.35</v>
      </c>
    </row>
    <row r="720940" spans="1:6" ht="16">
      <c r="A720940" s="347" t="s">
        <v>500</v>
      </c>
      <c r="B720940" s="348" t="s">
        <v>581</v>
      </c>
      <c r="C720940" s="349">
        <v>7.0808704231754685E-2</v>
      </c>
      <c r="D720940" s="349">
        <f t="shared" si="44"/>
        <v>0.14005640765793431</v>
      </c>
      <c r="E720940" s="349">
        <v>9.5056407657934314E-2</v>
      </c>
      <c r="F720940" s="349">
        <v>0.3</v>
      </c>
    </row>
    <row r="720941" spans="1:6" ht="16">
      <c r="A720941" s="347" t="s">
        <v>501</v>
      </c>
      <c r="B720941" s="348" t="s">
        <v>586</v>
      </c>
      <c r="C720941" s="349">
        <v>9.8082219604926024E-2</v>
      </c>
      <c r="D720941" s="349">
        <f t="shared" si="44"/>
        <v>0.17666945436885656</v>
      </c>
      <c r="E720941" s="349">
        <v>0.13166945436885658</v>
      </c>
      <c r="F720941" s="349">
        <v>0.28000000000000003</v>
      </c>
    </row>
    <row r="720942" spans="1:6" ht="16">
      <c r="A720942" s="347" t="s">
        <v>485</v>
      </c>
      <c r="B720942" s="348" t="s">
        <v>569</v>
      </c>
      <c r="C720942" s="349">
        <v>4.9041109802463012E-2</v>
      </c>
      <c r="D720942" s="349">
        <f t="shared" si="44"/>
        <v>0.11083472718442829</v>
      </c>
      <c r="E720942" s="349">
        <v>6.5834727184428288E-2</v>
      </c>
      <c r="F720942" s="349">
        <v>0.2974</v>
      </c>
    </row>
    <row r="720943" spans="1:6" ht="16">
      <c r="A720943" s="347" t="s">
        <v>270</v>
      </c>
      <c r="B720943" s="348" t="s">
        <v>569</v>
      </c>
      <c r="C720943" s="349">
        <v>4.9041109802463012E-2</v>
      </c>
      <c r="D720943" s="349">
        <f t="shared" si="44"/>
        <v>0.11083472718442829</v>
      </c>
      <c r="E720943" s="349">
        <v>6.5834727184428288E-2</v>
      </c>
      <c r="F720943" s="349">
        <v>0.3</v>
      </c>
    </row>
    <row r="720944" spans="1:6" ht="16">
      <c r="A720944" s="347" t="s">
        <v>271</v>
      </c>
      <c r="B720944" s="348" t="s">
        <v>571</v>
      </c>
      <c r="C720944" s="349">
        <v>2.0743237044383835E-2</v>
      </c>
      <c r="D720944" s="349">
        <f t="shared" si="44"/>
        <v>7.2846542568870451E-2</v>
      </c>
      <c r="E720944" s="349">
        <v>2.7846542568870453E-2</v>
      </c>
      <c r="F720944" s="349">
        <v>0.18</v>
      </c>
    </row>
    <row r="720945" spans="1:6" ht="16">
      <c r="A720945" s="347" t="s">
        <v>363</v>
      </c>
      <c r="B720945" s="348" t="s">
        <v>688</v>
      </c>
      <c r="C720945" s="349">
        <v>0.13073361124886354</v>
      </c>
      <c r="D720945" s="349">
        <f t="shared" si="44"/>
        <v>0.22050197507911562</v>
      </c>
      <c r="E720945" s="349">
        <v>0.17550197507911564</v>
      </c>
      <c r="F720945" s="349">
        <v>0.2853</v>
      </c>
    </row>
    <row r="720946" spans="1:6" ht="16">
      <c r="A720946" s="352" t="s">
        <v>852</v>
      </c>
      <c r="B720946" s="348" t="s">
        <v>571</v>
      </c>
      <c r="C720946" s="349">
        <v>2.0743237044383835E-2</v>
      </c>
      <c r="D720946" s="349">
        <f t="shared" si="44"/>
        <v>7.2846542568870451E-2</v>
      </c>
      <c r="E720946" s="349">
        <v>2.7846542568870453E-2</v>
      </c>
      <c r="F720946" s="349">
        <v>0.22</v>
      </c>
    </row>
    <row r="720947" spans="1:6" ht="16">
      <c r="A720947" s="347" t="s">
        <v>272</v>
      </c>
      <c r="B720947" s="348" t="s">
        <v>571</v>
      </c>
      <c r="C720947" s="349">
        <v>2.0743237044383835E-2</v>
      </c>
      <c r="D720947" s="349">
        <f t="shared" si="44"/>
        <v>7.2846542568870451E-2</v>
      </c>
      <c r="E720947" s="349">
        <v>2.7846542568870453E-2</v>
      </c>
      <c r="F720947" s="349">
        <v>0.125</v>
      </c>
    </row>
    <row r="720948" spans="1:6" ht="16">
      <c r="A720948" s="347" t="s">
        <v>273</v>
      </c>
      <c r="B720948" s="348" t="s">
        <v>580</v>
      </c>
      <c r="C720948" s="349">
        <v>6.5302783287875029E-3</v>
      </c>
      <c r="D720948" s="349">
        <f t="shared" si="44"/>
        <v>5.3766504142051808E-2</v>
      </c>
      <c r="E720948" s="349">
        <v>8.7665041420518092E-3</v>
      </c>
      <c r="F720948" s="349">
        <v>0.19</v>
      </c>
    </row>
    <row r="720949" spans="1:6" ht="16">
      <c r="A720949" s="347" t="s">
        <v>274</v>
      </c>
      <c r="B720949" s="348" t="s">
        <v>574</v>
      </c>
      <c r="C720949" s="349">
        <v>0</v>
      </c>
      <c r="D720949" s="349">
        <f t="shared" si="44"/>
        <v>4.4999999999999998E-2</v>
      </c>
      <c r="E720949" s="349">
        <v>0</v>
      </c>
      <c r="F720949" s="349">
        <v>0.22</v>
      </c>
    </row>
    <row r="720950" spans="1:6" ht="16">
      <c r="A720950" s="347" t="s">
        <v>275</v>
      </c>
      <c r="B720950" s="348" t="s">
        <v>578</v>
      </c>
      <c r="C720950" s="349">
        <v>3.9181669972725021E-2</v>
      </c>
      <c r="D720950" s="349">
        <f t="shared" si="44"/>
        <v>9.7599024852310853E-2</v>
      </c>
      <c r="E720950" s="349">
        <v>5.2599024852310855E-2</v>
      </c>
      <c r="F720950" s="349">
        <v>0.27</v>
      </c>
    </row>
    <row r="720951" spans="1:6" ht="16">
      <c r="A720951" s="347" t="s">
        <v>276</v>
      </c>
      <c r="B720951" s="348" t="s">
        <v>689</v>
      </c>
      <c r="C720951" s="349">
        <v>0.10896601681957188</v>
      </c>
      <c r="D720951" s="349">
        <f t="shared" si="44"/>
        <v>0.19128029460560964</v>
      </c>
      <c r="E720951" s="349">
        <v>0.14628029460560965</v>
      </c>
      <c r="F720951" s="349">
        <v>0.25</v>
      </c>
    </row>
    <row r="720952" spans="1:6" ht="16">
      <c r="A720952" s="347" t="s">
        <v>277</v>
      </c>
      <c r="B720952" s="348" t="s">
        <v>579</v>
      </c>
      <c r="C720952" s="349">
        <v>8.1692501446400528E-2</v>
      </c>
      <c r="D720952" s="349">
        <f t="shared" si="44"/>
        <v>0.15466724789468733</v>
      </c>
      <c r="E720952" s="349">
        <v>0.10966724789468733</v>
      </c>
      <c r="F720952" s="349">
        <v>0.22500000000000001</v>
      </c>
    </row>
    <row r="720953" spans="1:6" ht="16">
      <c r="A720953" s="347" t="s">
        <v>364</v>
      </c>
      <c r="B720953" s="348" t="s">
        <v>689</v>
      </c>
      <c r="C720953" s="349">
        <v>0.10896601681957188</v>
      </c>
      <c r="D720953" s="349">
        <f t="shared" si="44"/>
        <v>0.19128029460560964</v>
      </c>
      <c r="E720953" s="349">
        <v>0.14628029460560965</v>
      </c>
      <c r="F720953" s="349">
        <v>0.3</v>
      </c>
    </row>
    <row r="720954" spans="1:6" ht="16">
      <c r="A720954" s="347" t="s">
        <v>278</v>
      </c>
      <c r="B720954" s="348" t="s">
        <v>585</v>
      </c>
      <c r="C720954" s="349">
        <v>7.6826803868088279E-3</v>
      </c>
      <c r="D720954" s="349">
        <f t="shared" si="44"/>
        <v>5.5313534284766833E-2</v>
      </c>
      <c r="E720954" s="349">
        <v>1.0313534284766834E-2</v>
      </c>
      <c r="F720954" s="349">
        <v>0.2</v>
      </c>
    </row>
    <row r="720955" spans="1:6" ht="16">
      <c r="A720955" s="347" t="s">
        <v>502</v>
      </c>
      <c r="B720955" s="348" t="s">
        <v>586</v>
      </c>
      <c r="C720955" s="349">
        <v>9.8082219604926024E-2</v>
      </c>
      <c r="D720955" s="349">
        <f t="shared" si="44"/>
        <v>0.17666945436885656</v>
      </c>
      <c r="E720955" s="349">
        <v>0.13166945436885658</v>
      </c>
      <c r="F720955" s="349">
        <v>0.3</v>
      </c>
    </row>
    <row r="720956" spans="1:6" ht="16">
      <c r="A720956" s="347" t="s">
        <v>853</v>
      </c>
      <c r="B720956" s="154" t="s">
        <v>687</v>
      </c>
      <c r="C720956" s="277">
        <v>4.2915086193622262E-2</v>
      </c>
      <c r="D720956" s="349">
        <f t="shared" si="44"/>
        <v>0.14861091058162493</v>
      </c>
      <c r="E720956" s="277">
        <v>0.10361091058162493</v>
      </c>
      <c r="F720956" s="277">
        <v>0.31595749426030023</v>
      </c>
    </row>
    <row r="720957" spans="1:6" ht="16">
      <c r="A720957" s="347" t="s">
        <v>279</v>
      </c>
      <c r="B720957" s="348" t="s">
        <v>569</v>
      </c>
      <c r="C720957" s="349">
        <v>4.9041109802463012E-2</v>
      </c>
      <c r="D720957" s="349">
        <f t="shared" si="44"/>
        <v>0.11083472718442829</v>
      </c>
      <c r="E720957" s="349">
        <v>6.5834727184428288E-2</v>
      </c>
      <c r="F720957" s="349">
        <v>0.2</v>
      </c>
    </row>
    <row r="720958" spans="1:6" ht="16">
      <c r="A720958" s="347" t="s">
        <v>280</v>
      </c>
      <c r="B720958" s="348" t="s">
        <v>575</v>
      </c>
      <c r="C720958" s="349">
        <v>4.3535188858583353E-3</v>
      </c>
      <c r="D720958" s="349">
        <f t="shared" si="44"/>
        <v>5.0844336094701202E-2</v>
      </c>
      <c r="E720958" s="349">
        <v>5.8443360947012038E-3</v>
      </c>
      <c r="F720958" s="349">
        <v>0.2</v>
      </c>
    </row>
    <row r="720959" spans="1:6" ht="16">
      <c r="A720959" s="347" t="s">
        <v>281</v>
      </c>
      <c r="B720959" s="348" t="s">
        <v>568</v>
      </c>
      <c r="C720959" s="349">
        <v>5.3778762707661788E-3</v>
      </c>
      <c r="D720959" s="349">
        <f t="shared" si="44"/>
        <v>5.2219473999336782E-2</v>
      </c>
      <c r="E720959" s="349">
        <v>7.219473999336784E-3</v>
      </c>
      <c r="F720959" s="349">
        <v>0.25</v>
      </c>
    </row>
    <row r="720960" spans="1:6" ht="16">
      <c r="A720960" s="347" t="s">
        <v>854</v>
      </c>
      <c r="B720960" s="154" t="s">
        <v>687</v>
      </c>
      <c r="C720960" s="277">
        <v>4.2915086193622262E-2</v>
      </c>
      <c r="D720960" s="349">
        <f t="shared" si="44"/>
        <v>0.14861091058162493</v>
      </c>
      <c r="E720960" s="277">
        <v>0.10361091058162493</v>
      </c>
      <c r="F720960" s="277">
        <v>0.31595749426030023</v>
      </c>
    </row>
    <row r="720961" spans="1:6" ht="16">
      <c r="A720961" s="347" t="s">
        <v>486</v>
      </c>
      <c r="B720961" s="348" t="s">
        <v>579</v>
      </c>
      <c r="C720961" s="349">
        <v>8.1692501446400528E-2</v>
      </c>
      <c r="D720961" s="349">
        <f t="shared" si="44"/>
        <v>0.15466724789468733</v>
      </c>
      <c r="E720961" s="349">
        <v>0.10966724789468733</v>
      </c>
      <c r="F720961" s="349">
        <v>0.3</v>
      </c>
    </row>
    <row r="720962" spans="1:6" ht="16">
      <c r="A720962" s="350" t="s">
        <v>588</v>
      </c>
      <c r="B720962" s="348" t="s">
        <v>687</v>
      </c>
      <c r="C720962" s="349">
        <v>4.9041109802463012E-2</v>
      </c>
      <c r="D720962" s="349">
        <f t="shared" si="44"/>
        <v>0.11083472718442829</v>
      </c>
      <c r="E720962" s="349">
        <v>6.5834727184428288E-2</v>
      </c>
      <c r="F720962" s="349">
        <v>0.31</v>
      </c>
    </row>
    <row r="720963" spans="1:6" ht="16">
      <c r="A720963" s="347" t="s">
        <v>365</v>
      </c>
      <c r="B720963" s="348" t="s">
        <v>576</v>
      </c>
      <c r="C720963" s="349">
        <v>3.2779436317050999E-2</v>
      </c>
      <c r="D720963" s="349">
        <f t="shared" si="44"/>
        <v>8.9004412948338496E-2</v>
      </c>
      <c r="E720963" s="349">
        <v>4.4004412948338498E-2</v>
      </c>
      <c r="F720963" s="349">
        <v>0.15</v>
      </c>
    </row>
    <row r="720964" spans="1:6" ht="16">
      <c r="A720964" s="347" t="s">
        <v>282</v>
      </c>
      <c r="B720964" s="348" t="s">
        <v>574</v>
      </c>
      <c r="C720964" s="349">
        <v>0</v>
      </c>
      <c r="D720964" s="349">
        <f t="shared" si="44"/>
        <v>4.4999999999999998E-2</v>
      </c>
      <c r="E720964" s="349">
        <v>0</v>
      </c>
      <c r="F720964" s="349">
        <v>0.3</v>
      </c>
    </row>
    <row r="720965" spans="1:6" ht="16">
      <c r="A720965" s="347" t="s">
        <v>487</v>
      </c>
      <c r="B720965" s="348" t="s">
        <v>689</v>
      </c>
      <c r="C720965" s="349">
        <v>0.10896601681957188</v>
      </c>
      <c r="D720965" s="349">
        <f t="shared" si="44"/>
        <v>0.19128029460560964</v>
      </c>
      <c r="E720965" s="349">
        <v>0.14628029460560965</v>
      </c>
      <c r="F720965" s="349">
        <v>0.25</v>
      </c>
    </row>
    <row r="720966" spans="1:6" ht="16">
      <c r="A720966" s="347" t="s">
        <v>855</v>
      </c>
      <c r="B720966" s="154" t="s">
        <v>687</v>
      </c>
      <c r="C720966" s="277">
        <v>9.5882201472833571E-3</v>
      </c>
      <c r="D720966" s="349">
        <f t="shared" ref="D720966:D721029" si="45">$B$1+E720966</f>
        <v>0.10387160629364336</v>
      </c>
      <c r="E720966" s="277">
        <v>5.8871606293643367E-2</v>
      </c>
      <c r="F720966" s="277">
        <v>0.24707349543413576</v>
      </c>
    </row>
    <row r="720967" spans="1:6" ht="16">
      <c r="A720967" s="347" t="s">
        <v>283</v>
      </c>
      <c r="B720967" s="348" t="s">
        <v>589</v>
      </c>
      <c r="C720967" s="349">
        <v>2.7273515373171343E-2</v>
      </c>
      <c r="D720967" s="349">
        <f t="shared" si="45"/>
        <v>8.161304671092226E-2</v>
      </c>
      <c r="E720967" s="349">
        <v>3.6613046710922262E-2</v>
      </c>
      <c r="F720967" s="349">
        <v>0.22</v>
      </c>
    </row>
    <row r="720968" spans="1:6" ht="16">
      <c r="A720968" s="347" t="s">
        <v>856</v>
      </c>
      <c r="B720968" s="154" t="s">
        <v>687</v>
      </c>
      <c r="C720968" s="277">
        <f>J720968</f>
        <v>0</v>
      </c>
      <c r="D720968" s="349">
        <f t="shared" si="45"/>
        <v>4.4999999999999998E-2</v>
      </c>
      <c r="E720968" s="277">
        <f>H720968</f>
        <v>0</v>
      </c>
      <c r="F720968" s="277">
        <f>K720968</f>
        <v>0</v>
      </c>
    </row>
    <row r="720969" spans="1:6" ht="16">
      <c r="A720969" s="347" t="s">
        <v>284</v>
      </c>
      <c r="B720969" s="348" t="s">
        <v>589</v>
      </c>
      <c r="C720969" s="349">
        <v>2.7273515373171343E-2</v>
      </c>
      <c r="D720969" s="349">
        <f t="shared" si="45"/>
        <v>8.161304671092226E-2</v>
      </c>
      <c r="E720969" s="349">
        <v>3.6613046710922262E-2</v>
      </c>
      <c r="F720969" s="349">
        <v>0.25</v>
      </c>
    </row>
    <row r="720970" spans="1:6" ht="16">
      <c r="A720970" s="347" t="s">
        <v>690</v>
      </c>
      <c r="B720970" s="348" t="s">
        <v>585</v>
      </c>
      <c r="C720970" s="349">
        <v>7.6826803868088279E-3</v>
      </c>
      <c r="D720970" s="349">
        <f t="shared" si="45"/>
        <v>5.5313534284766833E-2</v>
      </c>
      <c r="E720970" s="349">
        <v>1.0313534284766834E-2</v>
      </c>
      <c r="F720970" s="349">
        <v>0</v>
      </c>
    </row>
    <row r="720971" spans="1:6" ht="16">
      <c r="A720971" s="351" t="s">
        <v>590</v>
      </c>
      <c r="B720971" s="348" t="s">
        <v>687</v>
      </c>
      <c r="C720971" s="349">
        <v>9.8082219604926024E-2</v>
      </c>
      <c r="D720971" s="349">
        <f t="shared" si="45"/>
        <v>0.17666945436885656</v>
      </c>
      <c r="E720971" s="349">
        <v>0.13166945436885658</v>
      </c>
      <c r="F720971" s="349">
        <v>0.29149999999999998</v>
      </c>
    </row>
    <row r="720972" spans="1:6" ht="16">
      <c r="A720972" s="350" t="s">
        <v>591</v>
      </c>
      <c r="B720972" s="348" t="s">
        <v>687</v>
      </c>
      <c r="C720972" s="349">
        <v>5.9924907017108842E-2</v>
      </c>
      <c r="D720972" s="349">
        <f t="shared" si="45"/>
        <v>0.12544556742118129</v>
      </c>
      <c r="E720972" s="349">
        <v>8.0445567421181294E-2</v>
      </c>
      <c r="F720972" s="349">
        <v>0.29149999999999998</v>
      </c>
    </row>
    <row r="720973" spans="1:6" ht="16">
      <c r="A720973" s="351" t="s">
        <v>592</v>
      </c>
      <c r="B720973" s="348" t="s">
        <v>687</v>
      </c>
      <c r="C720973" s="349">
        <v>1.7414075543433345E-2</v>
      </c>
      <c r="D720973" s="349">
        <f t="shared" si="45"/>
        <v>6.8377344378804827E-2</v>
      </c>
      <c r="E720973" s="349">
        <v>2.3377344378804829E-2</v>
      </c>
      <c r="F720973" s="349">
        <v>0.18640000000000001</v>
      </c>
    </row>
    <row r="720974" spans="1:6" ht="16">
      <c r="A720974" s="350" t="s">
        <v>593</v>
      </c>
      <c r="B720974" s="348" t="s">
        <v>687</v>
      </c>
      <c r="C720974" s="349">
        <v>0.10896601681957191</v>
      </c>
      <c r="D720974" s="349">
        <f t="shared" si="45"/>
        <v>0.19128029460560964</v>
      </c>
      <c r="E720974" s="349">
        <v>0.14628029460560965</v>
      </c>
      <c r="F720974" s="349">
        <v>0.18640000000000001</v>
      </c>
    </row>
    <row r="720975" spans="1:6" ht="16">
      <c r="A720975" s="347" t="s">
        <v>285</v>
      </c>
      <c r="B720975" s="348" t="s">
        <v>569</v>
      </c>
      <c r="C720975" s="349">
        <v>4.9041109802463012E-2</v>
      </c>
      <c r="D720975" s="349">
        <f t="shared" si="45"/>
        <v>0.11083472718442829</v>
      </c>
      <c r="E720975" s="349">
        <v>6.5834727184428288E-2</v>
      </c>
      <c r="F720975" s="349">
        <v>0.25</v>
      </c>
    </row>
    <row r="720976" spans="1:6" ht="16">
      <c r="A720976" s="347" t="s">
        <v>286</v>
      </c>
      <c r="B720976" s="348" t="s">
        <v>580</v>
      </c>
      <c r="C720976" s="349">
        <v>6.5302783287875029E-3</v>
      </c>
      <c r="D720976" s="349">
        <f t="shared" si="45"/>
        <v>5.3766504142051808E-2</v>
      </c>
      <c r="E720976" s="349">
        <v>8.7665041420518092E-3</v>
      </c>
      <c r="F720976" s="349">
        <v>0.16500000000000001</v>
      </c>
    </row>
    <row r="720977" spans="1:6" ht="16">
      <c r="A720977" s="347" t="s">
        <v>287</v>
      </c>
      <c r="B720977" s="348" t="s">
        <v>571</v>
      </c>
      <c r="C720977" s="349">
        <v>2.0743237044383835E-2</v>
      </c>
      <c r="D720977" s="349">
        <f t="shared" si="45"/>
        <v>7.2846542568870451E-2</v>
      </c>
      <c r="E720977" s="349">
        <v>2.7846542568870453E-2</v>
      </c>
      <c r="F720977" s="349">
        <v>0.09</v>
      </c>
    </row>
    <row r="720978" spans="1:6" ht="16">
      <c r="A720978" s="347" t="s">
        <v>288</v>
      </c>
      <c r="B720978" s="348" t="s">
        <v>583</v>
      </c>
      <c r="C720978" s="349">
        <v>9.2192164641705932E-3</v>
      </c>
      <c r="D720978" s="349">
        <f t="shared" si="45"/>
        <v>5.73762411417202E-2</v>
      </c>
      <c r="E720978" s="349">
        <v>1.2376241141720201E-2</v>
      </c>
      <c r="F720978" s="349">
        <v>0.2</v>
      </c>
    </row>
    <row r="720979" spans="1:6" ht="16">
      <c r="A720979" s="347" t="s">
        <v>289</v>
      </c>
      <c r="B720979" s="348" t="s">
        <v>577</v>
      </c>
      <c r="C720979" s="349">
        <v>2.3944353872220846E-2</v>
      </c>
      <c r="D720979" s="349">
        <f t="shared" si="45"/>
        <v>7.7143848520856623E-2</v>
      </c>
      <c r="E720979" s="349">
        <v>3.2143848520856624E-2</v>
      </c>
      <c r="F720979" s="349">
        <v>0.3</v>
      </c>
    </row>
    <row r="720980" spans="1:6" ht="16">
      <c r="A720980" s="347" t="s">
        <v>290</v>
      </c>
      <c r="B720980" s="348" t="s">
        <v>571</v>
      </c>
      <c r="C720980" s="349">
        <v>2.0743237044383835E-2</v>
      </c>
      <c r="D720980" s="349">
        <f t="shared" si="45"/>
        <v>7.2846542568870451E-2</v>
      </c>
      <c r="E720980" s="349">
        <v>2.7846542568870453E-2</v>
      </c>
      <c r="F720980" s="349">
        <v>0.22</v>
      </c>
    </row>
    <row r="720981" spans="1:6" ht="16">
      <c r="A720981" s="351" t="s">
        <v>594</v>
      </c>
      <c r="B720981" s="348" t="s">
        <v>687</v>
      </c>
      <c r="C720981" s="349">
        <v>7.0808704231754685E-2</v>
      </c>
      <c r="D720981" s="349">
        <f t="shared" si="45"/>
        <v>0.14005640765793431</v>
      </c>
      <c r="E720981" s="349">
        <v>9.5056407657934314E-2</v>
      </c>
      <c r="F720981" s="349">
        <v>0.20230000000000001</v>
      </c>
    </row>
    <row r="720982" spans="1:6" ht="16">
      <c r="A720982" s="347" t="s">
        <v>559</v>
      </c>
      <c r="B720982" s="348" t="s">
        <v>579</v>
      </c>
      <c r="C720982" s="349">
        <v>8.1692501446400528E-2</v>
      </c>
      <c r="D720982" s="349">
        <f t="shared" si="45"/>
        <v>0.15466724789468733</v>
      </c>
      <c r="E720982" s="349">
        <v>0.10966724789468733</v>
      </c>
      <c r="F720982" s="349">
        <v>0.15</v>
      </c>
    </row>
    <row r="720983" spans="1:6" ht="16">
      <c r="A720983" s="347" t="s">
        <v>291</v>
      </c>
      <c r="B720983" s="348" t="s">
        <v>580</v>
      </c>
      <c r="C720983" s="349">
        <v>6.5302783287875029E-3</v>
      </c>
      <c r="D720983" s="349">
        <f t="shared" si="45"/>
        <v>5.3766504142051808E-2</v>
      </c>
      <c r="E720983" s="349">
        <v>8.7665041420518092E-3</v>
      </c>
      <c r="F720983" s="349">
        <v>0.125</v>
      </c>
    </row>
    <row r="720984" spans="1:6" ht="16">
      <c r="A720984" s="347" t="s">
        <v>292</v>
      </c>
      <c r="B720984" s="348" t="s">
        <v>580</v>
      </c>
      <c r="C720984" s="349">
        <v>6.5302783287875029E-3</v>
      </c>
      <c r="D720984" s="349">
        <f t="shared" si="45"/>
        <v>5.3766504142051808E-2</v>
      </c>
      <c r="E720984" s="349">
        <v>8.7665041420518092E-3</v>
      </c>
      <c r="F720984" s="349">
        <v>0</v>
      </c>
    </row>
    <row r="720985" spans="1:6" ht="16">
      <c r="A720985" s="347" t="s">
        <v>293</v>
      </c>
      <c r="B720985" s="348" t="s">
        <v>585</v>
      </c>
      <c r="C720985" s="349">
        <v>7.6826803868088279E-3</v>
      </c>
      <c r="D720985" s="349">
        <f t="shared" si="45"/>
        <v>5.5313534284766833E-2</v>
      </c>
      <c r="E720985" s="349">
        <v>1.0313534284766834E-2</v>
      </c>
      <c r="F720985" s="349">
        <v>0.23</v>
      </c>
    </row>
    <row r="720986" spans="1:6" ht="16">
      <c r="A720986" s="347" t="s">
        <v>294</v>
      </c>
      <c r="B720986" s="348" t="s">
        <v>577</v>
      </c>
      <c r="C720986" s="349">
        <v>2.3944353872220846E-2</v>
      </c>
      <c r="D720986" s="349">
        <f t="shared" si="45"/>
        <v>7.7143848520856623E-2</v>
      </c>
      <c r="E720986" s="349">
        <v>3.2143848520856624E-2</v>
      </c>
      <c r="F720986" s="349">
        <v>0.24</v>
      </c>
    </row>
    <row r="720987" spans="1:6" ht="16">
      <c r="A720987" s="347" t="s">
        <v>857</v>
      </c>
      <c r="B720987" s="348" t="s">
        <v>578</v>
      </c>
      <c r="C720987" s="349">
        <v>3.9181669972725021E-2</v>
      </c>
      <c r="D720987" s="349">
        <f t="shared" si="45"/>
        <v>9.7599024852310853E-2</v>
      </c>
      <c r="E720987" s="349">
        <v>5.2599024852310855E-2</v>
      </c>
      <c r="F720987" s="349">
        <v>0.25</v>
      </c>
    </row>
    <row r="720988" spans="1:6" ht="16">
      <c r="A720988" s="347" t="s">
        <v>295</v>
      </c>
      <c r="B720988" s="348" t="s">
        <v>569</v>
      </c>
      <c r="C720988" s="349">
        <v>4.9041109802463012E-2</v>
      </c>
      <c r="D720988" s="349">
        <f t="shared" si="45"/>
        <v>0.11083472718442829</v>
      </c>
      <c r="E720988" s="349">
        <v>6.5834727184428288E-2</v>
      </c>
      <c r="F720988" s="349">
        <v>0.25</v>
      </c>
    </row>
    <row r="720989" spans="1:6" ht="16">
      <c r="A720989" s="347" t="s">
        <v>296</v>
      </c>
      <c r="B720989" s="348" t="s">
        <v>585</v>
      </c>
      <c r="C720989" s="349">
        <v>7.6826803868088279E-3</v>
      </c>
      <c r="D720989" s="349">
        <f t="shared" si="45"/>
        <v>5.5313534284766833E-2</v>
      </c>
      <c r="E720989" s="349">
        <v>1.0313534284766834E-2</v>
      </c>
      <c r="F720989" s="349">
        <v>0.30620000000000003</v>
      </c>
    </row>
    <row r="720990" spans="1:6" ht="16">
      <c r="A720990" s="347" t="s">
        <v>691</v>
      </c>
      <c r="B720990" s="348" t="s">
        <v>580</v>
      </c>
      <c r="C720990" s="349">
        <v>6.5302783287875029E-3</v>
      </c>
      <c r="D720990" s="349">
        <f t="shared" si="45"/>
        <v>5.3766504142051808E-2</v>
      </c>
      <c r="E720990" s="349">
        <v>8.7665041420518092E-3</v>
      </c>
      <c r="F720990" s="349">
        <v>0</v>
      </c>
    </row>
    <row r="720991" spans="1:6" ht="16">
      <c r="A720991" s="347" t="s">
        <v>297</v>
      </c>
      <c r="B720991" s="348" t="s">
        <v>569</v>
      </c>
      <c r="C720991" s="349">
        <v>4.9041109802463012E-2</v>
      </c>
      <c r="D720991" s="349">
        <f t="shared" si="45"/>
        <v>0.11083472718442829</v>
      </c>
      <c r="E720991" s="349">
        <v>6.5834727184428288E-2</v>
      </c>
      <c r="F720991" s="349">
        <v>0.2</v>
      </c>
    </row>
    <row r="720992" spans="1:6" ht="16">
      <c r="A720992" s="347" t="s">
        <v>298</v>
      </c>
      <c r="B720992" s="348" t="s">
        <v>571</v>
      </c>
      <c r="C720992" s="349">
        <v>2.0743237044383835E-2</v>
      </c>
      <c r="D720992" s="349">
        <f t="shared" si="45"/>
        <v>7.2846542568870451E-2</v>
      </c>
      <c r="E720992" s="349">
        <v>2.7846542568870453E-2</v>
      </c>
      <c r="F720992" s="349">
        <v>0.2</v>
      </c>
    </row>
    <row r="720993" spans="1:6" ht="16">
      <c r="A720993" s="347" t="s">
        <v>429</v>
      </c>
      <c r="B720993" s="348" t="s">
        <v>581</v>
      </c>
      <c r="C720993" s="349">
        <v>7.0808704231754685E-2</v>
      </c>
      <c r="D720993" s="349">
        <f t="shared" si="45"/>
        <v>0.14005640765793431</v>
      </c>
      <c r="E720993" s="349">
        <v>9.5056407657934314E-2</v>
      </c>
      <c r="F720993" s="349">
        <v>0.3</v>
      </c>
    </row>
    <row r="720994" spans="1:6" ht="16">
      <c r="A720994" s="350" t="s">
        <v>595</v>
      </c>
      <c r="B720994" s="348" t="s">
        <v>687</v>
      </c>
      <c r="C720994" s="349">
        <v>0.17499999999999999</v>
      </c>
      <c r="D720994" s="349">
        <f t="shared" si="45"/>
        <v>0.27992692770782934</v>
      </c>
      <c r="E720994" s="349">
        <v>0.23492692770782936</v>
      </c>
      <c r="F720994" s="349">
        <v>0.23100000000000001</v>
      </c>
    </row>
    <row r="720995" spans="1:6" ht="16">
      <c r="A720995" s="347" t="s">
        <v>299</v>
      </c>
      <c r="B720995" s="348" t="s">
        <v>585</v>
      </c>
      <c r="C720995" s="349">
        <v>7.6826803868088279E-3</v>
      </c>
      <c r="D720995" s="349">
        <f t="shared" si="45"/>
        <v>5.5313534284766833E-2</v>
      </c>
      <c r="E720995" s="349">
        <v>1.0313534284766834E-2</v>
      </c>
      <c r="F720995" s="349">
        <v>0.15</v>
      </c>
    </row>
    <row r="720996" spans="1:6" ht="16">
      <c r="A720996" s="347" t="s">
        <v>488</v>
      </c>
      <c r="B720996" s="348" t="s">
        <v>581</v>
      </c>
      <c r="C720996" s="349">
        <v>7.0808704231754685E-2</v>
      </c>
      <c r="D720996" s="349">
        <f t="shared" si="45"/>
        <v>0.14005640765793431</v>
      </c>
      <c r="E720996" s="349">
        <v>9.5056407657934314E-2</v>
      </c>
      <c r="F720996" s="349">
        <v>0.1</v>
      </c>
    </row>
    <row r="720997" spans="1:6" ht="16">
      <c r="A720997" s="347" t="s">
        <v>622</v>
      </c>
      <c r="B720997" s="348" t="s">
        <v>689</v>
      </c>
      <c r="C720997" s="349">
        <v>0.10896601681957188</v>
      </c>
      <c r="D720997" s="349">
        <f t="shared" si="45"/>
        <v>0.19128029460560964</v>
      </c>
      <c r="E720997" s="349">
        <v>0.14628029460560965</v>
      </c>
      <c r="F720997" s="349">
        <v>0.26860000000000001</v>
      </c>
    </row>
    <row r="720998" spans="1:6" ht="16">
      <c r="A720998" s="347" t="s">
        <v>300</v>
      </c>
      <c r="B720998" s="348" t="s">
        <v>587</v>
      </c>
      <c r="C720998" s="349">
        <v>1.3060556657575006E-2</v>
      </c>
      <c r="D720998" s="349">
        <f t="shared" si="45"/>
        <v>6.2533008284103617E-2</v>
      </c>
      <c r="E720998" s="349">
        <v>1.7533008284103618E-2</v>
      </c>
      <c r="F720998" s="349">
        <v>0.2</v>
      </c>
    </row>
    <row r="720999" spans="1:6" ht="16">
      <c r="A720999" s="347" t="s">
        <v>366</v>
      </c>
      <c r="B720999" s="348" t="s">
        <v>615</v>
      </c>
      <c r="C720999" s="349">
        <v>0.17499999999999999</v>
      </c>
      <c r="D720999" s="349">
        <f t="shared" si="45"/>
        <v>0.27992692770782934</v>
      </c>
      <c r="E720999" s="349">
        <v>0.23492692770782936</v>
      </c>
      <c r="F720999" s="349">
        <v>0.17</v>
      </c>
    </row>
    <row r="721000" spans="1:6" ht="16">
      <c r="A721000" s="351" t="s">
        <v>596</v>
      </c>
      <c r="B721000" s="348" t="s">
        <v>687</v>
      </c>
      <c r="C721000" s="349">
        <v>0.13073361124886354</v>
      </c>
      <c r="D721000" s="349">
        <f t="shared" si="45"/>
        <v>0.22050197507911562</v>
      </c>
      <c r="E721000" s="349">
        <v>0.17550197507911564</v>
      </c>
      <c r="F721000" s="349">
        <v>0.29149999999999998</v>
      </c>
    </row>
    <row r="721001" spans="1:6" ht="16">
      <c r="A721001" s="350" t="s">
        <v>597</v>
      </c>
      <c r="B721001" s="348" t="s">
        <v>687</v>
      </c>
      <c r="C721001" s="349">
        <v>2.0743237044383835E-2</v>
      </c>
      <c r="D721001" s="349">
        <f t="shared" si="45"/>
        <v>7.2846542568870451E-2</v>
      </c>
      <c r="E721001" s="349">
        <v>2.7846542568870453E-2</v>
      </c>
      <c r="F721001" s="349">
        <v>0.2</v>
      </c>
    </row>
    <row r="721002" spans="1:6" ht="16">
      <c r="A721002" s="347" t="s">
        <v>301</v>
      </c>
      <c r="B721002" s="348" t="s">
        <v>574</v>
      </c>
      <c r="C721002" s="349">
        <v>0</v>
      </c>
      <c r="D721002" s="349">
        <f t="shared" si="45"/>
        <v>4.4999999999999998E-2</v>
      </c>
      <c r="E721002" s="349">
        <v>0</v>
      </c>
      <c r="F721002" s="349">
        <v>0.125</v>
      </c>
    </row>
    <row r="721003" spans="1:6" ht="16">
      <c r="A721003" s="347" t="s">
        <v>302</v>
      </c>
      <c r="B721003" s="348" t="s">
        <v>583</v>
      </c>
      <c r="C721003" s="349">
        <v>9.2192164641705932E-3</v>
      </c>
      <c r="D721003" s="349">
        <f t="shared" si="45"/>
        <v>5.73762411417202E-2</v>
      </c>
      <c r="E721003" s="349">
        <v>1.2376241141720201E-2</v>
      </c>
      <c r="F721003" s="349">
        <v>0.15</v>
      </c>
    </row>
    <row r="721004" spans="1:6" ht="16">
      <c r="A721004" s="347" t="s">
        <v>303</v>
      </c>
      <c r="B721004" s="348" t="s">
        <v>574</v>
      </c>
      <c r="C721004" s="349">
        <v>0</v>
      </c>
      <c r="D721004" s="349">
        <f t="shared" si="45"/>
        <v>4.4999999999999998E-2</v>
      </c>
      <c r="E721004" s="349">
        <v>0</v>
      </c>
      <c r="F721004" s="349">
        <v>0.24940000000000001</v>
      </c>
    </row>
    <row r="721005" spans="1:6" ht="16">
      <c r="A721005" s="347" t="s">
        <v>858</v>
      </c>
      <c r="B721005" s="348" t="s">
        <v>580</v>
      </c>
      <c r="C721005" s="349">
        <v>6.5302783287875029E-3</v>
      </c>
      <c r="D721005" s="349">
        <f t="shared" si="45"/>
        <v>5.3766504142051808E-2</v>
      </c>
      <c r="E721005" s="349">
        <v>8.7665041420518092E-3</v>
      </c>
      <c r="F721005" s="349">
        <v>0.26860000000000001</v>
      </c>
    </row>
    <row r="721006" spans="1:6" ht="16">
      <c r="A721006" s="347" t="s">
        <v>304</v>
      </c>
      <c r="B721006" s="348" t="s">
        <v>578</v>
      </c>
      <c r="C721006" s="349">
        <v>3.9181669972725021E-2</v>
      </c>
      <c r="D721006" s="349">
        <f t="shared" si="45"/>
        <v>9.7599024852310853E-2</v>
      </c>
      <c r="E721006" s="349">
        <v>5.2599024852310855E-2</v>
      </c>
      <c r="F721006" s="349">
        <v>0.1</v>
      </c>
    </row>
    <row r="721007" spans="1:6" ht="16">
      <c r="A721007" s="351" t="s">
        <v>598</v>
      </c>
      <c r="B721007" s="348" t="s">
        <v>687</v>
      </c>
      <c r="C721007" s="349">
        <v>7.0808704231754685E-2</v>
      </c>
      <c r="D721007" s="349">
        <f t="shared" si="45"/>
        <v>0.14005640765793431</v>
      </c>
      <c r="E721007" s="349">
        <v>9.5056407657934314E-2</v>
      </c>
      <c r="F721007" s="349">
        <v>0.2</v>
      </c>
    </row>
    <row r="721008" spans="1:6" ht="16">
      <c r="A721008" s="350" t="s">
        <v>599</v>
      </c>
      <c r="B721008" s="348" t="s">
        <v>687</v>
      </c>
      <c r="C721008" s="349">
        <v>0.13073361124886354</v>
      </c>
      <c r="D721008" s="349">
        <f t="shared" si="45"/>
        <v>0.22050197507911562</v>
      </c>
      <c r="E721008" s="349">
        <v>0.17550197507911564</v>
      </c>
      <c r="F721008" s="349">
        <v>0.3</v>
      </c>
    </row>
    <row r="721009" spans="1:6" ht="16">
      <c r="A721009" s="347" t="s">
        <v>305</v>
      </c>
      <c r="B721009" s="348" t="s">
        <v>587</v>
      </c>
      <c r="C721009" s="349">
        <v>1.3060556657575006E-2</v>
      </c>
      <c r="D721009" s="349">
        <f t="shared" si="45"/>
        <v>6.2533008284103617E-2</v>
      </c>
      <c r="E721009" s="349">
        <v>1.7533008284103618E-2</v>
      </c>
      <c r="F721009" s="349">
        <v>0.24</v>
      </c>
    </row>
    <row r="721010" spans="1:6" ht="16">
      <c r="A721010" s="347" t="s">
        <v>692</v>
      </c>
      <c r="B721010" s="348" t="s">
        <v>579</v>
      </c>
      <c r="C721010" s="349">
        <v>8.1692501446400528E-2</v>
      </c>
      <c r="D721010" s="349">
        <f t="shared" si="45"/>
        <v>0.15466724789468733</v>
      </c>
      <c r="E721010" s="349">
        <v>0.10966724789468733</v>
      </c>
      <c r="F721010" s="349">
        <v>0.26860000000000001</v>
      </c>
    </row>
    <row r="721011" spans="1:6" ht="16">
      <c r="A721011" s="347" t="s">
        <v>600</v>
      </c>
      <c r="B721011" s="348" t="s">
        <v>586</v>
      </c>
      <c r="C721011" s="349">
        <v>9.8082219604926024E-2</v>
      </c>
      <c r="D721011" s="349">
        <f t="shared" si="45"/>
        <v>0.17666945436885656</v>
      </c>
      <c r="E721011" s="349">
        <v>0.13166945436885658</v>
      </c>
      <c r="F721011" s="349">
        <v>0.26860000000000001</v>
      </c>
    </row>
    <row r="721012" spans="1:6" ht="16">
      <c r="A721012" s="347" t="s">
        <v>306</v>
      </c>
      <c r="B721012" s="348" t="s">
        <v>583</v>
      </c>
      <c r="C721012" s="349">
        <v>9.2192164641705932E-3</v>
      </c>
      <c r="D721012" s="349">
        <f t="shared" si="45"/>
        <v>5.73762411417202E-2</v>
      </c>
      <c r="E721012" s="349">
        <v>1.2376241141720201E-2</v>
      </c>
      <c r="F721012" s="349">
        <v>0.35</v>
      </c>
    </row>
    <row r="721013" spans="1:6" ht="16">
      <c r="A721013" s="347" t="s">
        <v>859</v>
      </c>
      <c r="B721013" s="154" t="s">
        <v>687</v>
      </c>
      <c r="C721013" s="277">
        <f>J721013</f>
        <v>0</v>
      </c>
      <c r="D721013" s="349">
        <f t="shared" si="45"/>
        <v>4.4999999999999998E-2</v>
      </c>
      <c r="E721013" s="277">
        <f>H721013</f>
        <v>0</v>
      </c>
      <c r="F721013" s="277">
        <f>K721013</f>
        <v>0</v>
      </c>
    </row>
    <row r="721014" spans="1:6" ht="16">
      <c r="A721014" s="347" t="s">
        <v>307</v>
      </c>
      <c r="B721014" s="348" t="s">
        <v>577</v>
      </c>
      <c r="C721014" s="349">
        <v>2.3944353872220846E-2</v>
      </c>
      <c r="D721014" s="349">
        <f t="shared" si="45"/>
        <v>7.7143848520856623E-2</v>
      </c>
      <c r="E721014" s="349">
        <v>3.2143848520856624E-2</v>
      </c>
      <c r="F721014" s="349">
        <v>0.15</v>
      </c>
    </row>
    <row r="721015" spans="1:6" ht="16">
      <c r="A721015" s="347" t="s">
        <v>308</v>
      </c>
      <c r="B721015" s="348" t="s">
        <v>571</v>
      </c>
      <c r="C721015" s="349">
        <v>2.0743237044383835E-2</v>
      </c>
      <c r="D721015" s="349">
        <f t="shared" si="45"/>
        <v>7.2846542568870451E-2</v>
      </c>
      <c r="E721015" s="349">
        <v>2.7846542568870453E-2</v>
      </c>
      <c r="F721015" s="349">
        <v>0.3</v>
      </c>
    </row>
    <row r="721016" spans="1:6" ht="16">
      <c r="A721016" s="347" t="s">
        <v>860</v>
      </c>
      <c r="B721016" s="154" t="s">
        <v>687</v>
      </c>
      <c r="C721016" s="277">
        <v>9.5882201472833571E-3</v>
      </c>
      <c r="D721016" s="349">
        <f t="shared" si="45"/>
        <v>0.10387160629364336</v>
      </c>
      <c r="E721016" s="277">
        <v>5.8871606293643367E-2</v>
      </c>
      <c r="F721016" s="277">
        <v>0.24707349543413576</v>
      </c>
    </row>
    <row r="721017" spans="1:6" ht="16">
      <c r="A721017" s="347" t="s">
        <v>367</v>
      </c>
      <c r="B721017" s="348" t="s">
        <v>581</v>
      </c>
      <c r="C721017" s="349">
        <v>7.0808704231754685E-2</v>
      </c>
      <c r="D721017" s="349">
        <f t="shared" si="45"/>
        <v>0.14005640765793431</v>
      </c>
      <c r="E721017" s="349">
        <v>9.5056407657934314E-2</v>
      </c>
      <c r="F721017" s="349">
        <v>0.12</v>
      </c>
    </row>
    <row r="721018" spans="1:6" ht="16">
      <c r="A721018" s="347" t="s">
        <v>368</v>
      </c>
      <c r="B721018" s="348" t="s">
        <v>581</v>
      </c>
      <c r="C721018" s="349">
        <v>7.0808704231754685E-2</v>
      </c>
      <c r="D721018" s="349">
        <f t="shared" si="45"/>
        <v>0.14005640765793431</v>
      </c>
      <c r="E721018" s="349">
        <v>9.5056407657934314E-2</v>
      </c>
      <c r="F721018" s="349">
        <v>0.25</v>
      </c>
    </row>
    <row r="721019" spans="1:6" ht="16">
      <c r="A721019" s="347" t="s">
        <v>309</v>
      </c>
      <c r="B721019" s="348" t="s">
        <v>569</v>
      </c>
      <c r="C721019" s="349">
        <v>4.9041109802463012E-2</v>
      </c>
      <c r="D721019" s="349">
        <f t="shared" si="45"/>
        <v>0.11083472718442829</v>
      </c>
      <c r="E721019" s="349">
        <v>6.5834727184428288E-2</v>
      </c>
      <c r="F721019" s="349">
        <v>0.15</v>
      </c>
    </row>
    <row r="721020" spans="1:6" ht="16">
      <c r="A721020" s="347" t="s">
        <v>489</v>
      </c>
      <c r="B721020" s="348" t="s">
        <v>577</v>
      </c>
      <c r="C721020" s="349">
        <v>2.3944353872220846E-2</v>
      </c>
      <c r="D721020" s="349">
        <f t="shared" si="45"/>
        <v>7.7143848520856623E-2</v>
      </c>
      <c r="E721020" s="349">
        <v>3.2143848520856624E-2</v>
      </c>
      <c r="F721020" s="349">
        <v>0.2853</v>
      </c>
    </row>
    <row r="721021" spans="1:6" ht="16">
      <c r="A721021" s="347" t="s">
        <v>369</v>
      </c>
      <c r="B721021" s="348" t="s">
        <v>589</v>
      </c>
      <c r="C721021" s="349">
        <v>2.7273515373171343E-2</v>
      </c>
      <c r="D721021" s="349">
        <f t="shared" si="45"/>
        <v>8.161304671092226E-2</v>
      </c>
      <c r="E721021" s="349">
        <v>3.6613046710922262E-2</v>
      </c>
      <c r="F721021" s="349">
        <v>0.32</v>
      </c>
    </row>
    <row r="721022" spans="1:6" ht="16">
      <c r="A721022" s="347" t="s">
        <v>310</v>
      </c>
      <c r="B721022" s="348" t="s">
        <v>586</v>
      </c>
      <c r="C721022" s="349">
        <v>9.8082219604926024E-2</v>
      </c>
      <c r="D721022" s="349">
        <f t="shared" si="45"/>
        <v>0.17666945436885656</v>
      </c>
      <c r="E721022" s="349">
        <v>0.13166945436885658</v>
      </c>
      <c r="F721022" s="349">
        <v>0.32</v>
      </c>
    </row>
    <row r="721023" spans="1:6" ht="16">
      <c r="A721023" s="351" t="s">
        <v>601</v>
      </c>
      <c r="B721023" s="348" t="s">
        <v>687</v>
      </c>
      <c r="C721023" s="349">
        <v>0.10896601681957191</v>
      </c>
      <c r="D721023" s="349">
        <f t="shared" si="45"/>
        <v>0.19128029460560964</v>
      </c>
      <c r="E721023" s="349">
        <v>0.14628029460560965</v>
      </c>
      <c r="F721023" s="349">
        <v>0.25</v>
      </c>
    </row>
    <row r="721024" spans="1:6" ht="16">
      <c r="A721024" s="347" t="s">
        <v>311</v>
      </c>
      <c r="B721024" s="348" t="s">
        <v>569</v>
      </c>
      <c r="C721024" s="349">
        <v>4.9041109802463012E-2</v>
      </c>
      <c r="D721024" s="349">
        <f t="shared" si="45"/>
        <v>0.11083472718442829</v>
      </c>
      <c r="E721024" s="349">
        <v>6.5834727184428288E-2</v>
      </c>
      <c r="F721024" s="349">
        <v>0.32</v>
      </c>
    </row>
    <row r="721025" spans="1:6" ht="16">
      <c r="A721025" s="347" t="s">
        <v>312</v>
      </c>
      <c r="B721025" s="348" t="s">
        <v>574</v>
      </c>
      <c r="C721025" s="349">
        <v>0</v>
      </c>
      <c r="D721025" s="349">
        <f t="shared" si="45"/>
        <v>4.4999999999999998E-2</v>
      </c>
      <c r="E721025" s="349">
        <v>0</v>
      </c>
      <c r="F721025" s="349">
        <v>0.25800000000000001</v>
      </c>
    </row>
    <row r="721026" spans="1:6" ht="16">
      <c r="A721026" s="347" t="s">
        <v>861</v>
      </c>
      <c r="B721026" s="154" t="s">
        <v>687</v>
      </c>
      <c r="C721026" s="277">
        <v>0.1054310997313879</v>
      </c>
      <c r="D721026" s="349">
        <f t="shared" si="45"/>
        <v>0.23253488197001548</v>
      </c>
      <c r="E721026" s="277">
        <v>0.1875348819700155</v>
      </c>
      <c r="F721026" s="277">
        <v>0.2724561140242252</v>
      </c>
    </row>
    <row r="721027" spans="1:6" ht="16">
      <c r="A721027" s="347" t="s">
        <v>313</v>
      </c>
      <c r="B721027" s="348" t="s">
        <v>574</v>
      </c>
      <c r="C721027" s="349">
        <v>0</v>
      </c>
      <c r="D721027" s="349">
        <f t="shared" si="45"/>
        <v>4.4999999999999998E-2</v>
      </c>
      <c r="E721027" s="349">
        <v>0</v>
      </c>
      <c r="F721027" s="349">
        <v>0.28000000000000003</v>
      </c>
    </row>
    <row r="721028" spans="1:6" ht="16">
      <c r="A721028" s="347" t="s">
        <v>370</v>
      </c>
      <c r="B721028" s="348" t="s">
        <v>581</v>
      </c>
      <c r="C721028" s="349">
        <v>7.0808704231754685E-2</v>
      </c>
      <c r="D721028" s="349">
        <f t="shared" si="45"/>
        <v>0.14005640765793431</v>
      </c>
      <c r="E721028" s="349">
        <v>9.5056407657934314E-2</v>
      </c>
      <c r="F721028" s="349">
        <v>0.3</v>
      </c>
    </row>
    <row r="721029" spans="1:6" ht="16">
      <c r="A721029" s="347" t="s">
        <v>602</v>
      </c>
      <c r="B721029" s="348" t="s">
        <v>586</v>
      </c>
      <c r="C721029" s="349">
        <v>9.8082219604926024E-2</v>
      </c>
      <c r="D721029" s="349">
        <f t="shared" si="45"/>
        <v>0.17666945436885656</v>
      </c>
      <c r="E721029" s="349">
        <v>0.13166945436885658</v>
      </c>
      <c r="F721029" s="349">
        <v>0.26860000000000001</v>
      </c>
    </row>
    <row r="721030" spans="1:6" ht="16">
      <c r="A721030" s="347" t="s">
        <v>314</v>
      </c>
      <c r="B721030" s="348" t="s">
        <v>579</v>
      </c>
      <c r="C721030" s="349">
        <v>8.1692501446400528E-2</v>
      </c>
      <c r="D721030" s="349">
        <f t="shared" ref="D721030:D721091" si="46">$B$1+E721030</f>
        <v>0.15466724789468733</v>
      </c>
      <c r="E721030" s="349">
        <v>0.10966724789468733</v>
      </c>
      <c r="F721030" s="349">
        <v>0.3</v>
      </c>
    </row>
    <row r="721031" spans="1:6" ht="16">
      <c r="A721031" s="347" t="s">
        <v>315</v>
      </c>
      <c r="B721031" s="348" t="s">
        <v>574</v>
      </c>
      <c r="C721031" s="349">
        <v>0</v>
      </c>
      <c r="D721031" s="349">
        <f t="shared" si="46"/>
        <v>4.4999999999999998E-2</v>
      </c>
      <c r="E721031" s="349">
        <v>0</v>
      </c>
      <c r="F721031" s="349">
        <v>0.22</v>
      </c>
    </row>
    <row r="721032" spans="1:6" ht="16">
      <c r="A721032" s="347" t="s">
        <v>316</v>
      </c>
      <c r="B721032" s="348" t="s">
        <v>589</v>
      </c>
      <c r="C721032" s="349">
        <v>2.7273515373171343E-2</v>
      </c>
      <c r="D721032" s="349">
        <f t="shared" si="46"/>
        <v>8.161304671092226E-2</v>
      </c>
      <c r="E721032" s="349">
        <v>3.6613046710922262E-2</v>
      </c>
      <c r="F721032" s="349">
        <v>0.15</v>
      </c>
    </row>
    <row r="721033" spans="1:6" ht="16">
      <c r="A721033" s="347" t="s">
        <v>317</v>
      </c>
      <c r="B721033" s="348" t="s">
        <v>689</v>
      </c>
      <c r="C721033" s="349">
        <v>0.10896601681957188</v>
      </c>
      <c r="D721033" s="349">
        <f t="shared" si="46"/>
        <v>0.19128029460560964</v>
      </c>
      <c r="E721033" s="349">
        <v>0.14628029460560965</v>
      </c>
      <c r="F721033" s="349">
        <v>0.28999999999999998</v>
      </c>
    </row>
    <row r="721034" spans="1:6" ht="16">
      <c r="A721034" s="347" t="s">
        <v>862</v>
      </c>
      <c r="B721034" s="154" t="s">
        <v>687</v>
      </c>
      <c r="C721034" s="277">
        <v>1.6082653627874467E-2</v>
      </c>
      <c r="D721034" s="349">
        <f t="shared" si="46"/>
        <v>0.11258999089248985</v>
      </c>
      <c r="E721034" s="277">
        <v>6.7589990892489848E-2</v>
      </c>
      <c r="F721034" s="277">
        <v>0.18760152153615242</v>
      </c>
    </row>
    <row r="721035" spans="1:6" ht="16">
      <c r="A721035" s="347" t="s">
        <v>318</v>
      </c>
      <c r="B721035" s="348" t="s">
        <v>571</v>
      </c>
      <c r="C721035" s="349">
        <v>2.0743237044383835E-2</v>
      </c>
      <c r="D721035" s="349">
        <f t="shared" si="46"/>
        <v>7.2846542568870451E-2</v>
      </c>
      <c r="E721035" s="349">
        <v>2.7846542568870453E-2</v>
      </c>
      <c r="F721035" s="349">
        <v>0.25</v>
      </c>
    </row>
    <row r="721036" spans="1:6" ht="16">
      <c r="A721036" s="347" t="s">
        <v>319</v>
      </c>
      <c r="B721036" s="348" t="s">
        <v>572</v>
      </c>
      <c r="C721036" s="349">
        <v>5.9924907017108855E-2</v>
      </c>
      <c r="D721036" s="349">
        <f t="shared" si="46"/>
        <v>0.12544556742118129</v>
      </c>
      <c r="E721036" s="349">
        <v>8.0445567421181294E-2</v>
      </c>
      <c r="F721036" s="349">
        <v>0.3</v>
      </c>
    </row>
    <row r="721037" spans="1:6" ht="16">
      <c r="A721037" s="347" t="s">
        <v>320</v>
      </c>
      <c r="B721037" s="348" t="s">
        <v>589</v>
      </c>
      <c r="C721037" s="349">
        <v>2.7273515373171343E-2</v>
      </c>
      <c r="D721037" s="349">
        <f t="shared" si="46"/>
        <v>8.161304671092226E-2</v>
      </c>
      <c r="E721037" s="349">
        <v>3.6613046710922262E-2</v>
      </c>
      <c r="F721037" s="349">
        <v>0.1</v>
      </c>
    </row>
    <row r="721038" spans="1:6" ht="16">
      <c r="A721038" s="347" t="s">
        <v>321</v>
      </c>
      <c r="B721038" s="348" t="s">
        <v>573</v>
      </c>
      <c r="C721038" s="349">
        <v>1.7414075543433341E-2</v>
      </c>
      <c r="D721038" s="349">
        <f t="shared" si="46"/>
        <v>6.8377344378804827E-2</v>
      </c>
      <c r="E721038" s="349">
        <v>2.3377344378804829E-2</v>
      </c>
      <c r="F721038" s="349">
        <v>0.29499999999999998</v>
      </c>
    </row>
    <row r="721039" spans="1:6" ht="16">
      <c r="A721039" s="347" t="s">
        <v>322</v>
      </c>
      <c r="B721039" s="348" t="s">
        <v>571</v>
      </c>
      <c r="C721039" s="349">
        <v>2.0743237044383835E-2</v>
      </c>
      <c r="D721039" s="349">
        <f t="shared" si="46"/>
        <v>7.2846542568870451E-2</v>
      </c>
      <c r="E721039" s="349">
        <v>2.7846542568870453E-2</v>
      </c>
      <c r="F721039" s="349">
        <v>0.25</v>
      </c>
    </row>
    <row r="721040" spans="1:6" ht="16">
      <c r="A721040" s="347" t="s">
        <v>323</v>
      </c>
      <c r="B721040" s="348" t="s">
        <v>583</v>
      </c>
      <c r="C721040" s="349">
        <v>9.2192164641705932E-3</v>
      </c>
      <c r="D721040" s="349">
        <f t="shared" si="46"/>
        <v>5.73762411417202E-2</v>
      </c>
      <c r="E721040" s="349">
        <v>1.2376241141720201E-2</v>
      </c>
      <c r="F721040" s="349">
        <v>0.19</v>
      </c>
    </row>
    <row r="721041" spans="1:6" ht="16">
      <c r="A721041" s="347" t="s">
        <v>324</v>
      </c>
      <c r="B721041" s="348" t="s">
        <v>587</v>
      </c>
      <c r="C721041" s="349">
        <v>1.3060556657575006E-2</v>
      </c>
      <c r="D721041" s="349">
        <f t="shared" si="46"/>
        <v>6.2533008284103617E-2</v>
      </c>
      <c r="E721041" s="349">
        <v>1.7533008284103618E-2</v>
      </c>
      <c r="F721041" s="349">
        <v>0.21</v>
      </c>
    </row>
    <row r="721042" spans="1:6" ht="16">
      <c r="A721042" s="347" t="s">
        <v>325</v>
      </c>
      <c r="B721042" s="348" t="s">
        <v>580</v>
      </c>
      <c r="C721042" s="349">
        <v>6.5302783287875029E-3</v>
      </c>
      <c r="D721042" s="349">
        <f t="shared" si="46"/>
        <v>5.3766504142051808E-2</v>
      </c>
      <c r="E721042" s="349">
        <v>8.7665041420518092E-3</v>
      </c>
      <c r="F721042" s="349">
        <v>0.1</v>
      </c>
    </row>
    <row r="721043" spans="1:6" ht="16">
      <c r="A721043" s="347" t="s">
        <v>503</v>
      </c>
      <c r="B721043" s="348" t="s">
        <v>587</v>
      </c>
      <c r="C721043" s="349">
        <v>1.3060556657575006E-2</v>
      </c>
      <c r="D721043" s="349">
        <f t="shared" si="46"/>
        <v>6.2533008284103617E-2</v>
      </c>
      <c r="E721043" s="349">
        <v>1.7533008284103618E-2</v>
      </c>
      <c r="F721043" s="349">
        <v>0</v>
      </c>
    </row>
    <row r="721044" spans="1:6" ht="16">
      <c r="A721044" s="347" t="s">
        <v>863</v>
      </c>
      <c r="B721044" s="154" t="s">
        <v>687</v>
      </c>
      <c r="C721044" s="277">
        <v>1.2518555898193178E-2</v>
      </c>
      <c r="D721044" s="349">
        <f t="shared" si="46"/>
        <v>0.10780540500857855</v>
      </c>
      <c r="E721044" s="277">
        <v>6.2805405008578549E-2</v>
      </c>
      <c r="F721044" s="277">
        <v>0.2576437502455447</v>
      </c>
    </row>
    <row r="721045" spans="1:6" ht="16">
      <c r="A721045" s="347" t="s">
        <v>326</v>
      </c>
      <c r="B721045" s="348" t="s">
        <v>577</v>
      </c>
      <c r="C721045" s="349">
        <v>2.3944353872220846E-2</v>
      </c>
      <c r="D721045" s="349">
        <f t="shared" si="46"/>
        <v>7.7143848520856623E-2</v>
      </c>
      <c r="E721045" s="349">
        <v>3.2143848520856624E-2</v>
      </c>
      <c r="F721045" s="349">
        <v>0.16</v>
      </c>
    </row>
    <row r="721046" spans="1:6" ht="16">
      <c r="A721046" s="347" t="s">
        <v>327</v>
      </c>
      <c r="B721046" s="348" t="s">
        <v>687</v>
      </c>
      <c r="C721046" s="349">
        <v>4.9041109802463012E-2</v>
      </c>
      <c r="D721046" s="349">
        <f t="shared" si="46"/>
        <v>0.11083472718442829</v>
      </c>
      <c r="E721046" s="349">
        <v>6.5834727184428288E-2</v>
      </c>
      <c r="F721046" s="349">
        <v>0.25</v>
      </c>
    </row>
    <row r="721047" spans="1:6" ht="16">
      <c r="A721047" s="347" t="s">
        <v>490</v>
      </c>
      <c r="B721047" s="348" t="s">
        <v>572</v>
      </c>
      <c r="C721047" s="349">
        <v>5.9924907017108855E-2</v>
      </c>
      <c r="D721047" s="349">
        <f t="shared" si="46"/>
        <v>0.12544556742118129</v>
      </c>
      <c r="E721047" s="349">
        <v>8.0445567421181294E-2</v>
      </c>
      <c r="F721047" s="349">
        <v>0.3</v>
      </c>
    </row>
    <row r="721048" spans="1:6" ht="16">
      <c r="A721048" s="347" t="s">
        <v>864</v>
      </c>
      <c r="B721048" s="154" t="s">
        <v>687</v>
      </c>
      <c r="C721048" s="277">
        <v>0.1054310997313879</v>
      </c>
      <c r="D721048" s="349">
        <f t="shared" si="46"/>
        <v>0.23253488197001548</v>
      </c>
      <c r="E721048" s="277">
        <v>0.1875348819700155</v>
      </c>
      <c r="F721048" s="277">
        <v>0.2724561140242252</v>
      </c>
    </row>
    <row r="721049" spans="1:6" ht="16">
      <c r="A721049" s="347" t="s">
        <v>328</v>
      </c>
      <c r="B721049" s="348" t="s">
        <v>585</v>
      </c>
      <c r="C721049" s="349">
        <v>7.6826803868088279E-3</v>
      </c>
      <c r="D721049" s="349">
        <f t="shared" si="46"/>
        <v>5.5313534284766833E-2</v>
      </c>
      <c r="E721049" s="349">
        <v>1.0313534284766834E-2</v>
      </c>
      <c r="F721049" s="349">
        <v>0.2</v>
      </c>
    </row>
    <row r="721050" spans="1:6" ht="16">
      <c r="A721050" s="347" t="s">
        <v>371</v>
      </c>
      <c r="B721050" s="348" t="s">
        <v>578</v>
      </c>
      <c r="C721050" s="349">
        <v>3.9181669972725021E-2</v>
      </c>
      <c r="D721050" s="349">
        <f t="shared" si="46"/>
        <v>9.7599024852310853E-2</v>
      </c>
      <c r="E721050" s="349">
        <v>5.2599024852310855E-2</v>
      </c>
      <c r="F721050" s="349">
        <v>0.3</v>
      </c>
    </row>
    <row r="721051" spans="1:6" ht="16">
      <c r="A721051" s="347" t="s">
        <v>329</v>
      </c>
      <c r="B721051" s="348" t="s">
        <v>576</v>
      </c>
      <c r="C721051" s="349">
        <v>3.2779436317050999E-2</v>
      </c>
      <c r="D721051" s="349">
        <f t="shared" si="46"/>
        <v>8.9004412948338496E-2</v>
      </c>
      <c r="E721051" s="349">
        <v>4.4004412948338498E-2</v>
      </c>
      <c r="F721051" s="349">
        <v>0.15</v>
      </c>
    </row>
    <row r="721052" spans="1:6" ht="16">
      <c r="A721052" s="347" t="s">
        <v>504</v>
      </c>
      <c r="B721052" s="348" t="s">
        <v>589</v>
      </c>
      <c r="C721052" s="349">
        <v>2.7273515373171343E-2</v>
      </c>
      <c r="D721052" s="349">
        <f t="shared" si="46"/>
        <v>8.161304671092226E-2</v>
      </c>
      <c r="E721052" s="349">
        <v>3.6613046710922262E-2</v>
      </c>
      <c r="F721052" s="349">
        <v>0</v>
      </c>
    </row>
    <row r="721053" spans="1:6" ht="16">
      <c r="A721053" s="350" t="s">
        <v>603</v>
      </c>
      <c r="B721053" s="348" t="s">
        <v>687</v>
      </c>
      <c r="C721053" s="349">
        <v>0.10896601681957191</v>
      </c>
      <c r="D721053" s="349">
        <f t="shared" si="46"/>
        <v>0.19128029460560964</v>
      </c>
      <c r="E721053" s="349">
        <v>0.14628029460560965</v>
      </c>
      <c r="F721053" s="349">
        <v>0.3</v>
      </c>
    </row>
    <row r="721054" spans="1:6" ht="16">
      <c r="A721054" s="347" t="s">
        <v>330</v>
      </c>
      <c r="B721054" s="348" t="s">
        <v>574</v>
      </c>
      <c r="C721054" s="349">
        <v>0</v>
      </c>
      <c r="D721054" s="349">
        <f t="shared" si="46"/>
        <v>4.4999999999999998E-2</v>
      </c>
      <c r="E721054" s="349">
        <v>0</v>
      </c>
      <c r="F721054" s="349">
        <v>0.17</v>
      </c>
    </row>
    <row r="721055" spans="1:6" ht="16">
      <c r="A721055" s="347" t="s">
        <v>372</v>
      </c>
      <c r="B721055" s="348" t="s">
        <v>583</v>
      </c>
      <c r="C721055" s="349">
        <v>9.2192164641705932E-3</v>
      </c>
      <c r="D721055" s="349">
        <f t="shared" si="46"/>
        <v>5.73762411417202E-2</v>
      </c>
      <c r="E721055" s="349">
        <v>1.2376241141720201E-2</v>
      </c>
      <c r="F721055" s="349">
        <v>0.21</v>
      </c>
    </row>
    <row r="721056" spans="1:6" ht="16">
      <c r="A721056" s="347" t="s">
        <v>331</v>
      </c>
      <c r="B721056" s="348" t="s">
        <v>587</v>
      </c>
      <c r="C721056" s="349">
        <v>1.3060556657575006E-2</v>
      </c>
      <c r="D721056" s="349">
        <f t="shared" si="46"/>
        <v>6.2533008284103617E-2</v>
      </c>
      <c r="E721056" s="349">
        <v>1.7533008284103618E-2</v>
      </c>
      <c r="F721056" s="349">
        <v>0.19</v>
      </c>
    </row>
    <row r="721057" spans="1:6" ht="16">
      <c r="A721057" s="347" t="s">
        <v>604</v>
      </c>
      <c r="B721057" s="348" t="s">
        <v>579</v>
      </c>
      <c r="C721057" s="349">
        <v>8.1692501446400528E-2</v>
      </c>
      <c r="D721057" s="349">
        <f t="shared" si="46"/>
        <v>0.15466724789468733</v>
      </c>
      <c r="E721057" s="349">
        <v>0.10966724789468733</v>
      </c>
      <c r="F721057" s="349">
        <v>0.3</v>
      </c>
    </row>
    <row r="721058" spans="1:6" ht="16">
      <c r="A721058" s="351" t="s">
        <v>605</v>
      </c>
      <c r="B721058" s="348" t="s">
        <v>687</v>
      </c>
      <c r="C721058" s="349">
        <v>0.13073361124886354</v>
      </c>
      <c r="D721058" s="349">
        <f t="shared" si="46"/>
        <v>0.22050197507911562</v>
      </c>
      <c r="E721058" s="349">
        <v>0.17550197507911564</v>
      </c>
      <c r="F721058" s="349">
        <v>0.29149999999999998</v>
      </c>
    </row>
    <row r="721059" spans="1:6" ht="16">
      <c r="A721059" s="347" t="s">
        <v>332</v>
      </c>
      <c r="B721059" s="348" t="s">
        <v>576</v>
      </c>
      <c r="C721059" s="349">
        <v>3.2779436317050999E-2</v>
      </c>
      <c r="D721059" s="349">
        <f t="shared" si="46"/>
        <v>8.9004412948338496E-2</v>
      </c>
      <c r="E721059" s="349">
        <v>4.4004412948338498E-2</v>
      </c>
      <c r="F721059" s="349">
        <v>0.27</v>
      </c>
    </row>
    <row r="721060" spans="1:6" ht="16">
      <c r="A721060" s="347" t="s">
        <v>865</v>
      </c>
      <c r="B721060" s="348" t="s">
        <v>568</v>
      </c>
      <c r="C721060" s="349">
        <v>5.3778762707661788E-3</v>
      </c>
      <c r="D721060" s="349">
        <f t="shared" si="46"/>
        <v>5.2219473999336782E-2</v>
      </c>
      <c r="E721060" s="349">
        <v>7.219473999336784E-3</v>
      </c>
      <c r="F721060" s="349">
        <v>0.25</v>
      </c>
    </row>
    <row r="721061" spans="1:6" ht="16">
      <c r="A721061" s="347" t="s">
        <v>333</v>
      </c>
      <c r="B721061" s="348" t="s">
        <v>573</v>
      </c>
      <c r="C721061" s="349">
        <v>1.7414075543433341E-2</v>
      </c>
      <c r="D721061" s="349">
        <f t="shared" si="46"/>
        <v>6.8377344378804827E-2</v>
      </c>
      <c r="E721061" s="349">
        <v>2.3377344378804829E-2</v>
      </c>
      <c r="F721061" s="349">
        <v>0.25</v>
      </c>
    </row>
    <row r="721062" spans="1:6" ht="16">
      <c r="A721062" s="347" t="s">
        <v>334</v>
      </c>
      <c r="B721062" s="348" t="s">
        <v>688</v>
      </c>
      <c r="C721062" s="349">
        <v>0.13073361124886354</v>
      </c>
      <c r="D721062" s="349">
        <f t="shared" si="46"/>
        <v>0.22050197507911562</v>
      </c>
      <c r="E721062" s="349">
        <v>0.17550197507911564</v>
      </c>
      <c r="F721062" s="349">
        <v>0.24</v>
      </c>
    </row>
    <row r="721063" spans="1:6" ht="16">
      <c r="A721063" s="347" t="s">
        <v>430</v>
      </c>
      <c r="B721063" s="348" t="s">
        <v>576</v>
      </c>
      <c r="C721063" s="349">
        <v>3.2779436317050999E-2</v>
      </c>
      <c r="D721063" s="349">
        <f t="shared" si="46"/>
        <v>8.9004412948338496E-2</v>
      </c>
      <c r="E721063" s="349">
        <v>4.4004412948338498E-2</v>
      </c>
      <c r="F721063" s="349">
        <v>0.2853</v>
      </c>
    </row>
    <row r="721064" spans="1:6" ht="16">
      <c r="A721064" s="347" t="s">
        <v>373</v>
      </c>
      <c r="B721064" s="348" t="s">
        <v>581</v>
      </c>
      <c r="C721064" s="349">
        <v>7.0808704231754685E-2</v>
      </c>
      <c r="D721064" s="349">
        <f t="shared" si="46"/>
        <v>0.14005640765793431</v>
      </c>
      <c r="E721064" s="349">
        <v>9.5056407657934314E-2</v>
      </c>
      <c r="F721064" s="349">
        <v>0.2853</v>
      </c>
    </row>
    <row r="721065" spans="1:6" ht="16">
      <c r="A721065" s="350" t="s">
        <v>606</v>
      </c>
      <c r="B721065" s="348" t="s">
        <v>687</v>
      </c>
      <c r="C721065" s="349">
        <v>0.17499999999999999</v>
      </c>
      <c r="D721065" s="349">
        <f t="shared" si="46"/>
        <v>0.27992692770782934</v>
      </c>
      <c r="E721065" s="349">
        <v>0.23492692770782936</v>
      </c>
      <c r="F721065" s="349">
        <v>0.35</v>
      </c>
    </row>
    <row r="721066" spans="1:6" ht="16">
      <c r="A721066" s="347" t="s">
        <v>374</v>
      </c>
      <c r="B721066" s="348" t="s">
        <v>689</v>
      </c>
      <c r="C721066" s="349">
        <v>0.10896601681957188</v>
      </c>
      <c r="D721066" s="349">
        <f t="shared" si="46"/>
        <v>0.19128029460560964</v>
      </c>
      <c r="E721066" s="349">
        <v>0.14628029460560965</v>
      </c>
      <c r="F721066" s="349">
        <v>0.36</v>
      </c>
    </row>
    <row r="721067" spans="1:6" ht="16">
      <c r="A721067" s="347" t="s">
        <v>607</v>
      </c>
      <c r="B721067" s="348" t="s">
        <v>581</v>
      </c>
      <c r="C721067" s="349">
        <v>7.0808704231754685E-2</v>
      </c>
      <c r="D721067" s="349">
        <f t="shared" si="46"/>
        <v>0.14005640765793431</v>
      </c>
      <c r="E721067" s="349">
        <v>9.5056407657934314E-2</v>
      </c>
      <c r="F721067" s="349">
        <v>0.27500000000000002</v>
      </c>
    </row>
    <row r="721068" spans="1:6" ht="16">
      <c r="A721068" s="347" t="s">
        <v>335</v>
      </c>
      <c r="B721068" s="348" t="s">
        <v>574</v>
      </c>
      <c r="C721068" s="349">
        <v>0</v>
      </c>
      <c r="D721068" s="349">
        <f t="shared" si="46"/>
        <v>4.4999999999999998E-2</v>
      </c>
      <c r="E721068" s="349">
        <v>0</v>
      </c>
      <c r="F721068" s="349">
        <v>0.20600000000000002</v>
      </c>
    </row>
    <row r="721069" spans="1:6" ht="16">
      <c r="A721069" s="347" t="s">
        <v>336</v>
      </c>
      <c r="B721069" s="348" t="s">
        <v>574</v>
      </c>
      <c r="C721069" s="349">
        <v>0</v>
      </c>
      <c r="D721069" s="349">
        <f t="shared" si="46"/>
        <v>4.4999999999999998E-2</v>
      </c>
      <c r="E721069" s="349">
        <v>0</v>
      </c>
      <c r="F721069" s="349">
        <v>0.14599999999999999</v>
      </c>
    </row>
    <row r="721070" spans="1:6" ht="16">
      <c r="A721070" s="351" t="s">
        <v>608</v>
      </c>
      <c r="B721070" s="348" t="s">
        <v>687</v>
      </c>
      <c r="C721070" s="349">
        <v>0.17499999999999999</v>
      </c>
      <c r="D721070" s="349">
        <f t="shared" si="46"/>
        <v>0.27992692770782934</v>
      </c>
      <c r="E721070" s="349">
        <v>0.23492692770782936</v>
      </c>
      <c r="F721070" s="349">
        <v>0.28000000000000003</v>
      </c>
    </row>
    <row r="721071" spans="1:6" ht="16">
      <c r="A721071" s="347" t="s">
        <v>337</v>
      </c>
      <c r="B721071" s="348" t="s">
        <v>580</v>
      </c>
      <c r="C721071" s="349">
        <v>6.5302783287875029E-3</v>
      </c>
      <c r="D721071" s="349">
        <f t="shared" si="46"/>
        <v>5.3766504142051808E-2</v>
      </c>
      <c r="E721071" s="349">
        <v>8.7665041420518092E-3</v>
      </c>
      <c r="F721071" s="349">
        <v>0.2</v>
      </c>
    </row>
    <row r="721072" spans="1:6" ht="16">
      <c r="A721072" s="347" t="s">
        <v>609</v>
      </c>
      <c r="B721072" s="348" t="s">
        <v>581</v>
      </c>
      <c r="C721072" s="349">
        <v>7.0808704231754685E-2</v>
      </c>
      <c r="D721072" s="349">
        <f t="shared" si="46"/>
        <v>0.14005640765793431</v>
      </c>
      <c r="E721072" s="349">
        <v>9.5056407657934314E-2</v>
      </c>
      <c r="F721072" s="349">
        <v>0.18</v>
      </c>
    </row>
    <row r="721073" spans="1:6" ht="16">
      <c r="A721073" s="347" t="s">
        <v>610</v>
      </c>
      <c r="B721073" s="348" t="s">
        <v>572</v>
      </c>
      <c r="C721073" s="349">
        <v>5.9924907017108855E-2</v>
      </c>
      <c r="D721073" s="349">
        <f t="shared" si="46"/>
        <v>0.12544556742118129</v>
      </c>
      <c r="E721073" s="349">
        <v>8.0445567421181294E-2</v>
      </c>
      <c r="F721073" s="349">
        <v>0.3</v>
      </c>
    </row>
    <row r="721074" spans="1:6" ht="16">
      <c r="A721074" s="347" t="s">
        <v>338</v>
      </c>
      <c r="B721074" s="348" t="s">
        <v>573</v>
      </c>
      <c r="C721074" s="349">
        <v>1.7414075543433341E-2</v>
      </c>
      <c r="D721074" s="349">
        <f t="shared" si="46"/>
        <v>6.8377344378804827E-2</v>
      </c>
      <c r="E721074" s="349">
        <v>2.3377344378804829E-2</v>
      </c>
      <c r="F721074" s="349">
        <v>0.2</v>
      </c>
    </row>
    <row r="721075" spans="1:6" ht="16">
      <c r="A721075" s="347" t="s">
        <v>611</v>
      </c>
      <c r="B721075" s="348" t="s">
        <v>581</v>
      </c>
      <c r="C721075" s="349">
        <v>7.0808704231754685E-2</v>
      </c>
      <c r="D721075" s="349">
        <f t="shared" si="46"/>
        <v>0.14005640765793431</v>
      </c>
      <c r="E721075" s="349">
        <v>9.5056407657934314E-2</v>
      </c>
      <c r="F721075" s="349">
        <v>0.26860000000000001</v>
      </c>
    </row>
    <row r="721076" spans="1:6" ht="16">
      <c r="A721076" s="347" t="s">
        <v>866</v>
      </c>
      <c r="B721076" s="348" t="s">
        <v>576</v>
      </c>
      <c r="C721076" s="349">
        <v>3.2779436317050999E-2</v>
      </c>
      <c r="D721076" s="349">
        <f t="shared" si="46"/>
        <v>8.9004412948338496E-2</v>
      </c>
      <c r="E721076" s="349">
        <v>4.4004412948338498E-2</v>
      </c>
      <c r="F721076" s="349">
        <v>0.3</v>
      </c>
    </row>
    <row r="721077" spans="1:6" ht="16">
      <c r="A721077" s="347" t="s">
        <v>339</v>
      </c>
      <c r="B721077" s="348" t="s">
        <v>586</v>
      </c>
      <c r="C721077" s="349">
        <v>9.8082219604926024E-2</v>
      </c>
      <c r="D721077" s="349">
        <f t="shared" si="46"/>
        <v>0.17666945436885656</v>
      </c>
      <c r="E721077" s="349">
        <v>0.13166945436885658</v>
      </c>
      <c r="F721077" s="349">
        <v>0.15</v>
      </c>
    </row>
    <row r="721078" spans="1:6" ht="16">
      <c r="A721078" s="347" t="s">
        <v>340</v>
      </c>
      <c r="B721078" s="348" t="s">
        <v>581</v>
      </c>
      <c r="C721078" s="349">
        <v>7.0808704231754685E-2</v>
      </c>
      <c r="D721078" s="349">
        <f t="shared" si="46"/>
        <v>0.14005640765793431</v>
      </c>
      <c r="E721078" s="349">
        <v>9.5056407657934314E-2</v>
      </c>
      <c r="F721078" s="349">
        <v>0.25</v>
      </c>
    </row>
    <row r="721079" spans="1:6" ht="16">
      <c r="A721079" s="353" t="s">
        <v>867</v>
      </c>
      <c r="B721079" s="348" t="s">
        <v>573</v>
      </c>
      <c r="C721079" s="349">
        <v>1.7414075543433341E-2</v>
      </c>
      <c r="D721079" s="349">
        <f t="shared" si="46"/>
        <v>6.8377344378804827E-2</v>
      </c>
      <c r="E721079" s="349">
        <v>2.3377344378804829E-2</v>
      </c>
      <c r="F721079" s="349">
        <v>0</v>
      </c>
    </row>
    <row r="721080" spans="1:6" ht="16">
      <c r="A721080" s="347" t="s">
        <v>431</v>
      </c>
      <c r="B721080" s="348" t="s">
        <v>572</v>
      </c>
      <c r="C721080" s="349">
        <v>5.9924907017108855E-2</v>
      </c>
      <c r="D721080" s="349">
        <f t="shared" si="46"/>
        <v>0.12544556742118129</v>
      </c>
      <c r="E721080" s="349">
        <v>8.0445567421181294E-2</v>
      </c>
      <c r="F721080" s="349">
        <v>0.3</v>
      </c>
    </row>
    <row r="721081" spans="1:6" ht="16">
      <c r="A721081" s="347" t="s">
        <v>341</v>
      </c>
      <c r="B721081" s="348" t="s">
        <v>688</v>
      </c>
      <c r="C721081" s="349">
        <v>0.13073361124886354</v>
      </c>
      <c r="D721081" s="349">
        <f t="shared" si="46"/>
        <v>0.22050197507911562</v>
      </c>
      <c r="E721081" s="349">
        <v>0.17550197507911564</v>
      </c>
      <c r="F721081" s="349">
        <v>0.18</v>
      </c>
    </row>
    <row r="721082" spans="1:6" ht="16">
      <c r="A721082" s="347" t="s">
        <v>342</v>
      </c>
      <c r="B721082" s="348" t="s">
        <v>568</v>
      </c>
      <c r="C721082" s="349">
        <v>5.3778762707661788E-3</v>
      </c>
      <c r="D721082" s="349">
        <f t="shared" si="46"/>
        <v>5.2219473999336782E-2</v>
      </c>
      <c r="E721082" s="349">
        <v>7.219473999336784E-3</v>
      </c>
      <c r="F721082" s="349">
        <v>0.25</v>
      </c>
    </row>
    <row r="721083" spans="1:6" ht="16">
      <c r="A721083" s="347" t="s">
        <v>343</v>
      </c>
      <c r="B721083" s="348" t="s">
        <v>580</v>
      </c>
      <c r="C721083" s="349">
        <v>6.5302783287875029E-3</v>
      </c>
      <c r="D721083" s="349">
        <f t="shared" si="46"/>
        <v>5.3766504142051808E-2</v>
      </c>
      <c r="E721083" s="349">
        <v>8.7665041420518092E-3</v>
      </c>
      <c r="F721083" s="349">
        <v>0.25</v>
      </c>
    </row>
    <row r="721084" spans="1:6" ht="16">
      <c r="A721084" s="347" t="s">
        <v>344</v>
      </c>
      <c r="B721084" s="348" t="s">
        <v>574</v>
      </c>
      <c r="C721084" s="349">
        <v>0</v>
      </c>
      <c r="D721084" s="349">
        <f t="shared" si="46"/>
        <v>4.4999999999999998E-2</v>
      </c>
      <c r="E721084" s="349">
        <v>0</v>
      </c>
      <c r="F721084" s="349">
        <v>0.25</v>
      </c>
    </row>
    <row r="721085" spans="1:6" ht="16">
      <c r="A721085" s="347" t="s">
        <v>345</v>
      </c>
      <c r="B721085" s="348" t="s">
        <v>571</v>
      </c>
      <c r="C721085" s="349">
        <v>2.0743237044383835E-2</v>
      </c>
      <c r="D721085" s="349">
        <f t="shared" si="46"/>
        <v>7.2846542568870451E-2</v>
      </c>
      <c r="E721085" s="349">
        <v>2.7846542568870453E-2</v>
      </c>
      <c r="F721085" s="349">
        <v>0.25</v>
      </c>
    </row>
    <row r="721086" spans="1:6" ht="16">
      <c r="A721086" s="347" t="s">
        <v>693</v>
      </c>
      <c r="B721086" s="348" t="s">
        <v>578</v>
      </c>
      <c r="C721086" s="349">
        <v>3.9181669972725021E-2</v>
      </c>
      <c r="D721086" s="349">
        <f t="shared" si="46"/>
        <v>9.7599024852310853E-2</v>
      </c>
      <c r="E721086" s="349">
        <v>5.2599024852310855E-2</v>
      </c>
      <c r="F721086" s="349">
        <v>0.15</v>
      </c>
    </row>
    <row r="721087" spans="1:6" ht="16">
      <c r="A721087" s="347" t="s">
        <v>346</v>
      </c>
      <c r="B721087" s="348" t="s">
        <v>615</v>
      </c>
      <c r="C721087" s="349">
        <v>0.17499999999999999</v>
      </c>
      <c r="D721087" s="349">
        <f t="shared" si="46"/>
        <v>0.27992692770782934</v>
      </c>
      <c r="E721087" s="349">
        <v>0.23492692770782936</v>
      </c>
      <c r="F721087" s="349">
        <v>0.34</v>
      </c>
    </row>
    <row r="721088" spans="1:6" ht="16">
      <c r="A721088" s="347" t="s">
        <v>347</v>
      </c>
      <c r="B721088" s="348" t="s">
        <v>576</v>
      </c>
      <c r="C721088" s="349">
        <v>3.2779436317050999E-2</v>
      </c>
      <c r="D721088" s="349">
        <f t="shared" si="46"/>
        <v>8.9004412948338496E-2</v>
      </c>
      <c r="E721088" s="349">
        <v>4.4004412948338498E-2</v>
      </c>
      <c r="F721088" s="349">
        <v>0.2</v>
      </c>
    </row>
    <row r="721089" spans="1:6" ht="16">
      <c r="A721089" s="350" t="s">
        <v>868</v>
      </c>
      <c r="B721089" s="348" t="s">
        <v>687</v>
      </c>
      <c r="C721089" s="349">
        <v>0.10896601681957191</v>
      </c>
      <c r="D721089" s="349">
        <f t="shared" si="46"/>
        <v>0.19128029460560964</v>
      </c>
      <c r="E721089" s="349">
        <v>0.14628029460560965</v>
      </c>
      <c r="F721089" s="349">
        <v>0.2</v>
      </c>
    </row>
    <row r="721090" spans="1:6" ht="16">
      <c r="A721090" s="347" t="s">
        <v>348</v>
      </c>
      <c r="B721090" s="348" t="s">
        <v>689</v>
      </c>
      <c r="C721090" s="349">
        <v>0.10896601681957188</v>
      </c>
      <c r="D721090" s="349">
        <f t="shared" si="46"/>
        <v>0.19128029460560964</v>
      </c>
      <c r="E721090" s="349">
        <v>0.14628029460560965</v>
      </c>
      <c r="F721090" s="349">
        <v>0.35</v>
      </c>
    </row>
    <row r="721091" spans="1:6" ht="16">
      <c r="A721091" s="351" t="s">
        <v>612</v>
      </c>
      <c r="B721091" s="348" t="s">
        <v>687</v>
      </c>
      <c r="C721091" s="349">
        <v>9.8082219604926024E-2</v>
      </c>
      <c r="D721091" s="349">
        <f t="shared" si="46"/>
        <v>0.17666945436885656</v>
      </c>
      <c r="E721091" s="349">
        <v>0.13166945436885658</v>
      </c>
      <c r="F721091" s="349">
        <v>0.25</v>
      </c>
    </row>
    <row r="721096" spans="1:6">
      <c r="A721096" s="354" t="s">
        <v>352</v>
      </c>
      <c r="B721096" s="355" t="s">
        <v>376</v>
      </c>
      <c r="C721096" s="355" t="s">
        <v>869</v>
      </c>
      <c r="D721096" s="355" t="s">
        <v>694</v>
      </c>
      <c r="E721096" s="355" t="s">
        <v>870</v>
      </c>
    </row>
    <row r="721097" spans="1:6">
      <c r="A721097" s="356" t="s">
        <v>355</v>
      </c>
      <c r="B721097" s="357">
        <f>$B$1+E721097</f>
        <v>0.13663852306889546</v>
      </c>
      <c r="C721097" s="357">
        <v>6.8262679351091926E-2</v>
      </c>
      <c r="D721097" s="357">
        <v>0.27302836489005694</v>
      </c>
      <c r="E721097" s="357">
        <v>9.1638523068895444E-2</v>
      </c>
    </row>
    <row r="721098" spans="1:6">
      <c r="A721098" s="356" t="s">
        <v>428</v>
      </c>
      <c r="B721098" s="357">
        <f t="shared" ref="B721098:B721106" si="47">$B$1+E721098</f>
        <v>6.1805405008578562E-2</v>
      </c>
      <c r="C721098" s="357">
        <v>1.2518555898193178E-2</v>
      </c>
      <c r="D721098" s="357">
        <v>0.2576437502455447</v>
      </c>
      <c r="E721098" s="357">
        <v>1.6805405008578567E-2</v>
      </c>
    </row>
    <row r="721099" spans="1:6">
      <c r="A721099" s="356" t="s">
        <v>357</v>
      </c>
      <c r="B721099" s="357">
        <f t="shared" si="47"/>
        <v>4.5047923618641933E-2</v>
      </c>
      <c r="C721099" s="357">
        <v>3.5698901544265913E-5</v>
      </c>
      <c r="D721099" s="357">
        <v>0.29744361328762281</v>
      </c>
      <c r="E721099" s="357">
        <v>4.7923618641935289E-5</v>
      </c>
    </row>
    <row r="721100" spans="1:6">
      <c r="A721100" s="356" t="s">
        <v>359</v>
      </c>
      <c r="B721100" s="357">
        <f t="shared" si="47"/>
        <v>0.1865348819700155</v>
      </c>
      <c r="C721100" s="357">
        <v>0.1054310997313879</v>
      </c>
      <c r="D721100" s="357">
        <v>0.2724561140242252</v>
      </c>
      <c r="E721100" s="357">
        <v>0.14153488197001549</v>
      </c>
    </row>
    <row r="721101" spans="1:6">
      <c r="A721101" s="356" t="s">
        <v>356</v>
      </c>
      <c r="B721101" s="357">
        <f t="shared" si="47"/>
        <v>0.10261091058162494</v>
      </c>
      <c r="C721101" s="357">
        <v>4.2915086193622262E-2</v>
      </c>
      <c r="D721101" s="357">
        <v>0.31595749426030023</v>
      </c>
      <c r="E721101" s="357">
        <v>5.7610910581624951E-2</v>
      </c>
    </row>
    <row r="721102" spans="1:6">
      <c r="A721102" s="356" t="s">
        <v>354</v>
      </c>
      <c r="B721102" s="357">
        <f t="shared" si="47"/>
        <v>9.5579383477192262E-2</v>
      </c>
      <c r="C721102" s="357">
        <v>3.7670398345457844E-2</v>
      </c>
      <c r="D721102" s="357">
        <v>0.18485819102180306</v>
      </c>
      <c r="E721102" s="357">
        <v>5.0579383477192263E-2</v>
      </c>
    </row>
    <row r="721103" spans="1:6">
      <c r="A721103" s="356" t="s">
        <v>360</v>
      </c>
      <c r="B721103" s="357">
        <f t="shared" si="47"/>
        <v>6.6589990892489848E-2</v>
      </c>
      <c r="C721103" s="357">
        <v>1.6082653627874467E-2</v>
      </c>
      <c r="D721103" s="357">
        <v>0.18760152153615242</v>
      </c>
      <c r="E721103" s="357">
        <v>2.1589990892489853E-2</v>
      </c>
    </row>
    <row r="721104" spans="1:6">
      <c r="A721104" s="356" t="s">
        <v>362</v>
      </c>
      <c r="B721104" s="357">
        <f t="shared" si="47"/>
        <v>4.4999999999999998E-2</v>
      </c>
      <c r="C721104" s="357">
        <v>0</v>
      </c>
      <c r="D721104" s="357">
        <v>0.25116286561170831</v>
      </c>
      <c r="E721104" s="357">
        <v>0</v>
      </c>
    </row>
    <row r="721105" spans="1:5">
      <c r="A721105" s="356" t="s">
        <v>353</v>
      </c>
      <c r="B721105" s="357">
        <f t="shared" si="47"/>
        <v>5.7871606293643366E-2</v>
      </c>
      <c r="C721105" s="357">
        <v>9.5882201472833571E-3</v>
      </c>
      <c r="D721105" s="357">
        <v>0.24707349543413576</v>
      </c>
      <c r="E721105" s="357">
        <v>1.2871606293643371E-2</v>
      </c>
    </row>
    <row r="721106" spans="1:5">
      <c r="A721106" s="356" t="s">
        <v>491</v>
      </c>
      <c r="B721106" s="357">
        <f t="shared" si="47"/>
        <v>6.3100000000000003E-2</v>
      </c>
      <c r="C721106" s="357">
        <v>1.35E-2</v>
      </c>
      <c r="D721106" s="357">
        <v>0.25225942509764748</v>
      </c>
      <c r="E721106" s="357">
        <v>1.8100000000000002E-2</v>
      </c>
    </row>
    <row r="786433" spans="1:6">
      <c r="A786433" t="s">
        <v>613</v>
      </c>
      <c r="B786433" s="242">
        <v>4.5999999999999999E-2</v>
      </c>
      <c r="C786433" t="s">
        <v>847</v>
      </c>
    </row>
    <row r="786434" spans="1:6" ht="14">
      <c r="A786434" s="275" t="s">
        <v>686</v>
      </c>
      <c r="B786434" s="275"/>
      <c r="C786434" s="275"/>
      <c r="D786434" s="275"/>
      <c r="E786434" s="275"/>
      <c r="F786434" s="275"/>
    </row>
    <row r="786436" spans="1:6" ht="16">
      <c r="A786436" s="344" t="s">
        <v>349</v>
      </c>
      <c r="B786436" s="345" t="s">
        <v>566</v>
      </c>
      <c r="C786436" s="346" t="s">
        <v>350</v>
      </c>
      <c r="D786436" s="346" t="s">
        <v>567</v>
      </c>
      <c r="E786436" s="346" t="s">
        <v>351</v>
      </c>
      <c r="F786436" s="346" t="s">
        <v>519</v>
      </c>
    </row>
    <row r="786437" spans="1:6" ht="16">
      <c r="A786437" s="347" t="s">
        <v>481</v>
      </c>
      <c r="B786437" s="348" t="s">
        <v>568</v>
      </c>
      <c r="C786437" s="349">
        <v>5.3778762707661788E-3</v>
      </c>
      <c r="D786437" s="349">
        <f>$B$1+E786437</f>
        <v>5.2219473999336782E-2</v>
      </c>
      <c r="E786437" s="349">
        <v>7.219473999336784E-3</v>
      </c>
      <c r="F786437" s="349">
        <v>0.15</v>
      </c>
    </row>
    <row r="786438" spans="1:6" ht="16">
      <c r="A786438" s="347" t="s">
        <v>245</v>
      </c>
      <c r="B786438" s="348" t="s">
        <v>569</v>
      </c>
      <c r="C786438" s="349">
        <v>4.9041109802463012E-2</v>
      </c>
      <c r="D786438" s="349">
        <f t="shared" ref="D786438:D786501" si="48">$B$1+E786438</f>
        <v>0.11083472718442829</v>
      </c>
      <c r="E786438" s="349">
        <v>6.5834727184428288E-2</v>
      </c>
      <c r="F786438" s="349">
        <v>0.15</v>
      </c>
    </row>
    <row r="786439" spans="1:6" ht="16">
      <c r="A786439" s="350" t="s">
        <v>570</v>
      </c>
      <c r="B786439" s="348" t="s">
        <v>687</v>
      </c>
      <c r="C786439" s="349">
        <v>4.9041109802463012E-2</v>
      </c>
      <c r="D786439" s="349">
        <f t="shared" si="48"/>
        <v>0.11083472718442829</v>
      </c>
      <c r="E786439" s="349">
        <v>6.5834727184428288E-2</v>
      </c>
      <c r="F786439" s="349">
        <v>0.26</v>
      </c>
    </row>
    <row r="786440" spans="1:6" ht="16">
      <c r="A786440" s="347" t="s">
        <v>499</v>
      </c>
      <c r="B786440" s="348" t="s">
        <v>571</v>
      </c>
      <c r="C786440" s="349">
        <v>2.0743237044383835E-2</v>
      </c>
      <c r="D786440" s="349">
        <f t="shared" si="48"/>
        <v>7.2846542568870451E-2</v>
      </c>
      <c r="E786440" s="349">
        <v>2.7846542568870453E-2</v>
      </c>
      <c r="F786440" s="349">
        <v>0.1898</v>
      </c>
    </row>
    <row r="786441" spans="1:6" ht="16">
      <c r="A786441" s="347" t="s">
        <v>246</v>
      </c>
      <c r="B786441" s="348" t="s">
        <v>581</v>
      </c>
      <c r="C786441" s="349">
        <v>7.0808704231754685E-2</v>
      </c>
      <c r="D786441" s="349">
        <f t="shared" si="48"/>
        <v>0.14005640765793431</v>
      </c>
      <c r="E786441" s="349">
        <v>9.5056407657934314E-2</v>
      </c>
      <c r="F786441" s="349">
        <v>0.25</v>
      </c>
    </row>
    <row r="786442" spans="1:6" ht="16">
      <c r="A786442" s="347" t="s">
        <v>848</v>
      </c>
      <c r="B786442" s="154" t="s">
        <v>687</v>
      </c>
      <c r="C786442" s="277">
        <v>0.1054310997313879</v>
      </c>
      <c r="D786442" s="349">
        <f t="shared" si="48"/>
        <v>0.23253488197001548</v>
      </c>
      <c r="E786442" s="277">
        <v>0.1875348819700155</v>
      </c>
      <c r="F786442" s="277">
        <v>0.2724561140242252</v>
      </c>
    </row>
    <row r="786443" spans="1:6" ht="16">
      <c r="A786443" s="347" t="s">
        <v>849</v>
      </c>
      <c r="B786443" s="154" t="s">
        <v>687</v>
      </c>
      <c r="C786443" s="277">
        <v>0.1054310997313879</v>
      </c>
      <c r="D786443" s="349">
        <f t="shared" si="48"/>
        <v>0.23253488197001548</v>
      </c>
      <c r="E786443" s="277">
        <v>0.1875348819700155</v>
      </c>
      <c r="F786443" s="277">
        <v>0.2724561140242252</v>
      </c>
    </row>
    <row r="786444" spans="1:6" ht="16">
      <c r="A786444" s="347" t="s">
        <v>247</v>
      </c>
      <c r="B786444" s="348" t="s">
        <v>688</v>
      </c>
      <c r="C786444" s="349">
        <v>0.13073361124886354</v>
      </c>
      <c r="D786444" s="349">
        <f t="shared" si="48"/>
        <v>0.22050197507911562</v>
      </c>
      <c r="E786444" s="349">
        <v>0.17550197507911564</v>
      </c>
      <c r="F786444" s="349">
        <v>0.35</v>
      </c>
    </row>
    <row r="786445" spans="1:6" ht="16">
      <c r="A786445" s="347" t="s">
        <v>248</v>
      </c>
      <c r="B786445" s="348" t="s">
        <v>578</v>
      </c>
      <c r="C786445" s="349">
        <v>3.9181669972725021E-2</v>
      </c>
      <c r="D786445" s="349">
        <f t="shared" si="48"/>
        <v>9.7599024852310853E-2</v>
      </c>
      <c r="E786445" s="349">
        <v>5.2599024852310855E-2</v>
      </c>
      <c r="F786445" s="349">
        <v>0.18</v>
      </c>
    </row>
    <row r="786446" spans="1:6" ht="16">
      <c r="A786446" s="347" t="s">
        <v>249</v>
      </c>
      <c r="B786446" s="348" t="s">
        <v>571</v>
      </c>
      <c r="C786446" s="349">
        <v>2.0743237044383835E-2</v>
      </c>
      <c r="D786446" s="349">
        <f t="shared" si="48"/>
        <v>7.2846542568870451E-2</v>
      </c>
      <c r="E786446" s="349">
        <v>2.7846542568870453E-2</v>
      </c>
      <c r="F786446" s="349">
        <v>0.25</v>
      </c>
    </row>
    <row r="786447" spans="1:6" ht="16">
      <c r="A786447" s="347" t="s">
        <v>250</v>
      </c>
      <c r="B786447" s="348" t="s">
        <v>574</v>
      </c>
      <c r="C786447" s="349">
        <v>0</v>
      </c>
      <c r="D786447" s="349">
        <f t="shared" si="48"/>
        <v>4.4999999999999998E-2</v>
      </c>
      <c r="E786447" s="349">
        <v>0</v>
      </c>
      <c r="F786447" s="349">
        <v>0.3</v>
      </c>
    </row>
    <row r="786448" spans="1:6" ht="16">
      <c r="A786448" s="347" t="s">
        <v>251</v>
      </c>
      <c r="B786448" s="348" t="s">
        <v>575</v>
      </c>
      <c r="C786448" s="349">
        <v>4.3535188858583353E-3</v>
      </c>
      <c r="D786448" s="349">
        <f t="shared" si="48"/>
        <v>5.0844336094701202E-2</v>
      </c>
      <c r="E786448" s="349">
        <v>5.8443360947012038E-3</v>
      </c>
      <c r="F786448" s="349">
        <v>0.24</v>
      </c>
    </row>
    <row r="786449" spans="1:6" ht="16">
      <c r="A786449" s="347" t="s">
        <v>358</v>
      </c>
      <c r="B786449" s="348" t="s">
        <v>589</v>
      </c>
      <c r="C786449" s="349">
        <v>2.7273515373171343E-2</v>
      </c>
      <c r="D786449" s="349">
        <f t="shared" si="48"/>
        <v>8.161304671092226E-2</v>
      </c>
      <c r="E786449" s="349">
        <v>3.6613046710922262E-2</v>
      </c>
      <c r="F786449" s="349">
        <v>0.2</v>
      </c>
    </row>
    <row r="786450" spans="1:6" ht="16">
      <c r="A786450" s="347" t="s">
        <v>252</v>
      </c>
      <c r="B786450" s="348" t="s">
        <v>569</v>
      </c>
      <c r="C786450" s="349">
        <v>4.9041109802463012E-2</v>
      </c>
      <c r="D786450" s="349">
        <f t="shared" si="48"/>
        <v>0.11083472718442829</v>
      </c>
      <c r="E786450" s="349">
        <v>6.5834727184428288E-2</v>
      </c>
      <c r="F786450" s="349">
        <v>0</v>
      </c>
    </row>
    <row r="786451" spans="1:6" ht="16">
      <c r="A786451" s="347" t="s">
        <v>253</v>
      </c>
      <c r="B786451" s="348" t="s">
        <v>572</v>
      </c>
      <c r="C786451" s="349">
        <v>5.9924907017108855E-2</v>
      </c>
      <c r="D786451" s="349">
        <f t="shared" si="48"/>
        <v>0.12544556742118129</v>
      </c>
      <c r="E786451" s="349">
        <v>8.0445567421181294E-2</v>
      </c>
      <c r="F786451" s="349">
        <v>0</v>
      </c>
    </row>
    <row r="786452" spans="1:6" ht="16">
      <c r="A786452" s="347" t="s">
        <v>254</v>
      </c>
      <c r="B786452" s="348" t="s">
        <v>569</v>
      </c>
      <c r="C786452" s="349">
        <v>4.9041109802463012E-2</v>
      </c>
      <c r="D786452" s="349">
        <f t="shared" si="48"/>
        <v>0.11083472718442829</v>
      </c>
      <c r="E786452" s="349">
        <v>6.5834727184428288E-2</v>
      </c>
      <c r="F786452" s="349">
        <v>0.3</v>
      </c>
    </row>
    <row r="786453" spans="1:6" ht="16">
      <c r="A786453" s="347" t="s">
        <v>255</v>
      </c>
      <c r="B786453" s="348" t="s">
        <v>581</v>
      </c>
      <c r="C786453" s="349">
        <v>7.0808704231754685E-2</v>
      </c>
      <c r="D786453" s="349">
        <f t="shared" si="48"/>
        <v>0.14005640765793431</v>
      </c>
      <c r="E786453" s="349">
        <v>9.5056407657934314E-2</v>
      </c>
      <c r="F786453" s="349">
        <v>5.5E-2</v>
      </c>
    </row>
    <row r="786454" spans="1:6" ht="16">
      <c r="A786454" s="347" t="s">
        <v>256</v>
      </c>
      <c r="B786454" s="348" t="s">
        <v>615</v>
      </c>
      <c r="C786454" s="349">
        <v>0.17499999999999999</v>
      </c>
      <c r="D786454" s="349">
        <f t="shared" si="48"/>
        <v>0.27992692770782934</v>
      </c>
      <c r="E786454" s="349">
        <v>0.23492692770782936</v>
      </c>
      <c r="F786454" s="349">
        <v>0.18</v>
      </c>
    </row>
    <row r="786455" spans="1:6" ht="16">
      <c r="A786455" s="347" t="s">
        <v>257</v>
      </c>
      <c r="B786455" s="348" t="s">
        <v>580</v>
      </c>
      <c r="C786455" s="349">
        <v>6.5302783287875029E-3</v>
      </c>
      <c r="D786455" s="349">
        <f t="shared" si="48"/>
        <v>5.3766504142051808E-2</v>
      </c>
      <c r="E786455" s="349">
        <v>8.7665041420518092E-3</v>
      </c>
      <c r="F786455" s="349">
        <v>0.25</v>
      </c>
    </row>
    <row r="786456" spans="1:6" ht="16">
      <c r="A786456" s="347" t="s">
        <v>361</v>
      </c>
      <c r="B786456" s="348" t="s">
        <v>586</v>
      </c>
      <c r="C786456" s="349">
        <v>9.8082219604926024E-2</v>
      </c>
      <c r="D786456" s="349">
        <f t="shared" si="48"/>
        <v>0.17666945436885656</v>
      </c>
      <c r="E786456" s="349">
        <v>0.13166945436885658</v>
      </c>
      <c r="F786456" s="349">
        <v>0.2853</v>
      </c>
    </row>
    <row r="786457" spans="1:6" ht="16">
      <c r="A786457" s="347" t="s">
        <v>582</v>
      </c>
      <c r="B786457" s="348" t="s">
        <v>569</v>
      </c>
      <c r="C786457" s="349">
        <v>4.9041109802463012E-2</v>
      </c>
      <c r="D786457" s="349">
        <f t="shared" si="48"/>
        <v>0.11083472718442829</v>
      </c>
      <c r="E786457" s="349">
        <v>6.5834727184428288E-2</v>
      </c>
      <c r="F786457" s="349">
        <v>0.3</v>
      </c>
    </row>
    <row r="786458" spans="1:6" ht="16">
      <c r="A786458" s="347" t="s">
        <v>258</v>
      </c>
      <c r="B786458" s="348" t="s">
        <v>583</v>
      </c>
      <c r="C786458" s="349">
        <v>9.2192164641705932E-3</v>
      </c>
      <c r="D786458" s="349">
        <f t="shared" si="48"/>
        <v>5.73762411417202E-2</v>
      </c>
      <c r="E786458" s="349">
        <v>1.2376241141720201E-2</v>
      </c>
      <c r="F786458" s="349">
        <v>0</v>
      </c>
    </row>
    <row r="786459" spans="1:6" ht="16">
      <c r="A786459" s="347" t="s">
        <v>259</v>
      </c>
      <c r="B786459" s="348" t="s">
        <v>579</v>
      </c>
      <c r="C786459" s="349">
        <v>8.1692501446400528E-2</v>
      </c>
      <c r="D786459" s="349">
        <f t="shared" si="48"/>
        <v>0.15466724789468733</v>
      </c>
      <c r="E786459" s="349">
        <v>0.10966724789468733</v>
      </c>
      <c r="F786459" s="349">
        <v>0.25</v>
      </c>
    </row>
    <row r="786460" spans="1:6" ht="16">
      <c r="A786460" s="347" t="s">
        <v>260</v>
      </c>
      <c r="B786460" s="348" t="s">
        <v>581</v>
      </c>
      <c r="C786460" s="349">
        <v>7.0808704231754685E-2</v>
      </c>
      <c r="D786460" s="349">
        <f t="shared" si="48"/>
        <v>0.14005640765793431</v>
      </c>
      <c r="E786460" s="349">
        <v>9.5056407657934314E-2</v>
      </c>
      <c r="F786460" s="349">
        <v>0.1</v>
      </c>
    </row>
    <row r="786461" spans="1:6" ht="16">
      <c r="A786461" s="347" t="s">
        <v>261</v>
      </c>
      <c r="B786461" s="348" t="s">
        <v>587</v>
      </c>
      <c r="C786461" s="349">
        <v>1.3060556657575006E-2</v>
      </c>
      <c r="D786461" s="349">
        <f t="shared" si="48"/>
        <v>6.2533008284103617E-2</v>
      </c>
      <c r="E786461" s="349">
        <v>1.7533008284103618E-2</v>
      </c>
      <c r="F786461" s="349">
        <v>0.22</v>
      </c>
    </row>
    <row r="786462" spans="1:6" ht="16">
      <c r="A786462" s="347" t="s">
        <v>262</v>
      </c>
      <c r="B786462" s="348" t="s">
        <v>576</v>
      </c>
      <c r="C786462" s="349">
        <v>3.2779436317050999E-2</v>
      </c>
      <c r="D786462" s="349">
        <f t="shared" si="48"/>
        <v>8.9004412948338496E-2</v>
      </c>
      <c r="E786462" s="349">
        <v>4.4004412948338498E-2</v>
      </c>
      <c r="F786462" s="349">
        <v>0.34</v>
      </c>
    </row>
    <row r="786463" spans="1:6" ht="16">
      <c r="A786463" s="347" t="s">
        <v>850</v>
      </c>
      <c r="B786463" s="348" t="s">
        <v>576</v>
      </c>
      <c r="C786463" s="349">
        <v>3.2779436317050999E-2</v>
      </c>
      <c r="D786463" s="349">
        <f t="shared" si="48"/>
        <v>8.9004412948338496E-2</v>
      </c>
      <c r="E786463" s="349">
        <v>4.4004412948338498E-2</v>
      </c>
      <c r="F786463" s="349">
        <v>0.34</v>
      </c>
    </row>
    <row r="786464" spans="1:6" ht="16">
      <c r="A786464" s="351" t="s">
        <v>584</v>
      </c>
      <c r="B786464" s="348" t="s">
        <v>687</v>
      </c>
      <c r="C786464" s="349">
        <v>6.5302783287875029E-3</v>
      </c>
      <c r="D786464" s="349">
        <f t="shared" si="48"/>
        <v>5.3766504142051808E-2</v>
      </c>
      <c r="E786464" s="349">
        <v>8.7665041420518092E-3</v>
      </c>
      <c r="F786464" s="349">
        <v>0.185</v>
      </c>
    </row>
    <row r="786465" spans="1:6" ht="16">
      <c r="A786465" s="347" t="s">
        <v>263</v>
      </c>
      <c r="B786465" s="348" t="s">
        <v>573</v>
      </c>
      <c r="C786465" s="349">
        <v>1.7414075543433341E-2</v>
      </c>
      <c r="D786465" s="349">
        <f t="shared" si="48"/>
        <v>6.8377344378804827E-2</v>
      </c>
      <c r="E786465" s="349">
        <v>2.3377344378804829E-2</v>
      </c>
      <c r="F786465" s="349">
        <v>0.1</v>
      </c>
    </row>
    <row r="786466" spans="1:6" ht="16">
      <c r="A786466" s="347" t="s">
        <v>482</v>
      </c>
      <c r="B786466" s="348" t="s">
        <v>579</v>
      </c>
      <c r="C786466" s="349">
        <v>8.1692501446400528E-2</v>
      </c>
      <c r="D786466" s="349">
        <f t="shared" si="48"/>
        <v>0.15466724789468733</v>
      </c>
      <c r="E786466" s="349">
        <v>0.10966724789468733</v>
      </c>
      <c r="F786466" s="349">
        <v>0.28000000000000003</v>
      </c>
    </row>
    <row r="786467" spans="1:6" ht="16">
      <c r="A786467" s="347" t="s">
        <v>264</v>
      </c>
      <c r="B786467" s="348" t="s">
        <v>572</v>
      </c>
      <c r="C786467" s="349">
        <v>5.9924907017108855E-2</v>
      </c>
      <c r="D786467" s="349">
        <f t="shared" si="48"/>
        <v>0.12544556742118129</v>
      </c>
      <c r="E786467" s="349">
        <v>8.0445567421181294E-2</v>
      </c>
      <c r="F786467" s="349">
        <v>0.2</v>
      </c>
    </row>
    <row r="786468" spans="1:6" ht="16">
      <c r="A786468" s="347" t="s">
        <v>483</v>
      </c>
      <c r="B786468" s="348" t="s">
        <v>579</v>
      </c>
      <c r="C786468" s="349">
        <v>8.1692501446400528E-2</v>
      </c>
      <c r="D786468" s="349">
        <f t="shared" si="48"/>
        <v>0.15466724789468733</v>
      </c>
      <c r="E786468" s="349">
        <v>0.10966724789468733</v>
      </c>
      <c r="F786468" s="349">
        <v>0.33</v>
      </c>
    </row>
    <row r="786469" spans="1:6" ht="16">
      <c r="A786469" s="347" t="s">
        <v>265</v>
      </c>
      <c r="B786469" s="348" t="s">
        <v>574</v>
      </c>
      <c r="C786469" s="349">
        <v>0</v>
      </c>
      <c r="D786469" s="349">
        <f t="shared" si="48"/>
        <v>4.4999999999999998E-2</v>
      </c>
      <c r="E786469" s="349">
        <v>0</v>
      </c>
      <c r="F786469" s="349">
        <v>0.26500000000000001</v>
      </c>
    </row>
    <row r="786470" spans="1:6" ht="16">
      <c r="A786470" s="347" t="s">
        <v>484</v>
      </c>
      <c r="B786470" s="348" t="s">
        <v>581</v>
      </c>
      <c r="C786470" s="349">
        <v>7.0808704231754685E-2</v>
      </c>
      <c r="D786470" s="349">
        <f t="shared" si="48"/>
        <v>0.14005640765793431</v>
      </c>
      <c r="E786470" s="349">
        <v>9.5056407657934314E-2</v>
      </c>
      <c r="F786470" s="349">
        <v>0</v>
      </c>
    </row>
    <row r="786471" spans="1:6" ht="16">
      <c r="A786471" s="347" t="s">
        <v>266</v>
      </c>
      <c r="B786471" s="348" t="s">
        <v>580</v>
      </c>
      <c r="C786471" s="349">
        <v>6.5302783287875029E-3</v>
      </c>
      <c r="D786471" s="349">
        <f t="shared" si="48"/>
        <v>5.3766504142051808E-2</v>
      </c>
      <c r="E786471" s="349">
        <v>8.7665041420518092E-3</v>
      </c>
      <c r="F786471" s="349">
        <v>0</v>
      </c>
    </row>
    <row r="786472" spans="1:6" ht="16">
      <c r="A786472" s="347" t="s">
        <v>851</v>
      </c>
      <c r="B786472" s="154" t="s">
        <v>687</v>
      </c>
      <c r="C786472" s="277">
        <v>9.5882201472833571E-3</v>
      </c>
      <c r="D786472" s="349">
        <f t="shared" si="48"/>
        <v>0.10387160629364336</v>
      </c>
      <c r="E786472" s="277">
        <v>5.8871606293643367E-2</v>
      </c>
      <c r="F786472" s="277">
        <v>0.24707349543413576</v>
      </c>
    </row>
    <row r="786473" spans="1:6" ht="16">
      <c r="A786473" s="347" t="s">
        <v>267</v>
      </c>
      <c r="B786473" s="348" t="s">
        <v>583</v>
      </c>
      <c r="C786473" s="349">
        <v>9.2192164641705932E-3</v>
      </c>
      <c r="D786473" s="349">
        <f t="shared" si="48"/>
        <v>5.73762411417202E-2</v>
      </c>
      <c r="E786473" s="349">
        <v>1.2376241141720201E-2</v>
      </c>
      <c r="F786473" s="349">
        <v>0.27</v>
      </c>
    </row>
    <row r="786474" spans="1:6" ht="16">
      <c r="A786474" s="347" t="s">
        <v>268</v>
      </c>
      <c r="B786474" s="348" t="s">
        <v>585</v>
      </c>
      <c r="C786474" s="349">
        <v>7.6826803868088279E-3</v>
      </c>
      <c r="D786474" s="349">
        <f t="shared" si="48"/>
        <v>5.5313534284766833E-2</v>
      </c>
      <c r="E786474" s="349">
        <v>1.0313534284766834E-2</v>
      </c>
      <c r="F786474" s="349">
        <v>0.25</v>
      </c>
    </row>
    <row r="786475" spans="1:6" ht="16">
      <c r="A786475" s="347" t="s">
        <v>269</v>
      </c>
      <c r="B786475" s="348" t="s">
        <v>571</v>
      </c>
      <c r="C786475" s="349">
        <v>2.0743237044383835E-2</v>
      </c>
      <c r="D786475" s="349">
        <f t="shared" si="48"/>
        <v>7.2846542568870451E-2</v>
      </c>
      <c r="E786475" s="349">
        <v>2.7846542568870453E-2</v>
      </c>
      <c r="F786475" s="349">
        <v>0.35</v>
      </c>
    </row>
    <row r="786476" spans="1:6" ht="16">
      <c r="A786476" s="347" t="s">
        <v>500</v>
      </c>
      <c r="B786476" s="348" t="s">
        <v>581</v>
      </c>
      <c r="C786476" s="349">
        <v>7.0808704231754685E-2</v>
      </c>
      <c r="D786476" s="349">
        <f t="shared" si="48"/>
        <v>0.14005640765793431</v>
      </c>
      <c r="E786476" s="349">
        <v>9.5056407657934314E-2</v>
      </c>
      <c r="F786476" s="349">
        <v>0.3</v>
      </c>
    </row>
    <row r="786477" spans="1:6" ht="16">
      <c r="A786477" s="347" t="s">
        <v>501</v>
      </c>
      <c r="B786477" s="348" t="s">
        <v>586</v>
      </c>
      <c r="C786477" s="349">
        <v>9.8082219604926024E-2</v>
      </c>
      <c r="D786477" s="349">
        <f t="shared" si="48"/>
        <v>0.17666945436885656</v>
      </c>
      <c r="E786477" s="349">
        <v>0.13166945436885658</v>
      </c>
      <c r="F786477" s="349">
        <v>0.28000000000000003</v>
      </c>
    </row>
    <row r="786478" spans="1:6" ht="16">
      <c r="A786478" s="347" t="s">
        <v>485</v>
      </c>
      <c r="B786478" s="348" t="s">
        <v>569</v>
      </c>
      <c r="C786478" s="349">
        <v>4.9041109802463012E-2</v>
      </c>
      <c r="D786478" s="349">
        <f t="shared" si="48"/>
        <v>0.11083472718442829</v>
      </c>
      <c r="E786478" s="349">
        <v>6.5834727184428288E-2</v>
      </c>
      <c r="F786478" s="349">
        <v>0.2974</v>
      </c>
    </row>
    <row r="786479" spans="1:6" ht="16">
      <c r="A786479" s="347" t="s">
        <v>270</v>
      </c>
      <c r="B786479" s="348" t="s">
        <v>569</v>
      </c>
      <c r="C786479" s="349">
        <v>4.9041109802463012E-2</v>
      </c>
      <c r="D786479" s="349">
        <f t="shared" si="48"/>
        <v>0.11083472718442829</v>
      </c>
      <c r="E786479" s="349">
        <v>6.5834727184428288E-2</v>
      </c>
      <c r="F786479" s="349">
        <v>0.3</v>
      </c>
    </row>
    <row r="786480" spans="1:6" ht="16">
      <c r="A786480" s="347" t="s">
        <v>271</v>
      </c>
      <c r="B786480" s="348" t="s">
        <v>571</v>
      </c>
      <c r="C786480" s="349">
        <v>2.0743237044383835E-2</v>
      </c>
      <c r="D786480" s="349">
        <f t="shared" si="48"/>
        <v>7.2846542568870451E-2</v>
      </c>
      <c r="E786480" s="349">
        <v>2.7846542568870453E-2</v>
      </c>
      <c r="F786480" s="349">
        <v>0.18</v>
      </c>
    </row>
    <row r="786481" spans="1:6" ht="16">
      <c r="A786481" s="347" t="s">
        <v>363</v>
      </c>
      <c r="B786481" s="348" t="s">
        <v>688</v>
      </c>
      <c r="C786481" s="349">
        <v>0.13073361124886354</v>
      </c>
      <c r="D786481" s="349">
        <f t="shared" si="48"/>
        <v>0.22050197507911562</v>
      </c>
      <c r="E786481" s="349">
        <v>0.17550197507911564</v>
      </c>
      <c r="F786481" s="349">
        <v>0.2853</v>
      </c>
    </row>
    <row r="786482" spans="1:6" ht="16">
      <c r="A786482" s="352" t="s">
        <v>852</v>
      </c>
      <c r="B786482" s="348" t="s">
        <v>571</v>
      </c>
      <c r="C786482" s="349">
        <v>2.0743237044383835E-2</v>
      </c>
      <c r="D786482" s="349">
        <f t="shared" si="48"/>
        <v>7.2846542568870451E-2</v>
      </c>
      <c r="E786482" s="349">
        <v>2.7846542568870453E-2</v>
      </c>
      <c r="F786482" s="349">
        <v>0.22</v>
      </c>
    </row>
    <row r="786483" spans="1:6" ht="16">
      <c r="A786483" s="347" t="s">
        <v>272</v>
      </c>
      <c r="B786483" s="348" t="s">
        <v>571</v>
      </c>
      <c r="C786483" s="349">
        <v>2.0743237044383835E-2</v>
      </c>
      <c r="D786483" s="349">
        <f t="shared" si="48"/>
        <v>7.2846542568870451E-2</v>
      </c>
      <c r="E786483" s="349">
        <v>2.7846542568870453E-2</v>
      </c>
      <c r="F786483" s="349">
        <v>0.125</v>
      </c>
    </row>
    <row r="786484" spans="1:6" ht="16">
      <c r="A786484" s="347" t="s">
        <v>273</v>
      </c>
      <c r="B786484" s="348" t="s">
        <v>580</v>
      </c>
      <c r="C786484" s="349">
        <v>6.5302783287875029E-3</v>
      </c>
      <c r="D786484" s="349">
        <f t="shared" si="48"/>
        <v>5.3766504142051808E-2</v>
      </c>
      <c r="E786484" s="349">
        <v>8.7665041420518092E-3</v>
      </c>
      <c r="F786484" s="349">
        <v>0.19</v>
      </c>
    </row>
    <row r="786485" spans="1:6" ht="16">
      <c r="A786485" s="347" t="s">
        <v>274</v>
      </c>
      <c r="B786485" s="348" t="s">
        <v>574</v>
      </c>
      <c r="C786485" s="349">
        <v>0</v>
      </c>
      <c r="D786485" s="349">
        <f t="shared" si="48"/>
        <v>4.4999999999999998E-2</v>
      </c>
      <c r="E786485" s="349">
        <v>0</v>
      </c>
      <c r="F786485" s="349">
        <v>0.22</v>
      </c>
    </row>
    <row r="786486" spans="1:6" ht="16">
      <c r="A786486" s="347" t="s">
        <v>275</v>
      </c>
      <c r="B786486" s="348" t="s">
        <v>578</v>
      </c>
      <c r="C786486" s="349">
        <v>3.9181669972725021E-2</v>
      </c>
      <c r="D786486" s="349">
        <f t="shared" si="48"/>
        <v>9.7599024852310853E-2</v>
      </c>
      <c r="E786486" s="349">
        <v>5.2599024852310855E-2</v>
      </c>
      <c r="F786486" s="349">
        <v>0.27</v>
      </c>
    </row>
    <row r="786487" spans="1:6" ht="16">
      <c r="A786487" s="347" t="s">
        <v>276</v>
      </c>
      <c r="B786487" s="348" t="s">
        <v>689</v>
      </c>
      <c r="C786487" s="349">
        <v>0.10896601681957188</v>
      </c>
      <c r="D786487" s="349">
        <f t="shared" si="48"/>
        <v>0.19128029460560964</v>
      </c>
      <c r="E786487" s="349">
        <v>0.14628029460560965</v>
      </c>
      <c r="F786487" s="349">
        <v>0.25</v>
      </c>
    </row>
    <row r="786488" spans="1:6" ht="16">
      <c r="A786488" s="347" t="s">
        <v>277</v>
      </c>
      <c r="B786488" s="348" t="s">
        <v>579</v>
      </c>
      <c r="C786488" s="349">
        <v>8.1692501446400528E-2</v>
      </c>
      <c r="D786488" s="349">
        <f t="shared" si="48"/>
        <v>0.15466724789468733</v>
      </c>
      <c r="E786488" s="349">
        <v>0.10966724789468733</v>
      </c>
      <c r="F786488" s="349">
        <v>0.22500000000000001</v>
      </c>
    </row>
    <row r="786489" spans="1:6" ht="16">
      <c r="A786489" s="347" t="s">
        <v>364</v>
      </c>
      <c r="B786489" s="348" t="s">
        <v>689</v>
      </c>
      <c r="C786489" s="349">
        <v>0.10896601681957188</v>
      </c>
      <c r="D786489" s="349">
        <f t="shared" si="48"/>
        <v>0.19128029460560964</v>
      </c>
      <c r="E786489" s="349">
        <v>0.14628029460560965</v>
      </c>
      <c r="F786489" s="349">
        <v>0.3</v>
      </c>
    </row>
    <row r="786490" spans="1:6" ht="16">
      <c r="A786490" s="347" t="s">
        <v>278</v>
      </c>
      <c r="B786490" s="348" t="s">
        <v>585</v>
      </c>
      <c r="C786490" s="349">
        <v>7.6826803868088279E-3</v>
      </c>
      <c r="D786490" s="349">
        <f t="shared" si="48"/>
        <v>5.5313534284766833E-2</v>
      </c>
      <c r="E786490" s="349">
        <v>1.0313534284766834E-2</v>
      </c>
      <c r="F786490" s="349">
        <v>0.2</v>
      </c>
    </row>
    <row r="786491" spans="1:6" ht="16">
      <c r="A786491" s="347" t="s">
        <v>502</v>
      </c>
      <c r="B786491" s="348" t="s">
        <v>586</v>
      </c>
      <c r="C786491" s="349">
        <v>9.8082219604926024E-2</v>
      </c>
      <c r="D786491" s="349">
        <f t="shared" si="48"/>
        <v>0.17666945436885656</v>
      </c>
      <c r="E786491" s="349">
        <v>0.13166945436885658</v>
      </c>
      <c r="F786491" s="349">
        <v>0.3</v>
      </c>
    </row>
    <row r="786492" spans="1:6" ht="16">
      <c r="A786492" s="347" t="s">
        <v>853</v>
      </c>
      <c r="B786492" s="154" t="s">
        <v>687</v>
      </c>
      <c r="C786492" s="277">
        <v>4.2915086193622262E-2</v>
      </c>
      <c r="D786492" s="349">
        <f t="shared" si="48"/>
        <v>0.14861091058162493</v>
      </c>
      <c r="E786492" s="277">
        <v>0.10361091058162493</v>
      </c>
      <c r="F786492" s="277">
        <v>0.31595749426030023</v>
      </c>
    </row>
    <row r="786493" spans="1:6" ht="16">
      <c r="A786493" s="347" t="s">
        <v>279</v>
      </c>
      <c r="B786493" s="348" t="s">
        <v>569</v>
      </c>
      <c r="C786493" s="349">
        <v>4.9041109802463012E-2</v>
      </c>
      <c r="D786493" s="349">
        <f t="shared" si="48"/>
        <v>0.11083472718442829</v>
      </c>
      <c r="E786493" s="349">
        <v>6.5834727184428288E-2</v>
      </c>
      <c r="F786493" s="349">
        <v>0.2</v>
      </c>
    </row>
    <row r="786494" spans="1:6" ht="16">
      <c r="A786494" s="347" t="s">
        <v>280</v>
      </c>
      <c r="B786494" s="348" t="s">
        <v>575</v>
      </c>
      <c r="C786494" s="349">
        <v>4.3535188858583353E-3</v>
      </c>
      <c r="D786494" s="349">
        <f t="shared" si="48"/>
        <v>5.0844336094701202E-2</v>
      </c>
      <c r="E786494" s="349">
        <v>5.8443360947012038E-3</v>
      </c>
      <c r="F786494" s="349">
        <v>0.2</v>
      </c>
    </row>
    <row r="786495" spans="1:6" ht="16">
      <c r="A786495" s="347" t="s">
        <v>281</v>
      </c>
      <c r="B786495" s="348" t="s">
        <v>568</v>
      </c>
      <c r="C786495" s="349">
        <v>5.3778762707661788E-3</v>
      </c>
      <c r="D786495" s="349">
        <f t="shared" si="48"/>
        <v>5.2219473999336782E-2</v>
      </c>
      <c r="E786495" s="349">
        <v>7.219473999336784E-3</v>
      </c>
      <c r="F786495" s="349">
        <v>0.25</v>
      </c>
    </row>
    <row r="786496" spans="1:6" ht="16">
      <c r="A786496" s="347" t="s">
        <v>854</v>
      </c>
      <c r="B786496" s="154" t="s">
        <v>687</v>
      </c>
      <c r="C786496" s="277">
        <v>4.2915086193622262E-2</v>
      </c>
      <c r="D786496" s="349">
        <f t="shared" si="48"/>
        <v>0.14861091058162493</v>
      </c>
      <c r="E786496" s="277">
        <v>0.10361091058162493</v>
      </c>
      <c r="F786496" s="277">
        <v>0.31595749426030023</v>
      </c>
    </row>
    <row r="786497" spans="1:6" ht="16">
      <c r="A786497" s="347" t="s">
        <v>486</v>
      </c>
      <c r="B786497" s="348" t="s">
        <v>579</v>
      </c>
      <c r="C786497" s="349">
        <v>8.1692501446400528E-2</v>
      </c>
      <c r="D786497" s="349">
        <f t="shared" si="48"/>
        <v>0.15466724789468733</v>
      </c>
      <c r="E786497" s="349">
        <v>0.10966724789468733</v>
      </c>
      <c r="F786497" s="349">
        <v>0.3</v>
      </c>
    </row>
    <row r="786498" spans="1:6" ht="16">
      <c r="A786498" s="350" t="s">
        <v>588</v>
      </c>
      <c r="B786498" s="348" t="s">
        <v>687</v>
      </c>
      <c r="C786498" s="349">
        <v>4.9041109802463012E-2</v>
      </c>
      <c r="D786498" s="349">
        <f t="shared" si="48"/>
        <v>0.11083472718442829</v>
      </c>
      <c r="E786498" s="349">
        <v>6.5834727184428288E-2</v>
      </c>
      <c r="F786498" s="349">
        <v>0.31</v>
      </c>
    </row>
    <row r="786499" spans="1:6" ht="16">
      <c r="A786499" s="347" t="s">
        <v>365</v>
      </c>
      <c r="B786499" s="348" t="s">
        <v>576</v>
      </c>
      <c r="C786499" s="349">
        <v>3.2779436317050999E-2</v>
      </c>
      <c r="D786499" s="349">
        <f t="shared" si="48"/>
        <v>8.9004412948338496E-2</v>
      </c>
      <c r="E786499" s="349">
        <v>4.4004412948338498E-2</v>
      </c>
      <c r="F786499" s="349">
        <v>0.15</v>
      </c>
    </row>
    <row r="786500" spans="1:6" ht="16">
      <c r="A786500" s="347" t="s">
        <v>282</v>
      </c>
      <c r="B786500" s="348" t="s">
        <v>574</v>
      </c>
      <c r="C786500" s="349">
        <v>0</v>
      </c>
      <c r="D786500" s="349">
        <f t="shared" si="48"/>
        <v>4.4999999999999998E-2</v>
      </c>
      <c r="E786500" s="349">
        <v>0</v>
      </c>
      <c r="F786500" s="349">
        <v>0.3</v>
      </c>
    </row>
    <row r="786501" spans="1:6" ht="16">
      <c r="A786501" s="347" t="s">
        <v>487</v>
      </c>
      <c r="B786501" s="348" t="s">
        <v>689</v>
      </c>
      <c r="C786501" s="349">
        <v>0.10896601681957188</v>
      </c>
      <c r="D786501" s="349">
        <f t="shared" si="48"/>
        <v>0.19128029460560964</v>
      </c>
      <c r="E786501" s="349">
        <v>0.14628029460560965</v>
      </c>
      <c r="F786501" s="349">
        <v>0.25</v>
      </c>
    </row>
    <row r="786502" spans="1:6" ht="16">
      <c r="A786502" s="347" t="s">
        <v>855</v>
      </c>
      <c r="B786502" s="154" t="s">
        <v>687</v>
      </c>
      <c r="C786502" s="277">
        <v>9.5882201472833571E-3</v>
      </c>
      <c r="D786502" s="349">
        <f t="shared" ref="D786502:D786565" si="49">$B$1+E786502</f>
        <v>0.10387160629364336</v>
      </c>
      <c r="E786502" s="277">
        <v>5.8871606293643367E-2</v>
      </c>
      <c r="F786502" s="277">
        <v>0.24707349543413576</v>
      </c>
    </row>
    <row r="786503" spans="1:6" ht="16">
      <c r="A786503" s="347" t="s">
        <v>283</v>
      </c>
      <c r="B786503" s="348" t="s">
        <v>589</v>
      </c>
      <c r="C786503" s="349">
        <v>2.7273515373171343E-2</v>
      </c>
      <c r="D786503" s="349">
        <f t="shared" si="49"/>
        <v>8.161304671092226E-2</v>
      </c>
      <c r="E786503" s="349">
        <v>3.6613046710922262E-2</v>
      </c>
      <c r="F786503" s="349">
        <v>0.22</v>
      </c>
    </row>
    <row r="786504" spans="1:6" ht="16">
      <c r="A786504" s="347" t="s">
        <v>856</v>
      </c>
      <c r="B786504" s="154" t="s">
        <v>687</v>
      </c>
      <c r="C786504" s="277">
        <f>J786504</f>
        <v>0</v>
      </c>
      <c r="D786504" s="349">
        <f t="shared" si="49"/>
        <v>4.4999999999999998E-2</v>
      </c>
      <c r="E786504" s="277">
        <f>H786504</f>
        <v>0</v>
      </c>
      <c r="F786504" s="277">
        <f>K786504</f>
        <v>0</v>
      </c>
    </row>
    <row r="786505" spans="1:6" ht="16">
      <c r="A786505" s="347" t="s">
        <v>284</v>
      </c>
      <c r="B786505" s="348" t="s">
        <v>589</v>
      </c>
      <c r="C786505" s="349">
        <v>2.7273515373171343E-2</v>
      </c>
      <c r="D786505" s="349">
        <f t="shared" si="49"/>
        <v>8.161304671092226E-2</v>
      </c>
      <c r="E786505" s="349">
        <v>3.6613046710922262E-2</v>
      </c>
      <c r="F786505" s="349">
        <v>0.25</v>
      </c>
    </row>
    <row r="786506" spans="1:6" ht="16">
      <c r="A786506" s="347" t="s">
        <v>690</v>
      </c>
      <c r="B786506" s="348" t="s">
        <v>585</v>
      </c>
      <c r="C786506" s="349">
        <v>7.6826803868088279E-3</v>
      </c>
      <c r="D786506" s="349">
        <f t="shared" si="49"/>
        <v>5.5313534284766833E-2</v>
      </c>
      <c r="E786506" s="349">
        <v>1.0313534284766834E-2</v>
      </c>
      <c r="F786506" s="349">
        <v>0</v>
      </c>
    </row>
    <row r="786507" spans="1:6" ht="16">
      <c r="A786507" s="351" t="s">
        <v>590</v>
      </c>
      <c r="B786507" s="348" t="s">
        <v>687</v>
      </c>
      <c r="C786507" s="349">
        <v>9.8082219604926024E-2</v>
      </c>
      <c r="D786507" s="349">
        <f t="shared" si="49"/>
        <v>0.17666945436885656</v>
      </c>
      <c r="E786507" s="349">
        <v>0.13166945436885658</v>
      </c>
      <c r="F786507" s="349">
        <v>0.29149999999999998</v>
      </c>
    </row>
    <row r="786508" spans="1:6" ht="16">
      <c r="A786508" s="350" t="s">
        <v>591</v>
      </c>
      <c r="B786508" s="348" t="s">
        <v>687</v>
      </c>
      <c r="C786508" s="349">
        <v>5.9924907017108842E-2</v>
      </c>
      <c r="D786508" s="349">
        <f t="shared" si="49"/>
        <v>0.12544556742118129</v>
      </c>
      <c r="E786508" s="349">
        <v>8.0445567421181294E-2</v>
      </c>
      <c r="F786508" s="349">
        <v>0.29149999999999998</v>
      </c>
    </row>
    <row r="786509" spans="1:6" ht="16">
      <c r="A786509" s="351" t="s">
        <v>592</v>
      </c>
      <c r="B786509" s="348" t="s">
        <v>687</v>
      </c>
      <c r="C786509" s="349">
        <v>1.7414075543433345E-2</v>
      </c>
      <c r="D786509" s="349">
        <f t="shared" si="49"/>
        <v>6.8377344378804827E-2</v>
      </c>
      <c r="E786509" s="349">
        <v>2.3377344378804829E-2</v>
      </c>
      <c r="F786509" s="349">
        <v>0.18640000000000001</v>
      </c>
    </row>
    <row r="786510" spans="1:6" ht="16">
      <c r="A786510" s="350" t="s">
        <v>593</v>
      </c>
      <c r="B786510" s="348" t="s">
        <v>687</v>
      </c>
      <c r="C786510" s="349">
        <v>0.10896601681957191</v>
      </c>
      <c r="D786510" s="349">
        <f t="shared" si="49"/>
        <v>0.19128029460560964</v>
      </c>
      <c r="E786510" s="349">
        <v>0.14628029460560965</v>
      </c>
      <c r="F786510" s="349">
        <v>0.18640000000000001</v>
      </c>
    </row>
    <row r="786511" spans="1:6" ht="16">
      <c r="A786511" s="347" t="s">
        <v>285</v>
      </c>
      <c r="B786511" s="348" t="s">
        <v>569</v>
      </c>
      <c r="C786511" s="349">
        <v>4.9041109802463012E-2</v>
      </c>
      <c r="D786511" s="349">
        <f t="shared" si="49"/>
        <v>0.11083472718442829</v>
      </c>
      <c r="E786511" s="349">
        <v>6.5834727184428288E-2</v>
      </c>
      <c r="F786511" s="349">
        <v>0.25</v>
      </c>
    </row>
    <row r="786512" spans="1:6" ht="16">
      <c r="A786512" s="347" t="s">
        <v>286</v>
      </c>
      <c r="B786512" s="348" t="s">
        <v>580</v>
      </c>
      <c r="C786512" s="349">
        <v>6.5302783287875029E-3</v>
      </c>
      <c r="D786512" s="349">
        <f t="shared" si="49"/>
        <v>5.3766504142051808E-2</v>
      </c>
      <c r="E786512" s="349">
        <v>8.7665041420518092E-3</v>
      </c>
      <c r="F786512" s="349">
        <v>0.16500000000000001</v>
      </c>
    </row>
    <row r="786513" spans="1:6" ht="16">
      <c r="A786513" s="347" t="s">
        <v>287</v>
      </c>
      <c r="B786513" s="348" t="s">
        <v>571</v>
      </c>
      <c r="C786513" s="349">
        <v>2.0743237044383835E-2</v>
      </c>
      <c r="D786513" s="349">
        <f t="shared" si="49"/>
        <v>7.2846542568870451E-2</v>
      </c>
      <c r="E786513" s="349">
        <v>2.7846542568870453E-2</v>
      </c>
      <c r="F786513" s="349">
        <v>0.09</v>
      </c>
    </row>
    <row r="786514" spans="1:6" ht="16">
      <c r="A786514" s="347" t="s">
        <v>288</v>
      </c>
      <c r="B786514" s="348" t="s">
        <v>583</v>
      </c>
      <c r="C786514" s="349">
        <v>9.2192164641705932E-3</v>
      </c>
      <c r="D786514" s="349">
        <f t="shared" si="49"/>
        <v>5.73762411417202E-2</v>
      </c>
      <c r="E786514" s="349">
        <v>1.2376241141720201E-2</v>
      </c>
      <c r="F786514" s="349">
        <v>0.2</v>
      </c>
    </row>
    <row r="786515" spans="1:6" ht="16">
      <c r="A786515" s="347" t="s">
        <v>289</v>
      </c>
      <c r="B786515" s="348" t="s">
        <v>577</v>
      </c>
      <c r="C786515" s="349">
        <v>2.3944353872220846E-2</v>
      </c>
      <c r="D786515" s="349">
        <f t="shared" si="49"/>
        <v>7.7143848520856623E-2</v>
      </c>
      <c r="E786515" s="349">
        <v>3.2143848520856624E-2</v>
      </c>
      <c r="F786515" s="349">
        <v>0.3</v>
      </c>
    </row>
    <row r="786516" spans="1:6" ht="16">
      <c r="A786516" s="347" t="s">
        <v>290</v>
      </c>
      <c r="B786516" s="348" t="s">
        <v>571</v>
      </c>
      <c r="C786516" s="349">
        <v>2.0743237044383835E-2</v>
      </c>
      <c r="D786516" s="349">
        <f t="shared" si="49"/>
        <v>7.2846542568870451E-2</v>
      </c>
      <c r="E786516" s="349">
        <v>2.7846542568870453E-2</v>
      </c>
      <c r="F786516" s="349">
        <v>0.22</v>
      </c>
    </row>
    <row r="786517" spans="1:6" ht="16">
      <c r="A786517" s="351" t="s">
        <v>594</v>
      </c>
      <c r="B786517" s="348" t="s">
        <v>687</v>
      </c>
      <c r="C786517" s="349">
        <v>7.0808704231754685E-2</v>
      </c>
      <c r="D786517" s="349">
        <f t="shared" si="49"/>
        <v>0.14005640765793431</v>
      </c>
      <c r="E786517" s="349">
        <v>9.5056407657934314E-2</v>
      </c>
      <c r="F786517" s="349">
        <v>0.20230000000000001</v>
      </c>
    </row>
    <row r="786518" spans="1:6" ht="16">
      <c r="A786518" s="347" t="s">
        <v>559</v>
      </c>
      <c r="B786518" s="348" t="s">
        <v>579</v>
      </c>
      <c r="C786518" s="349">
        <v>8.1692501446400528E-2</v>
      </c>
      <c r="D786518" s="349">
        <f t="shared" si="49"/>
        <v>0.15466724789468733</v>
      </c>
      <c r="E786518" s="349">
        <v>0.10966724789468733</v>
      </c>
      <c r="F786518" s="349">
        <v>0.15</v>
      </c>
    </row>
    <row r="786519" spans="1:6" ht="16">
      <c r="A786519" s="347" t="s">
        <v>291</v>
      </c>
      <c r="B786519" s="348" t="s">
        <v>580</v>
      </c>
      <c r="C786519" s="349">
        <v>6.5302783287875029E-3</v>
      </c>
      <c r="D786519" s="349">
        <f t="shared" si="49"/>
        <v>5.3766504142051808E-2</v>
      </c>
      <c r="E786519" s="349">
        <v>8.7665041420518092E-3</v>
      </c>
      <c r="F786519" s="349">
        <v>0.125</v>
      </c>
    </row>
    <row r="786520" spans="1:6" ht="16">
      <c r="A786520" s="347" t="s">
        <v>292</v>
      </c>
      <c r="B786520" s="348" t="s">
        <v>580</v>
      </c>
      <c r="C786520" s="349">
        <v>6.5302783287875029E-3</v>
      </c>
      <c r="D786520" s="349">
        <f t="shared" si="49"/>
        <v>5.3766504142051808E-2</v>
      </c>
      <c r="E786520" s="349">
        <v>8.7665041420518092E-3</v>
      </c>
      <c r="F786520" s="349">
        <v>0</v>
      </c>
    </row>
    <row r="786521" spans="1:6" ht="16">
      <c r="A786521" s="347" t="s">
        <v>293</v>
      </c>
      <c r="B786521" s="348" t="s">
        <v>585</v>
      </c>
      <c r="C786521" s="349">
        <v>7.6826803868088279E-3</v>
      </c>
      <c r="D786521" s="349">
        <f t="shared" si="49"/>
        <v>5.5313534284766833E-2</v>
      </c>
      <c r="E786521" s="349">
        <v>1.0313534284766834E-2</v>
      </c>
      <c r="F786521" s="349">
        <v>0.23</v>
      </c>
    </row>
    <row r="786522" spans="1:6" ht="16">
      <c r="A786522" s="347" t="s">
        <v>294</v>
      </c>
      <c r="B786522" s="348" t="s">
        <v>577</v>
      </c>
      <c r="C786522" s="349">
        <v>2.3944353872220846E-2</v>
      </c>
      <c r="D786522" s="349">
        <f t="shared" si="49"/>
        <v>7.7143848520856623E-2</v>
      </c>
      <c r="E786522" s="349">
        <v>3.2143848520856624E-2</v>
      </c>
      <c r="F786522" s="349">
        <v>0.24</v>
      </c>
    </row>
    <row r="786523" spans="1:6" ht="16">
      <c r="A786523" s="347" t="s">
        <v>857</v>
      </c>
      <c r="B786523" s="348" t="s">
        <v>578</v>
      </c>
      <c r="C786523" s="349">
        <v>3.9181669972725021E-2</v>
      </c>
      <c r="D786523" s="349">
        <f t="shared" si="49"/>
        <v>9.7599024852310853E-2</v>
      </c>
      <c r="E786523" s="349">
        <v>5.2599024852310855E-2</v>
      </c>
      <c r="F786523" s="349">
        <v>0.25</v>
      </c>
    </row>
    <row r="786524" spans="1:6" ht="16">
      <c r="A786524" s="347" t="s">
        <v>295</v>
      </c>
      <c r="B786524" s="348" t="s">
        <v>569</v>
      </c>
      <c r="C786524" s="349">
        <v>4.9041109802463012E-2</v>
      </c>
      <c r="D786524" s="349">
        <f t="shared" si="49"/>
        <v>0.11083472718442829</v>
      </c>
      <c r="E786524" s="349">
        <v>6.5834727184428288E-2</v>
      </c>
      <c r="F786524" s="349">
        <v>0.25</v>
      </c>
    </row>
    <row r="786525" spans="1:6" ht="16">
      <c r="A786525" s="347" t="s">
        <v>296</v>
      </c>
      <c r="B786525" s="348" t="s">
        <v>585</v>
      </c>
      <c r="C786525" s="349">
        <v>7.6826803868088279E-3</v>
      </c>
      <c r="D786525" s="349">
        <f t="shared" si="49"/>
        <v>5.5313534284766833E-2</v>
      </c>
      <c r="E786525" s="349">
        <v>1.0313534284766834E-2</v>
      </c>
      <c r="F786525" s="349">
        <v>0.30620000000000003</v>
      </c>
    </row>
    <row r="786526" spans="1:6" ht="16">
      <c r="A786526" s="347" t="s">
        <v>691</v>
      </c>
      <c r="B786526" s="348" t="s">
        <v>580</v>
      </c>
      <c r="C786526" s="349">
        <v>6.5302783287875029E-3</v>
      </c>
      <c r="D786526" s="349">
        <f t="shared" si="49"/>
        <v>5.3766504142051808E-2</v>
      </c>
      <c r="E786526" s="349">
        <v>8.7665041420518092E-3</v>
      </c>
      <c r="F786526" s="349">
        <v>0</v>
      </c>
    </row>
    <row r="786527" spans="1:6" ht="16">
      <c r="A786527" s="347" t="s">
        <v>297</v>
      </c>
      <c r="B786527" s="348" t="s">
        <v>569</v>
      </c>
      <c r="C786527" s="349">
        <v>4.9041109802463012E-2</v>
      </c>
      <c r="D786527" s="349">
        <f t="shared" si="49"/>
        <v>0.11083472718442829</v>
      </c>
      <c r="E786527" s="349">
        <v>6.5834727184428288E-2</v>
      </c>
      <c r="F786527" s="349">
        <v>0.2</v>
      </c>
    </row>
    <row r="786528" spans="1:6" ht="16">
      <c r="A786528" s="347" t="s">
        <v>298</v>
      </c>
      <c r="B786528" s="348" t="s">
        <v>571</v>
      </c>
      <c r="C786528" s="349">
        <v>2.0743237044383835E-2</v>
      </c>
      <c r="D786528" s="349">
        <f t="shared" si="49"/>
        <v>7.2846542568870451E-2</v>
      </c>
      <c r="E786528" s="349">
        <v>2.7846542568870453E-2</v>
      </c>
      <c r="F786528" s="349">
        <v>0.2</v>
      </c>
    </row>
    <row r="786529" spans="1:6" ht="16">
      <c r="A786529" s="347" t="s">
        <v>429</v>
      </c>
      <c r="B786529" s="348" t="s">
        <v>581</v>
      </c>
      <c r="C786529" s="349">
        <v>7.0808704231754685E-2</v>
      </c>
      <c r="D786529" s="349">
        <f t="shared" si="49"/>
        <v>0.14005640765793431</v>
      </c>
      <c r="E786529" s="349">
        <v>9.5056407657934314E-2</v>
      </c>
      <c r="F786529" s="349">
        <v>0.3</v>
      </c>
    </row>
    <row r="786530" spans="1:6" ht="16">
      <c r="A786530" s="350" t="s">
        <v>595</v>
      </c>
      <c r="B786530" s="348" t="s">
        <v>687</v>
      </c>
      <c r="C786530" s="349">
        <v>0.17499999999999999</v>
      </c>
      <c r="D786530" s="349">
        <f t="shared" si="49"/>
        <v>0.27992692770782934</v>
      </c>
      <c r="E786530" s="349">
        <v>0.23492692770782936</v>
      </c>
      <c r="F786530" s="349">
        <v>0.23100000000000001</v>
      </c>
    </row>
    <row r="786531" spans="1:6" ht="16">
      <c r="A786531" s="347" t="s">
        <v>299</v>
      </c>
      <c r="B786531" s="348" t="s">
        <v>585</v>
      </c>
      <c r="C786531" s="349">
        <v>7.6826803868088279E-3</v>
      </c>
      <c r="D786531" s="349">
        <f t="shared" si="49"/>
        <v>5.5313534284766833E-2</v>
      </c>
      <c r="E786531" s="349">
        <v>1.0313534284766834E-2</v>
      </c>
      <c r="F786531" s="349">
        <v>0.15</v>
      </c>
    </row>
    <row r="786532" spans="1:6" ht="16">
      <c r="A786532" s="347" t="s">
        <v>488</v>
      </c>
      <c r="B786532" s="348" t="s">
        <v>581</v>
      </c>
      <c r="C786532" s="349">
        <v>7.0808704231754685E-2</v>
      </c>
      <c r="D786532" s="349">
        <f t="shared" si="49"/>
        <v>0.14005640765793431</v>
      </c>
      <c r="E786532" s="349">
        <v>9.5056407657934314E-2</v>
      </c>
      <c r="F786532" s="349">
        <v>0.1</v>
      </c>
    </row>
    <row r="786533" spans="1:6" ht="16">
      <c r="A786533" s="347" t="s">
        <v>622</v>
      </c>
      <c r="B786533" s="348" t="s">
        <v>689</v>
      </c>
      <c r="C786533" s="349">
        <v>0.10896601681957188</v>
      </c>
      <c r="D786533" s="349">
        <f t="shared" si="49"/>
        <v>0.19128029460560964</v>
      </c>
      <c r="E786533" s="349">
        <v>0.14628029460560965</v>
      </c>
      <c r="F786533" s="349">
        <v>0.26860000000000001</v>
      </c>
    </row>
    <row r="786534" spans="1:6" ht="16">
      <c r="A786534" s="347" t="s">
        <v>300</v>
      </c>
      <c r="B786534" s="348" t="s">
        <v>587</v>
      </c>
      <c r="C786534" s="349">
        <v>1.3060556657575006E-2</v>
      </c>
      <c r="D786534" s="349">
        <f t="shared" si="49"/>
        <v>6.2533008284103617E-2</v>
      </c>
      <c r="E786534" s="349">
        <v>1.7533008284103618E-2</v>
      </c>
      <c r="F786534" s="349">
        <v>0.2</v>
      </c>
    </row>
    <row r="786535" spans="1:6" ht="16">
      <c r="A786535" s="347" t="s">
        <v>366</v>
      </c>
      <c r="B786535" s="348" t="s">
        <v>615</v>
      </c>
      <c r="C786535" s="349">
        <v>0.17499999999999999</v>
      </c>
      <c r="D786535" s="349">
        <f t="shared" si="49"/>
        <v>0.27992692770782934</v>
      </c>
      <c r="E786535" s="349">
        <v>0.23492692770782936</v>
      </c>
      <c r="F786535" s="349">
        <v>0.17</v>
      </c>
    </row>
    <row r="786536" spans="1:6" ht="16">
      <c r="A786536" s="351" t="s">
        <v>596</v>
      </c>
      <c r="B786536" s="348" t="s">
        <v>687</v>
      </c>
      <c r="C786536" s="349">
        <v>0.13073361124886354</v>
      </c>
      <c r="D786536" s="349">
        <f t="shared" si="49"/>
        <v>0.22050197507911562</v>
      </c>
      <c r="E786536" s="349">
        <v>0.17550197507911564</v>
      </c>
      <c r="F786536" s="349">
        <v>0.29149999999999998</v>
      </c>
    </row>
    <row r="786537" spans="1:6" ht="16">
      <c r="A786537" s="350" t="s">
        <v>597</v>
      </c>
      <c r="B786537" s="348" t="s">
        <v>687</v>
      </c>
      <c r="C786537" s="349">
        <v>2.0743237044383835E-2</v>
      </c>
      <c r="D786537" s="349">
        <f t="shared" si="49"/>
        <v>7.2846542568870451E-2</v>
      </c>
      <c r="E786537" s="349">
        <v>2.7846542568870453E-2</v>
      </c>
      <c r="F786537" s="349">
        <v>0.2</v>
      </c>
    </row>
    <row r="786538" spans="1:6" ht="16">
      <c r="A786538" s="347" t="s">
        <v>301</v>
      </c>
      <c r="B786538" s="348" t="s">
        <v>574</v>
      </c>
      <c r="C786538" s="349">
        <v>0</v>
      </c>
      <c r="D786538" s="349">
        <f t="shared" si="49"/>
        <v>4.4999999999999998E-2</v>
      </c>
      <c r="E786538" s="349">
        <v>0</v>
      </c>
      <c r="F786538" s="349">
        <v>0.125</v>
      </c>
    </row>
    <row r="786539" spans="1:6" ht="16">
      <c r="A786539" s="347" t="s">
        <v>302</v>
      </c>
      <c r="B786539" s="348" t="s">
        <v>583</v>
      </c>
      <c r="C786539" s="349">
        <v>9.2192164641705932E-3</v>
      </c>
      <c r="D786539" s="349">
        <f t="shared" si="49"/>
        <v>5.73762411417202E-2</v>
      </c>
      <c r="E786539" s="349">
        <v>1.2376241141720201E-2</v>
      </c>
      <c r="F786539" s="349">
        <v>0.15</v>
      </c>
    </row>
    <row r="786540" spans="1:6" ht="16">
      <c r="A786540" s="347" t="s">
        <v>303</v>
      </c>
      <c r="B786540" s="348" t="s">
        <v>574</v>
      </c>
      <c r="C786540" s="349">
        <v>0</v>
      </c>
      <c r="D786540" s="349">
        <f t="shared" si="49"/>
        <v>4.4999999999999998E-2</v>
      </c>
      <c r="E786540" s="349">
        <v>0</v>
      </c>
      <c r="F786540" s="349">
        <v>0.24940000000000001</v>
      </c>
    </row>
    <row r="786541" spans="1:6" ht="16">
      <c r="A786541" s="347" t="s">
        <v>858</v>
      </c>
      <c r="B786541" s="348" t="s">
        <v>580</v>
      </c>
      <c r="C786541" s="349">
        <v>6.5302783287875029E-3</v>
      </c>
      <c r="D786541" s="349">
        <f t="shared" si="49"/>
        <v>5.3766504142051808E-2</v>
      </c>
      <c r="E786541" s="349">
        <v>8.7665041420518092E-3</v>
      </c>
      <c r="F786541" s="349">
        <v>0.26860000000000001</v>
      </c>
    </row>
    <row r="786542" spans="1:6" ht="16">
      <c r="A786542" s="347" t="s">
        <v>304</v>
      </c>
      <c r="B786542" s="348" t="s">
        <v>578</v>
      </c>
      <c r="C786542" s="349">
        <v>3.9181669972725021E-2</v>
      </c>
      <c r="D786542" s="349">
        <f t="shared" si="49"/>
        <v>9.7599024852310853E-2</v>
      </c>
      <c r="E786542" s="349">
        <v>5.2599024852310855E-2</v>
      </c>
      <c r="F786542" s="349">
        <v>0.1</v>
      </c>
    </row>
    <row r="786543" spans="1:6" ht="16">
      <c r="A786543" s="351" t="s">
        <v>598</v>
      </c>
      <c r="B786543" s="348" t="s">
        <v>687</v>
      </c>
      <c r="C786543" s="349">
        <v>7.0808704231754685E-2</v>
      </c>
      <c r="D786543" s="349">
        <f t="shared" si="49"/>
        <v>0.14005640765793431</v>
      </c>
      <c r="E786543" s="349">
        <v>9.5056407657934314E-2</v>
      </c>
      <c r="F786543" s="349">
        <v>0.2</v>
      </c>
    </row>
    <row r="786544" spans="1:6" ht="16">
      <c r="A786544" s="350" t="s">
        <v>599</v>
      </c>
      <c r="B786544" s="348" t="s">
        <v>687</v>
      </c>
      <c r="C786544" s="349">
        <v>0.13073361124886354</v>
      </c>
      <c r="D786544" s="349">
        <f t="shared" si="49"/>
        <v>0.22050197507911562</v>
      </c>
      <c r="E786544" s="349">
        <v>0.17550197507911564</v>
      </c>
      <c r="F786544" s="349">
        <v>0.3</v>
      </c>
    </row>
    <row r="786545" spans="1:6" ht="16">
      <c r="A786545" s="347" t="s">
        <v>305</v>
      </c>
      <c r="B786545" s="348" t="s">
        <v>587</v>
      </c>
      <c r="C786545" s="349">
        <v>1.3060556657575006E-2</v>
      </c>
      <c r="D786545" s="349">
        <f t="shared" si="49"/>
        <v>6.2533008284103617E-2</v>
      </c>
      <c r="E786545" s="349">
        <v>1.7533008284103618E-2</v>
      </c>
      <c r="F786545" s="349">
        <v>0.24</v>
      </c>
    </row>
    <row r="786546" spans="1:6" ht="16">
      <c r="A786546" s="347" t="s">
        <v>692</v>
      </c>
      <c r="B786546" s="348" t="s">
        <v>579</v>
      </c>
      <c r="C786546" s="349">
        <v>8.1692501446400528E-2</v>
      </c>
      <c r="D786546" s="349">
        <f t="shared" si="49"/>
        <v>0.15466724789468733</v>
      </c>
      <c r="E786546" s="349">
        <v>0.10966724789468733</v>
      </c>
      <c r="F786546" s="349">
        <v>0.26860000000000001</v>
      </c>
    </row>
    <row r="786547" spans="1:6" ht="16">
      <c r="A786547" s="347" t="s">
        <v>600</v>
      </c>
      <c r="B786547" s="348" t="s">
        <v>586</v>
      </c>
      <c r="C786547" s="349">
        <v>9.8082219604926024E-2</v>
      </c>
      <c r="D786547" s="349">
        <f t="shared" si="49"/>
        <v>0.17666945436885656</v>
      </c>
      <c r="E786547" s="349">
        <v>0.13166945436885658</v>
      </c>
      <c r="F786547" s="349">
        <v>0.26860000000000001</v>
      </c>
    </row>
    <row r="786548" spans="1:6" ht="16">
      <c r="A786548" s="347" t="s">
        <v>306</v>
      </c>
      <c r="B786548" s="348" t="s">
        <v>583</v>
      </c>
      <c r="C786548" s="349">
        <v>9.2192164641705932E-3</v>
      </c>
      <c r="D786548" s="349">
        <f t="shared" si="49"/>
        <v>5.73762411417202E-2</v>
      </c>
      <c r="E786548" s="349">
        <v>1.2376241141720201E-2</v>
      </c>
      <c r="F786548" s="349">
        <v>0.35</v>
      </c>
    </row>
    <row r="786549" spans="1:6" ht="16">
      <c r="A786549" s="347" t="s">
        <v>859</v>
      </c>
      <c r="B786549" s="154" t="s">
        <v>687</v>
      </c>
      <c r="C786549" s="277">
        <f>J786549</f>
        <v>0</v>
      </c>
      <c r="D786549" s="349">
        <f t="shared" si="49"/>
        <v>4.4999999999999998E-2</v>
      </c>
      <c r="E786549" s="277">
        <f>H786549</f>
        <v>0</v>
      </c>
      <c r="F786549" s="277">
        <f>K786549</f>
        <v>0</v>
      </c>
    </row>
    <row r="786550" spans="1:6" ht="16">
      <c r="A786550" s="347" t="s">
        <v>307</v>
      </c>
      <c r="B786550" s="348" t="s">
        <v>577</v>
      </c>
      <c r="C786550" s="349">
        <v>2.3944353872220846E-2</v>
      </c>
      <c r="D786550" s="349">
        <f t="shared" si="49"/>
        <v>7.7143848520856623E-2</v>
      </c>
      <c r="E786550" s="349">
        <v>3.2143848520856624E-2</v>
      </c>
      <c r="F786550" s="349">
        <v>0.15</v>
      </c>
    </row>
    <row r="786551" spans="1:6" ht="16">
      <c r="A786551" s="347" t="s">
        <v>308</v>
      </c>
      <c r="B786551" s="348" t="s">
        <v>571</v>
      </c>
      <c r="C786551" s="349">
        <v>2.0743237044383835E-2</v>
      </c>
      <c r="D786551" s="349">
        <f t="shared" si="49"/>
        <v>7.2846542568870451E-2</v>
      </c>
      <c r="E786551" s="349">
        <v>2.7846542568870453E-2</v>
      </c>
      <c r="F786551" s="349">
        <v>0.3</v>
      </c>
    </row>
    <row r="786552" spans="1:6" ht="16">
      <c r="A786552" s="347" t="s">
        <v>860</v>
      </c>
      <c r="B786552" s="154" t="s">
        <v>687</v>
      </c>
      <c r="C786552" s="277">
        <v>9.5882201472833571E-3</v>
      </c>
      <c r="D786552" s="349">
        <f t="shared" si="49"/>
        <v>0.10387160629364336</v>
      </c>
      <c r="E786552" s="277">
        <v>5.8871606293643367E-2</v>
      </c>
      <c r="F786552" s="277">
        <v>0.24707349543413576</v>
      </c>
    </row>
    <row r="786553" spans="1:6" ht="16">
      <c r="A786553" s="347" t="s">
        <v>367</v>
      </c>
      <c r="B786553" s="348" t="s">
        <v>581</v>
      </c>
      <c r="C786553" s="349">
        <v>7.0808704231754685E-2</v>
      </c>
      <c r="D786553" s="349">
        <f t="shared" si="49"/>
        <v>0.14005640765793431</v>
      </c>
      <c r="E786553" s="349">
        <v>9.5056407657934314E-2</v>
      </c>
      <c r="F786553" s="349">
        <v>0.12</v>
      </c>
    </row>
    <row r="786554" spans="1:6" ht="16">
      <c r="A786554" s="347" t="s">
        <v>368</v>
      </c>
      <c r="B786554" s="348" t="s">
        <v>581</v>
      </c>
      <c r="C786554" s="349">
        <v>7.0808704231754685E-2</v>
      </c>
      <c r="D786554" s="349">
        <f t="shared" si="49"/>
        <v>0.14005640765793431</v>
      </c>
      <c r="E786554" s="349">
        <v>9.5056407657934314E-2</v>
      </c>
      <c r="F786554" s="349">
        <v>0.25</v>
      </c>
    </row>
    <row r="786555" spans="1:6" ht="16">
      <c r="A786555" s="347" t="s">
        <v>309</v>
      </c>
      <c r="B786555" s="348" t="s">
        <v>569</v>
      </c>
      <c r="C786555" s="349">
        <v>4.9041109802463012E-2</v>
      </c>
      <c r="D786555" s="349">
        <f t="shared" si="49"/>
        <v>0.11083472718442829</v>
      </c>
      <c r="E786555" s="349">
        <v>6.5834727184428288E-2</v>
      </c>
      <c r="F786555" s="349">
        <v>0.15</v>
      </c>
    </row>
    <row r="786556" spans="1:6" ht="16">
      <c r="A786556" s="347" t="s">
        <v>489</v>
      </c>
      <c r="B786556" s="348" t="s">
        <v>577</v>
      </c>
      <c r="C786556" s="349">
        <v>2.3944353872220846E-2</v>
      </c>
      <c r="D786556" s="349">
        <f t="shared" si="49"/>
        <v>7.7143848520856623E-2</v>
      </c>
      <c r="E786556" s="349">
        <v>3.2143848520856624E-2</v>
      </c>
      <c r="F786556" s="349">
        <v>0.2853</v>
      </c>
    </row>
    <row r="786557" spans="1:6" ht="16">
      <c r="A786557" s="347" t="s">
        <v>369</v>
      </c>
      <c r="B786557" s="348" t="s">
        <v>589</v>
      </c>
      <c r="C786557" s="349">
        <v>2.7273515373171343E-2</v>
      </c>
      <c r="D786557" s="349">
        <f t="shared" si="49"/>
        <v>8.161304671092226E-2</v>
      </c>
      <c r="E786557" s="349">
        <v>3.6613046710922262E-2</v>
      </c>
      <c r="F786557" s="349">
        <v>0.32</v>
      </c>
    </row>
    <row r="786558" spans="1:6" ht="16">
      <c r="A786558" s="347" t="s">
        <v>310</v>
      </c>
      <c r="B786558" s="348" t="s">
        <v>586</v>
      </c>
      <c r="C786558" s="349">
        <v>9.8082219604926024E-2</v>
      </c>
      <c r="D786558" s="349">
        <f t="shared" si="49"/>
        <v>0.17666945436885656</v>
      </c>
      <c r="E786558" s="349">
        <v>0.13166945436885658</v>
      </c>
      <c r="F786558" s="349">
        <v>0.32</v>
      </c>
    </row>
    <row r="786559" spans="1:6" ht="16">
      <c r="A786559" s="351" t="s">
        <v>601</v>
      </c>
      <c r="B786559" s="348" t="s">
        <v>687</v>
      </c>
      <c r="C786559" s="349">
        <v>0.10896601681957191</v>
      </c>
      <c r="D786559" s="349">
        <f t="shared" si="49"/>
        <v>0.19128029460560964</v>
      </c>
      <c r="E786559" s="349">
        <v>0.14628029460560965</v>
      </c>
      <c r="F786559" s="349">
        <v>0.25</v>
      </c>
    </row>
    <row r="786560" spans="1:6" ht="16">
      <c r="A786560" s="347" t="s">
        <v>311</v>
      </c>
      <c r="B786560" s="348" t="s">
        <v>569</v>
      </c>
      <c r="C786560" s="349">
        <v>4.9041109802463012E-2</v>
      </c>
      <c r="D786560" s="349">
        <f t="shared" si="49"/>
        <v>0.11083472718442829</v>
      </c>
      <c r="E786560" s="349">
        <v>6.5834727184428288E-2</v>
      </c>
      <c r="F786560" s="349">
        <v>0.32</v>
      </c>
    </row>
    <row r="786561" spans="1:6" ht="16">
      <c r="A786561" s="347" t="s">
        <v>312</v>
      </c>
      <c r="B786561" s="348" t="s">
        <v>574</v>
      </c>
      <c r="C786561" s="349">
        <v>0</v>
      </c>
      <c r="D786561" s="349">
        <f t="shared" si="49"/>
        <v>4.4999999999999998E-2</v>
      </c>
      <c r="E786561" s="349">
        <v>0</v>
      </c>
      <c r="F786561" s="349">
        <v>0.25800000000000001</v>
      </c>
    </row>
    <row r="786562" spans="1:6" ht="16">
      <c r="A786562" s="347" t="s">
        <v>861</v>
      </c>
      <c r="B786562" s="154" t="s">
        <v>687</v>
      </c>
      <c r="C786562" s="277">
        <v>0.1054310997313879</v>
      </c>
      <c r="D786562" s="349">
        <f t="shared" si="49"/>
        <v>0.23253488197001548</v>
      </c>
      <c r="E786562" s="277">
        <v>0.1875348819700155</v>
      </c>
      <c r="F786562" s="277">
        <v>0.2724561140242252</v>
      </c>
    </row>
    <row r="786563" spans="1:6" ht="16">
      <c r="A786563" s="347" t="s">
        <v>313</v>
      </c>
      <c r="B786563" s="348" t="s">
        <v>574</v>
      </c>
      <c r="C786563" s="349">
        <v>0</v>
      </c>
      <c r="D786563" s="349">
        <f t="shared" si="49"/>
        <v>4.4999999999999998E-2</v>
      </c>
      <c r="E786563" s="349">
        <v>0</v>
      </c>
      <c r="F786563" s="349">
        <v>0.28000000000000003</v>
      </c>
    </row>
    <row r="786564" spans="1:6" ht="16">
      <c r="A786564" s="347" t="s">
        <v>370</v>
      </c>
      <c r="B786564" s="348" t="s">
        <v>581</v>
      </c>
      <c r="C786564" s="349">
        <v>7.0808704231754685E-2</v>
      </c>
      <c r="D786564" s="349">
        <f t="shared" si="49"/>
        <v>0.14005640765793431</v>
      </c>
      <c r="E786564" s="349">
        <v>9.5056407657934314E-2</v>
      </c>
      <c r="F786564" s="349">
        <v>0.3</v>
      </c>
    </row>
    <row r="786565" spans="1:6" ht="16">
      <c r="A786565" s="347" t="s">
        <v>602</v>
      </c>
      <c r="B786565" s="348" t="s">
        <v>586</v>
      </c>
      <c r="C786565" s="349">
        <v>9.8082219604926024E-2</v>
      </c>
      <c r="D786565" s="349">
        <f t="shared" si="49"/>
        <v>0.17666945436885656</v>
      </c>
      <c r="E786565" s="349">
        <v>0.13166945436885658</v>
      </c>
      <c r="F786565" s="349">
        <v>0.26860000000000001</v>
      </c>
    </row>
    <row r="786566" spans="1:6" ht="16">
      <c r="A786566" s="347" t="s">
        <v>314</v>
      </c>
      <c r="B786566" s="348" t="s">
        <v>579</v>
      </c>
      <c r="C786566" s="349">
        <v>8.1692501446400528E-2</v>
      </c>
      <c r="D786566" s="349">
        <f t="shared" ref="D786566:D786627" si="50">$B$1+E786566</f>
        <v>0.15466724789468733</v>
      </c>
      <c r="E786566" s="349">
        <v>0.10966724789468733</v>
      </c>
      <c r="F786566" s="349">
        <v>0.3</v>
      </c>
    </row>
    <row r="786567" spans="1:6" ht="16">
      <c r="A786567" s="347" t="s">
        <v>315</v>
      </c>
      <c r="B786567" s="348" t="s">
        <v>574</v>
      </c>
      <c r="C786567" s="349">
        <v>0</v>
      </c>
      <c r="D786567" s="349">
        <f t="shared" si="50"/>
        <v>4.4999999999999998E-2</v>
      </c>
      <c r="E786567" s="349">
        <v>0</v>
      </c>
      <c r="F786567" s="349">
        <v>0.22</v>
      </c>
    </row>
    <row r="786568" spans="1:6" ht="16">
      <c r="A786568" s="347" t="s">
        <v>316</v>
      </c>
      <c r="B786568" s="348" t="s">
        <v>589</v>
      </c>
      <c r="C786568" s="349">
        <v>2.7273515373171343E-2</v>
      </c>
      <c r="D786568" s="349">
        <f t="shared" si="50"/>
        <v>8.161304671092226E-2</v>
      </c>
      <c r="E786568" s="349">
        <v>3.6613046710922262E-2</v>
      </c>
      <c r="F786568" s="349">
        <v>0.15</v>
      </c>
    </row>
    <row r="786569" spans="1:6" ht="16">
      <c r="A786569" s="347" t="s">
        <v>317</v>
      </c>
      <c r="B786569" s="348" t="s">
        <v>689</v>
      </c>
      <c r="C786569" s="349">
        <v>0.10896601681957188</v>
      </c>
      <c r="D786569" s="349">
        <f t="shared" si="50"/>
        <v>0.19128029460560964</v>
      </c>
      <c r="E786569" s="349">
        <v>0.14628029460560965</v>
      </c>
      <c r="F786569" s="349">
        <v>0.28999999999999998</v>
      </c>
    </row>
    <row r="786570" spans="1:6" ht="16">
      <c r="A786570" s="347" t="s">
        <v>862</v>
      </c>
      <c r="B786570" s="154" t="s">
        <v>687</v>
      </c>
      <c r="C786570" s="277">
        <v>1.6082653627874467E-2</v>
      </c>
      <c r="D786570" s="349">
        <f t="shared" si="50"/>
        <v>0.11258999089248985</v>
      </c>
      <c r="E786570" s="277">
        <v>6.7589990892489848E-2</v>
      </c>
      <c r="F786570" s="277">
        <v>0.18760152153615242</v>
      </c>
    </row>
    <row r="786571" spans="1:6" ht="16">
      <c r="A786571" s="347" t="s">
        <v>318</v>
      </c>
      <c r="B786571" s="348" t="s">
        <v>571</v>
      </c>
      <c r="C786571" s="349">
        <v>2.0743237044383835E-2</v>
      </c>
      <c r="D786571" s="349">
        <f t="shared" si="50"/>
        <v>7.2846542568870451E-2</v>
      </c>
      <c r="E786571" s="349">
        <v>2.7846542568870453E-2</v>
      </c>
      <c r="F786571" s="349">
        <v>0.25</v>
      </c>
    </row>
    <row r="786572" spans="1:6" ht="16">
      <c r="A786572" s="347" t="s">
        <v>319</v>
      </c>
      <c r="B786572" s="348" t="s">
        <v>572</v>
      </c>
      <c r="C786572" s="349">
        <v>5.9924907017108855E-2</v>
      </c>
      <c r="D786572" s="349">
        <f t="shared" si="50"/>
        <v>0.12544556742118129</v>
      </c>
      <c r="E786572" s="349">
        <v>8.0445567421181294E-2</v>
      </c>
      <c r="F786572" s="349">
        <v>0.3</v>
      </c>
    </row>
    <row r="786573" spans="1:6" ht="16">
      <c r="A786573" s="347" t="s">
        <v>320</v>
      </c>
      <c r="B786573" s="348" t="s">
        <v>589</v>
      </c>
      <c r="C786573" s="349">
        <v>2.7273515373171343E-2</v>
      </c>
      <c r="D786573" s="349">
        <f t="shared" si="50"/>
        <v>8.161304671092226E-2</v>
      </c>
      <c r="E786573" s="349">
        <v>3.6613046710922262E-2</v>
      </c>
      <c r="F786573" s="349">
        <v>0.1</v>
      </c>
    </row>
    <row r="786574" spans="1:6" ht="16">
      <c r="A786574" s="347" t="s">
        <v>321</v>
      </c>
      <c r="B786574" s="348" t="s">
        <v>573</v>
      </c>
      <c r="C786574" s="349">
        <v>1.7414075543433341E-2</v>
      </c>
      <c r="D786574" s="349">
        <f t="shared" si="50"/>
        <v>6.8377344378804827E-2</v>
      </c>
      <c r="E786574" s="349">
        <v>2.3377344378804829E-2</v>
      </c>
      <c r="F786574" s="349">
        <v>0.29499999999999998</v>
      </c>
    </row>
    <row r="786575" spans="1:6" ht="16">
      <c r="A786575" s="347" t="s">
        <v>322</v>
      </c>
      <c r="B786575" s="348" t="s">
        <v>571</v>
      </c>
      <c r="C786575" s="349">
        <v>2.0743237044383835E-2</v>
      </c>
      <c r="D786575" s="349">
        <f t="shared" si="50"/>
        <v>7.2846542568870451E-2</v>
      </c>
      <c r="E786575" s="349">
        <v>2.7846542568870453E-2</v>
      </c>
      <c r="F786575" s="349">
        <v>0.25</v>
      </c>
    </row>
    <row r="786576" spans="1:6" ht="16">
      <c r="A786576" s="347" t="s">
        <v>323</v>
      </c>
      <c r="B786576" s="348" t="s">
        <v>583</v>
      </c>
      <c r="C786576" s="349">
        <v>9.2192164641705932E-3</v>
      </c>
      <c r="D786576" s="349">
        <f t="shared" si="50"/>
        <v>5.73762411417202E-2</v>
      </c>
      <c r="E786576" s="349">
        <v>1.2376241141720201E-2</v>
      </c>
      <c r="F786576" s="349">
        <v>0.19</v>
      </c>
    </row>
    <row r="786577" spans="1:6" ht="16">
      <c r="A786577" s="347" t="s">
        <v>324</v>
      </c>
      <c r="B786577" s="348" t="s">
        <v>587</v>
      </c>
      <c r="C786577" s="349">
        <v>1.3060556657575006E-2</v>
      </c>
      <c r="D786577" s="349">
        <f t="shared" si="50"/>
        <v>6.2533008284103617E-2</v>
      </c>
      <c r="E786577" s="349">
        <v>1.7533008284103618E-2</v>
      </c>
      <c r="F786577" s="349">
        <v>0.21</v>
      </c>
    </row>
    <row r="786578" spans="1:6" ht="16">
      <c r="A786578" s="347" t="s">
        <v>325</v>
      </c>
      <c r="B786578" s="348" t="s">
        <v>580</v>
      </c>
      <c r="C786578" s="349">
        <v>6.5302783287875029E-3</v>
      </c>
      <c r="D786578" s="349">
        <f t="shared" si="50"/>
        <v>5.3766504142051808E-2</v>
      </c>
      <c r="E786578" s="349">
        <v>8.7665041420518092E-3</v>
      </c>
      <c r="F786578" s="349">
        <v>0.1</v>
      </c>
    </row>
    <row r="786579" spans="1:6" ht="16">
      <c r="A786579" s="347" t="s">
        <v>503</v>
      </c>
      <c r="B786579" s="348" t="s">
        <v>587</v>
      </c>
      <c r="C786579" s="349">
        <v>1.3060556657575006E-2</v>
      </c>
      <c r="D786579" s="349">
        <f t="shared" si="50"/>
        <v>6.2533008284103617E-2</v>
      </c>
      <c r="E786579" s="349">
        <v>1.7533008284103618E-2</v>
      </c>
      <c r="F786579" s="349">
        <v>0</v>
      </c>
    </row>
    <row r="786580" spans="1:6" ht="16">
      <c r="A786580" s="347" t="s">
        <v>863</v>
      </c>
      <c r="B786580" s="154" t="s">
        <v>687</v>
      </c>
      <c r="C786580" s="277">
        <v>1.2518555898193178E-2</v>
      </c>
      <c r="D786580" s="349">
        <f t="shared" si="50"/>
        <v>0.10780540500857855</v>
      </c>
      <c r="E786580" s="277">
        <v>6.2805405008578549E-2</v>
      </c>
      <c r="F786580" s="277">
        <v>0.2576437502455447</v>
      </c>
    </row>
    <row r="786581" spans="1:6" ht="16">
      <c r="A786581" s="347" t="s">
        <v>326</v>
      </c>
      <c r="B786581" s="348" t="s">
        <v>577</v>
      </c>
      <c r="C786581" s="349">
        <v>2.3944353872220846E-2</v>
      </c>
      <c r="D786581" s="349">
        <f t="shared" si="50"/>
        <v>7.7143848520856623E-2</v>
      </c>
      <c r="E786581" s="349">
        <v>3.2143848520856624E-2</v>
      </c>
      <c r="F786581" s="349">
        <v>0.16</v>
      </c>
    </row>
    <row r="786582" spans="1:6" ht="16">
      <c r="A786582" s="347" t="s">
        <v>327</v>
      </c>
      <c r="B786582" s="348" t="s">
        <v>687</v>
      </c>
      <c r="C786582" s="349">
        <v>4.9041109802463012E-2</v>
      </c>
      <c r="D786582" s="349">
        <f t="shared" si="50"/>
        <v>0.11083472718442829</v>
      </c>
      <c r="E786582" s="349">
        <v>6.5834727184428288E-2</v>
      </c>
      <c r="F786582" s="349">
        <v>0.25</v>
      </c>
    </row>
    <row r="786583" spans="1:6" ht="16">
      <c r="A786583" s="347" t="s">
        <v>490</v>
      </c>
      <c r="B786583" s="348" t="s">
        <v>572</v>
      </c>
      <c r="C786583" s="349">
        <v>5.9924907017108855E-2</v>
      </c>
      <c r="D786583" s="349">
        <f t="shared" si="50"/>
        <v>0.12544556742118129</v>
      </c>
      <c r="E786583" s="349">
        <v>8.0445567421181294E-2</v>
      </c>
      <c r="F786583" s="349">
        <v>0.3</v>
      </c>
    </row>
    <row r="786584" spans="1:6" ht="16">
      <c r="A786584" s="347" t="s">
        <v>864</v>
      </c>
      <c r="B786584" s="154" t="s">
        <v>687</v>
      </c>
      <c r="C786584" s="277">
        <v>0.1054310997313879</v>
      </c>
      <c r="D786584" s="349">
        <f t="shared" si="50"/>
        <v>0.23253488197001548</v>
      </c>
      <c r="E786584" s="277">
        <v>0.1875348819700155</v>
      </c>
      <c r="F786584" s="277">
        <v>0.2724561140242252</v>
      </c>
    </row>
    <row r="786585" spans="1:6" ht="16">
      <c r="A786585" s="347" t="s">
        <v>328</v>
      </c>
      <c r="B786585" s="348" t="s">
        <v>585</v>
      </c>
      <c r="C786585" s="349">
        <v>7.6826803868088279E-3</v>
      </c>
      <c r="D786585" s="349">
        <f t="shared" si="50"/>
        <v>5.5313534284766833E-2</v>
      </c>
      <c r="E786585" s="349">
        <v>1.0313534284766834E-2</v>
      </c>
      <c r="F786585" s="349">
        <v>0.2</v>
      </c>
    </row>
    <row r="786586" spans="1:6" ht="16">
      <c r="A786586" s="347" t="s">
        <v>371</v>
      </c>
      <c r="B786586" s="348" t="s">
        <v>578</v>
      </c>
      <c r="C786586" s="349">
        <v>3.9181669972725021E-2</v>
      </c>
      <c r="D786586" s="349">
        <f t="shared" si="50"/>
        <v>9.7599024852310853E-2</v>
      </c>
      <c r="E786586" s="349">
        <v>5.2599024852310855E-2</v>
      </c>
      <c r="F786586" s="349">
        <v>0.3</v>
      </c>
    </row>
    <row r="786587" spans="1:6" ht="16">
      <c r="A786587" s="347" t="s">
        <v>329</v>
      </c>
      <c r="B786587" s="348" t="s">
        <v>576</v>
      </c>
      <c r="C786587" s="349">
        <v>3.2779436317050999E-2</v>
      </c>
      <c r="D786587" s="349">
        <f t="shared" si="50"/>
        <v>8.9004412948338496E-2</v>
      </c>
      <c r="E786587" s="349">
        <v>4.4004412948338498E-2</v>
      </c>
      <c r="F786587" s="349">
        <v>0.15</v>
      </c>
    </row>
    <row r="786588" spans="1:6" ht="16">
      <c r="A786588" s="347" t="s">
        <v>504</v>
      </c>
      <c r="B786588" s="348" t="s">
        <v>589</v>
      </c>
      <c r="C786588" s="349">
        <v>2.7273515373171343E-2</v>
      </c>
      <c r="D786588" s="349">
        <f t="shared" si="50"/>
        <v>8.161304671092226E-2</v>
      </c>
      <c r="E786588" s="349">
        <v>3.6613046710922262E-2</v>
      </c>
      <c r="F786588" s="349">
        <v>0</v>
      </c>
    </row>
    <row r="786589" spans="1:6" ht="16">
      <c r="A786589" s="350" t="s">
        <v>603</v>
      </c>
      <c r="B786589" s="348" t="s">
        <v>687</v>
      </c>
      <c r="C786589" s="349">
        <v>0.10896601681957191</v>
      </c>
      <c r="D786589" s="349">
        <f t="shared" si="50"/>
        <v>0.19128029460560964</v>
      </c>
      <c r="E786589" s="349">
        <v>0.14628029460560965</v>
      </c>
      <c r="F786589" s="349">
        <v>0.3</v>
      </c>
    </row>
    <row r="786590" spans="1:6" ht="16">
      <c r="A786590" s="347" t="s">
        <v>330</v>
      </c>
      <c r="B786590" s="348" t="s">
        <v>574</v>
      </c>
      <c r="C786590" s="349">
        <v>0</v>
      </c>
      <c r="D786590" s="349">
        <f t="shared" si="50"/>
        <v>4.4999999999999998E-2</v>
      </c>
      <c r="E786590" s="349">
        <v>0</v>
      </c>
      <c r="F786590" s="349">
        <v>0.17</v>
      </c>
    </row>
    <row r="786591" spans="1:6" ht="16">
      <c r="A786591" s="347" t="s">
        <v>372</v>
      </c>
      <c r="B786591" s="348" t="s">
        <v>583</v>
      </c>
      <c r="C786591" s="349">
        <v>9.2192164641705932E-3</v>
      </c>
      <c r="D786591" s="349">
        <f t="shared" si="50"/>
        <v>5.73762411417202E-2</v>
      </c>
      <c r="E786591" s="349">
        <v>1.2376241141720201E-2</v>
      </c>
      <c r="F786591" s="349">
        <v>0.21</v>
      </c>
    </row>
    <row r="786592" spans="1:6" ht="16">
      <c r="A786592" s="347" t="s">
        <v>331</v>
      </c>
      <c r="B786592" s="348" t="s">
        <v>587</v>
      </c>
      <c r="C786592" s="349">
        <v>1.3060556657575006E-2</v>
      </c>
      <c r="D786592" s="349">
        <f t="shared" si="50"/>
        <v>6.2533008284103617E-2</v>
      </c>
      <c r="E786592" s="349">
        <v>1.7533008284103618E-2</v>
      </c>
      <c r="F786592" s="349">
        <v>0.19</v>
      </c>
    </row>
    <row r="786593" spans="1:6" ht="16">
      <c r="A786593" s="347" t="s">
        <v>604</v>
      </c>
      <c r="B786593" s="348" t="s">
        <v>579</v>
      </c>
      <c r="C786593" s="349">
        <v>8.1692501446400528E-2</v>
      </c>
      <c r="D786593" s="349">
        <f t="shared" si="50"/>
        <v>0.15466724789468733</v>
      </c>
      <c r="E786593" s="349">
        <v>0.10966724789468733</v>
      </c>
      <c r="F786593" s="349">
        <v>0.3</v>
      </c>
    </row>
    <row r="786594" spans="1:6" ht="16">
      <c r="A786594" s="351" t="s">
        <v>605</v>
      </c>
      <c r="B786594" s="348" t="s">
        <v>687</v>
      </c>
      <c r="C786594" s="349">
        <v>0.13073361124886354</v>
      </c>
      <c r="D786594" s="349">
        <f t="shared" si="50"/>
        <v>0.22050197507911562</v>
      </c>
      <c r="E786594" s="349">
        <v>0.17550197507911564</v>
      </c>
      <c r="F786594" s="349">
        <v>0.29149999999999998</v>
      </c>
    </row>
    <row r="786595" spans="1:6" ht="16">
      <c r="A786595" s="347" t="s">
        <v>332</v>
      </c>
      <c r="B786595" s="348" t="s">
        <v>576</v>
      </c>
      <c r="C786595" s="349">
        <v>3.2779436317050999E-2</v>
      </c>
      <c r="D786595" s="349">
        <f t="shared" si="50"/>
        <v>8.9004412948338496E-2</v>
      </c>
      <c r="E786595" s="349">
        <v>4.4004412948338498E-2</v>
      </c>
      <c r="F786595" s="349">
        <v>0.27</v>
      </c>
    </row>
    <row r="786596" spans="1:6" ht="16">
      <c r="A786596" s="347" t="s">
        <v>865</v>
      </c>
      <c r="B786596" s="348" t="s">
        <v>568</v>
      </c>
      <c r="C786596" s="349">
        <v>5.3778762707661788E-3</v>
      </c>
      <c r="D786596" s="349">
        <f t="shared" si="50"/>
        <v>5.2219473999336782E-2</v>
      </c>
      <c r="E786596" s="349">
        <v>7.219473999336784E-3</v>
      </c>
      <c r="F786596" s="349">
        <v>0.25</v>
      </c>
    </row>
    <row r="786597" spans="1:6" ht="16">
      <c r="A786597" s="347" t="s">
        <v>333</v>
      </c>
      <c r="B786597" s="348" t="s">
        <v>573</v>
      </c>
      <c r="C786597" s="349">
        <v>1.7414075543433341E-2</v>
      </c>
      <c r="D786597" s="349">
        <f t="shared" si="50"/>
        <v>6.8377344378804827E-2</v>
      </c>
      <c r="E786597" s="349">
        <v>2.3377344378804829E-2</v>
      </c>
      <c r="F786597" s="349">
        <v>0.25</v>
      </c>
    </row>
    <row r="786598" spans="1:6" ht="16">
      <c r="A786598" s="347" t="s">
        <v>334</v>
      </c>
      <c r="B786598" s="348" t="s">
        <v>688</v>
      </c>
      <c r="C786598" s="349">
        <v>0.13073361124886354</v>
      </c>
      <c r="D786598" s="349">
        <f t="shared" si="50"/>
        <v>0.22050197507911562</v>
      </c>
      <c r="E786598" s="349">
        <v>0.17550197507911564</v>
      </c>
      <c r="F786598" s="349">
        <v>0.24</v>
      </c>
    </row>
    <row r="786599" spans="1:6" ht="16">
      <c r="A786599" s="347" t="s">
        <v>430</v>
      </c>
      <c r="B786599" s="348" t="s">
        <v>576</v>
      </c>
      <c r="C786599" s="349">
        <v>3.2779436317050999E-2</v>
      </c>
      <c r="D786599" s="349">
        <f t="shared" si="50"/>
        <v>8.9004412948338496E-2</v>
      </c>
      <c r="E786599" s="349">
        <v>4.4004412948338498E-2</v>
      </c>
      <c r="F786599" s="349">
        <v>0.2853</v>
      </c>
    </row>
    <row r="786600" spans="1:6" ht="16">
      <c r="A786600" s="347" t="s">
        <v>373</v>
      </c>
      <c r="B786600" s="348" t="s">
        <v>581</v>
      </c>
      <c r="C786600" s="349">
        <v>7.0808704231754685E-2</v>
      </c>
      <c r="D786600" s="349">
        <f t="shared" si="50"/>
        <v>0.14005640765793431</v>
      </c>
      <c r="E786600" s="349">
        <v>9.5056407657934314E-2</v>
      </c>
      <c r="F786600" s="349">
        <v>0.2853</v>
      </c>
    </row>
    <row r="786601" spans="1:6" ht="16">
      <c r="A786601" s="350" t="s">
        <v>606</v>
      </c>
      <c r="B786601" s="348" t="s">
        <v>687</v>
      </c>
      <c r="C786601" s="349">
        <v>0.17499999999999999</v>
      </c>
      <c r="D786601" s="349">
        <f t="shared" si="50"/>
        <v>0.27992692770782934</v>
      </c>
      <c r="E786601" s="349">
        <v>0.23492692770782936</v>
      </c>
      <c r="F786601" s="349">
        <v>0.35</v>
      </c>
    </row>
    <row r="786602" spans="1:6" ht="16">
      <c r="A786602" s="347" t="s">
        <v>374</v>
      </c>
      <c r="B786602" s="348" t="s">
        <v>689</v>
      </c>
      <c r="C786602" s="349">
        <v>0.10896601681957188</v>
      </c>
      <c r="D786602" s="349">
        <f t="shared" si="50"/>
        <v>0.19128029460560964</v>
      </c>
      <c r="E786602" s="349">
        <v>0.14628029460560965</v>
      </c>
      <c r="F786602" s="349">
        <v>0.36</v>
      </c>
    </row>
    <row r="786603" spans="1:6" ht="16">
      <c r="A786603" s="347" t="s">
        <v>607</v>
      </c>
      <c r="B786603" s="348" t="s">
        <v>581</v>
      </c>
      <c r="C786603" s="349">
        <v>7.0808704231754685E-2</v>
      </c>
      <c r="D786603" s="349">
        <f t="shared" si="50"/>
        <v>0.14005640765793431</v>
      </c>
      <c r="E786603" s="349">
        <v>9.5056407657934314E-2</v>
      </c>
      <c r="F786603" s="349">
        <v>0.27500000000000002</v>
      </c>
    </row>
    <row r="786604" spans="1:6" ht="16">
      <c r="A786604" s="347" t="s">
        <v>335</v>
      </c>
      <c r="B786604" s="348" t="s">
        <v>574</v>
      </c>
      <c r="C786604" s="349">
        <v>0</v>
      </c>
      <c r="D786604" s="349">
        <f t="shared" si="50"/>
        <v>4.4999999999999998E-2</v>
      </c>
      <c r="E786604" s="349">
        <v>0</v>
      </c>
      <c r="F786604" s="349">
        <v>0.20600000000000002</v>
      </c>
    </row>
    <row r="786605" spans="1:6" ht="16">
      <c r="A786605" s="347" t="s">
        <v>336</v>
      </c>
      <c r="B786605" s="348" t="s">
        <v>574</v>
      </c>
      <c r="C786605" s="349">
        <v>0</v>
      </c>
      <c r="D786605" s="349">
        <f t="shared" si="50"/>
        <v>4.4999999999999998E-2</v>
      </c>
      <c r="E786605" s="349">
        <v>0</v>
      </c>
      <c r="F786605" s="349">
        <v>0.14599999999999999</v>
      </c>
    </row>
    <row r="786606" spans="1:6" ht="16">
      <c r="A786606" s="351" t="s">
        <v>608</v>
      </c>
      <c r="B786606" s="348" t="s">
        <v>687</v>
      </c>
      <c r="C786606" s="349">
        <v>0.17499999999999999</v>
      </c>
      <c r="D786606" s="349">
        <f t="shared" si="50"/>
        <v>0.27992692770782934</v>
      </c>
      <c r="E786606" s="349">
        <v>0.23492692770782936</v>
      </c>
      <c r="F786606" s="349">
        <v>0.28000000000000003</v>
      </c>
    </row>
    <row r="786607" spans="1:6" ht="16">
      <c r="A786607" s="347" t="s">
        <v>337</v>
      </c>
      <c r="B786607" s="348" t="s">
        <v>580</v>
      </c>
      <c r="C786607" s="349">
        <v>6.5302783287875029E-3</v>
      </c>
      <c r="D786607" s="349">
        <f t="shared" si="50"/>
        <v>5.3766504142051808E-2</v>
      </c>
      <c r="E786607" s="349">
        <v>8.7665041420518092E-3</v>
      </c>
      <c r="F786607" s="349">
        <v>0.2</v>
      </c>
    </row>
    <row r="786608" spans="1:6" ht="16">
      <c r="A786608" s="347" t="s">
        <v>609</v>
      </c>
      <c r="B786608" s="348" t="s">
        <v>581</v>
      </c>
      <c r="C786608" s="349">
        <v>7.0808704231754685E-2</v>
      </c>
      <c r="D786608" s="349">
        <f t="shared" si="50"/>
        <v>0.14005640765793431</v>
      </c>
      <c r="E786608" s="349">
        <v>9.5056407657934314E-2</v>
      </c>
      <c r="F786608" s="349">
        <v>0.18</v>
      </c>
    </row>
    <row r="786609" spans="1:6" ht="16">
      <c r="A786609" s="347" t="s">
        <v>610</v>
      </c>
      <c r="B786609" s="348" t="s">
        <v>572</v>
      </c>
      <c r="C786609" s="349">
        <v>5.9924907017108855E-2</v>
      </c>
      <c r="D786609" s="349">
        <f t="shared" si="50"/>
        <v>0.12544556742118129</v>
      </c>
      <c r="E786609" s="349">
        <v>8.0445567421181294E-2</v>
      </c>
      <c r="F786609" s="349">
        <v>0.3</v>
      </c>
    </row>
    <row r="786610" spans="1:6" ht="16">
      <c r="A786610" s="347" t="s">
        <v>338</v>
      </c>
      <c r="B786610" s="348" t="s">
        <v>573</v>
      </c>
      <c r="C786610" s="349">
        <v>1.7414075543433341E-2</v>
      </c>
      <c r="D786610" s="349">
        <f t="shared" si="50"/>
        <v>6.8377344378804827E-2</v>
      </c>
      <c r="E786610" s="349">
        <v>2.3377344378804829E-2</v>
      </c>
      <c r="F786610" s="349">
        <v>0.2</v>
      </c>
    </row>
    <row r="786611" spans="1:6" ht="16">
      <c r="A786611" s="347" t="s">
        <v>611</v>
      </c>
      <c r="B786611" s="348" t="s">
        <v>581</v>
      </c>
      <c r="C786611" s="349">
        <v>7.0808704231754685E-2</v>
      </c>
      <c r="D786611" s="349">
        <f t="shared" si="50"/>
        <v>0.14005640765793431</v>
      </c>
      <c r="E786611" s="349">
        <v>9.5056407657934314E-2</v>
      </c>
      <c r="F786611" s="349">
        <v>0.26860000000000001</v>
      </c>
    </row>
    <row r="786612" spans="1:6" ht="16">
      <c r="A786612" s="347" t="s">
        <v>866</v>
      </c>
      <c r="B786612" s="348" t="s">
        <v>576</v>
      </c>
      <c r="C786612" s="349">
        <v>3.2779436317050999E-2</v>
      </c>
      <c r="D786612" s="349">
        <f t="shared" si="50"/>
        <v>8.9004412948338496E-2</v>
      </c>
      <c r="E786612" s="349">
        <v>4.4004412948338498E-2</v>
      </c>
      <c r="F786612" s="349">
        <v>0.3</v>
      </c>
    </row>
    <row r="786613" spans="1:6" ht="16">
      <c r="A786613" s="347" t="s">
        <v>339</v>
      </c>
      <c r="B786613" s="348" t="s">
        <v>586</v>
      </c>
      <c r="C786613" s="349">
        <v>9.8082219604926024E-2</v>
      </c>
      <c r="D786613" s="349">
        <f t="shared" si="50"/>
        <v>0.17666945436885656</v>
      </c>
      <c r="E786613" s="349">
        <v>0.13166945436885658</v>
      </c>
      <c r="F786613" s="349">
        <v>0.15</v>
      </c>
    </row>
    <row r="786614" spans="1:6" ht="16">
      <c r="A786614" s="347" t="s">
        <v>340</v>
      </c>
      <c r="B786614" s="348" t="s">
        <v>581</v>
      </c>
      <c r="C786614" s="349">
        <v>7.0808704231754685E-2</v>
      </c>
      <c r="D786614" s="349">
        <f t="shared" si="50"/>
        <v>0.14005640765793431</v>
      </c>
      <c r="E786614" s="349">
        <v>9.5056407657934314E-2</v>
      </c>
      <c r="F786614" s="349">
        <v>0.25</v>
      </c>
    </row>
    <row r="786615" spans="1:6" ht="16">
      <c r="A786615" s="353" t="s">
        <v>867</v>
      </c>
      <c r="B786615" s="348" t="s">
        <v>573</v>
      </c>
      <c r="C786615" s="349">
        <v>1.7414075543433341E-2</v>
      </c>
      <c r="D786615" s="349">
        <f t="shared" si="50"/>
        <v>6.8377344378804827E-2</v>
      </c>
      <c r="E786615" s="349">
        <v>2.3377344378804829E-2</v>
      </c>
      <c r="F786615" s="349">
        <v>0</v>
      </c>
    </row>
    <row r="786616" spans="1:6" ht="16">
      <c r="A786616" s="347" t="s">
        <v>431</v>
      </c>
      <c r="B786616" s="348" t="s">
        <v>572</v>
      </c>
      <c r="C786616" s="349">
        <v>5.9924907017108855E-2</v>
      </c>
      <c r="D786616" s="349">
        <f t="shared" si="50"/>
        <v>0.12544556742118129</v>
      </c>
      <c r="E786616" s="349">
        <v>8.0445567421181294E-2</v>
      </c>
      <c r="F786616" s="349">
        <v>0.3</v>
      </c>
    </row>
    <row r="786617" spans="1:6" ht="16">
      <c r="A786617" s="347" t="s">
        <v>341</v>
      </c>
      <c r="B786617" s="348" t="s">
        <v>688</v>
      </c>
      <c r="C786617" s="349">
        <v>0.13073361124886354</v>
      </c>
      <c r="D786617" s="349">
        <f t="shared" si="50"/>
        <v>0.22050197507911562</v>
      </c>
      <c r="E786617" s="349">
        <v>0.17550197507911564</v>
      </c>
      <c r="F786617" s="349">
        <v>0.18</v>
      </c>
    </row>
    <row r="786618" spans="1:6" ht="16">
      <c r="A786618" s="347" t="s">
        <v>342</v>
      </c>
      <c r="B786618" s="348" t="s">
        <v>568</v>
      </c>
      <c r="C786618" s="349">
        <v>5.3778762707661788E-3</v>
      </c>
      <c r="D786618" s="349">
        <f t="shared" si="50"/>
        <v>5.2219473999336782E-2</v>
      </c>
      <c r="E786618" s="349">
        <v>7.219473999336784E-3</v>
      </c>
      <c r="F786618" s="349">
        <v>0.25</v>
      </c>
    </row>
    <row r="786619" spans="1:6" ht="16">
      <c r="A786619" s="347" t="s">
        <v>343</v>
      </c>
      <c r="B786619" s="348" t="s">
        <v>580</v>
      </c>
      <c r="C786619" s="349">
        <v>6.5302783287875029E-3</v>
      </c>
      <c r="D786619" s="349">
        <f t="shared" si="50"/>
        <v>5.3766504142051808E-2</v>
      </c>
      <c r="E786619" s="349">
        <v>8.7665041420518092E-3</v>
      </c>
      <c r="F786619" s="349">
        <v>0.25</v>
      </c>
    </row>
    <row r="786620" spans="1:6" ht="16">
      <c r="A786620" s="347" t="s">
        <v>344</v>
      </c>
      <c r="B786620" s="348" t="s">
        <v>574</v>
      </c>
      <c r="C786620" s="349">
        <v>0</v>
      </c>
      <c r="D786620" s="349">
        <f t="shared" si="50"/>
        <v>4.4999999999999998E-2</v>
      </c>
      <c r="E786620" s="349">
        <v>0</v>
      </c>
      <c r="F786620" s="349">
        <v>0.25</v>
      </c>
    </row>
    <row r="786621" spans="1:6" ht="16">
      <c r="A786621" s="347" t="s">
        <v>345</v>
      </c>
      <c r="B786621" s="348" t="s">
        <v>571</v>
      </c>
      <c r="C786621" s="349">
        <v>2.0743237044383835E-2</v>
      </c>
      <c r="D786621" s="349">
        <f t="shared" si="50"/>
        <v>7.2846542568870451E-2</v>
      </c>
      <c r="E786621" s="349">
        <v>2.7846542568870453E-2</v>
      </c>
      <c r="F786621" s="349">
        <v>0.25</v>
      </c>
    </row>
    <row r="786622" spans="1:6" ht="16">
      <c r="A786622" s="347" t="s">
        <v>693</v>
      </c>
      <c r="B786622" s="348" t="s">
        <v>578</v>
      </c>
      <c r="C786622" s="349">
        <v>3.9181669972725021E-2</v>
      </c>
      <c r="D786622" s="349">
        <f t="shared" si="50"/>
        <v>9.7599024852310853E-2</v>
      </c>
      <c r="E786622" s="349">
        <v>5.2599024852310855E-2</v>
      </c>
      <c r="F786622" s="349">
        <v>0.15</v>
      </c>
    </row>
    <row r="786623" spans="1:6" ht="16">
      <c r="A786623" s="347" t="s">
        <v>346</v>
      </c>
      <c r="B786623" s="348" t="s">
        <v>615</v>
      </c>
      <c r="C786623" s="349">
        <v>0.17499999999999999</v>
      </c>
      <c r="D786623" s="349">
        <f t="shared" si="50"/>
        <v>0.27992692770782934</v>
      </c>
      <c r="E786623" s="349">
        <v>0.23492692770782936</v>
      </c>
      <c r="F786623" s="349">
        <v>0.34</v>
      </c>
    </row>
    <row r="786624" spans="1:6" ht="16">
      <c r="A786624" s="347" t="s">
        <v>347</v>
      </c>
      <c r="B786624" s="348" t="s">
        <v>576</v>
      </c>
      <c r="C786624" s="349">
        <v>3.2779436317050999E-2</v>
      </c>
      <c r="D786624" s="349">
        <f t="shared" si="50"/>
        <v>8.9004412948338496E-2</v>
      </c>
      <c r="E786624" s="349">
        <v>4.4004412948338498E-2</v>
      </c>
      <c r="F786624" s="349">
        <v>0.2</v>
      </c>
    </row>
    <row r="786625" spans="1:6" ht="16">
      <c r="A786625" s="350" t="s">
        <v>868</v>
      </c>
      <c r="B786625" s="348" t="s">
        <v>687</v>
      </c>
      <c r="C786625" s="349">
        <v>0.10896601681957191</v>
      </c>
      <c r="D786625" s="349">
        <f t="shared" si="50"/>
        <v>0.19128029460560964</v>
      </c>
      <c r="E786625" s="349">
        <v>0.14628029460560965</v>
      </c>
      <c r="F786625" s="349">
        <v>0.2</v>
      </c>
    </row>
    <row r="786626" spans="1:6" ht="16">
      <c r="A786626" s="347" t="s">
        <v>348</v>
      </c>
      <c r="B786626" s="348" t="s">
        <v>689</v>
      </c>
      <c r="C786626" s="349">
        <v>0.10896601681957188</v>
      </c>
      <c r="D786626" s="349">
        <f t="shared" si="50"/>
        <v>0.19128029460560964</v>
      </c>
      <c r="E786626" s="349">
        <v>0.14628029460560965</v>
      </c>
      <c r="F786626" s="349">
        <v>0.35</v>
      </c>
    </row>
    <row r="786627" spans="1:6" ht="16">
      <c r="A786627" s="351" t="s">
        <v>612</v>
      </c>
      <c r="B786627" s="348" t="s">
        <v>687</v>
      </c>
      <c r="C786627" s="349">
        <v>9.8082219604926024E-2</v>
      </c>
      <c r="D786627" s="349">
        <f t="shared" si="50"/>
        <v>0.17666945436885656</v>
      </c>
      <c r="E786627" s="349">
        <v>0.13166945436885658</v>
      </c>
      <c r="F786627" s="349">
        <v>0.25</v>
      </c>
    </row>
    <row r="786632" spans="1:6">
      <c r="A786632" s="354" t="s">
        <v>352</v>
      </c>
      <c r="B786632" s="355" t="s">
        <v>376</v>
      </c>
      <c r="C786632" s="355" t="s">
        <v>869</v>
      </c>
      <c r="D786632" s="355" t="s">
        <v>694</v>
      </c>
      <c r="E786632" s="355" t="s">
        <v>870</v>
      </c>
    </row>
    <row r="786633" spans="1:6">
      <c r="A786633" s="356" t="s">
        <v>355</v>
      </c>
      <c r="B786633" s="357">
        <f>$B$1+E786633</f>
        <v>0.13663852306889546</v>
      </c>
      <c r="C786633" s="357">
        <v>6.8262679351091926E-2</v>
      </c>
      <c r="D786633" s="357">
        <v>0.27302836489005694</v>
      </c>
      <c r="E786633" s="357">
        <v>9.1638523068895444E-2</v>
      </c>
    </row>
    <row r="786634" spans="1:6">
      <c r="A786634" s="356" t="s">
        <v>428</v>
      </c>
      <c r="B786634" s="357">
        <f t="shared" ref="B786634:B786642" si="51">$B$1+E786634</f>
        <v>6.1805405008578562E-2</v>
      </c>
      <c r="C786634" s="357">
        <v>1.2518555898193178E-2</v>
      </c>
      <c r="D786634" s="357">
        <v>0.2576437502455447</v>
      </c>
      <c r="E786634" s="357">
        <v>1.6805405008578567E-2</v>
      </c>
    </row>
    <row r="786635" spans="1:6">
      <c r="A786635" s="356" t="s">
        <v>357</v>
      </c>
      <c r="B786635" s="357">
        <f t="shared" si="51"/>
        <v>4.5047923618641933E-2</v>
      </c>
      <c r="C786635" s="357">
        <v>3.5698901544265913E-5</v>
      </c>
      <c r="D786635" s="357">
        <v>0.29744361328762281</v>
      </c>
      <c r="E786635" s="357">
        <v>4.7923618641935289E-5</v>
      </c>
    </row>
    <row r="786636" spans="1:6">
      <c r="A786636" s="356" t="s">
        <v>359</v>
      </c>
      <c r="B786636" s="357">
        <f t="shared" si="51"/>
        <v>0.1865348819700155</v>
      </c>
      <c r="C786636" s="357">
        <v>0.1054310997313879</v>
      </c>
      <c r="D786636" s="357">
        <v>0.2724561140242252</v>
      </c>
      <c r="E786636" s="357">
        <v>0.14153488197001549</v>
      </c>
    </row>
    <row r="786637" spans="1:6">
      <c r="A786637" s="356" t="s">
        <v>356</v>
      </c>
      <c r="B786637" s="357">
        <f t="shared" si="51"/>
        <v>0.10261091058162494</v>
      </c>
      <c r="C786637" s="357">
        <v>4.2915086193622262E-2</v>
      </c>
      <c r="D786637" s="357">
        <v>0.31595749426030023</v>
      </c>
      <c r="E786637" s="357">
        <v>5.7610910581624951E-2</v>
      </c>
    </row>
    <row r="786638" spans="1:6">
      <c r="A786638" s="356" t="s">
        <v>354</v>
      </c>
      <c r="B786638" s="357">
        <f t="shared" si="51"/>
        <v>9.5579383477192262E-2</v>
      </c>
      <c r="C786638" s="357">
        <v>3.7670398345457844E-2</v>
      </c>
      <c r="D786638" s="357">
        <v>0.18485819102180306</v>
      </c>
      <c r="E786638" s="357">
        <v>5.0579383477192263E-2</v>
      </c>
    </row>
    <row r="786639" spans="1:6">
      <c r="A786639" s="356" t="s">
        <v>360</v>
      </c>
      <c r="B786639" s="357">
        <f t="shared" si="51"/>
        <v>6.6589990892489848E-2</v>
      </c>
      <c r="C786639" s="357">
        <v>1.6082653627874467E-2</v>
      </c>
      <c r="D786639" s="357">
        <v>0.18760152153615242</v>
      </c>
      <c r="E786639" s="357">
        <v>2.1589990892489853E-2</v>
      </c>
    </row>
    <row r="786640" spans="1:6">
      <c r="A786640" s="356" t="s">
        <v>362</v>
      </c>
      <c r="B786640" s="357">
        <f t="shared" si="51"/>
        <v>4.4999999999999998E-2</v>
      </c>
      <c r="C786640" s="357">
        <v>0</v>
      </c>
      <c r="D786640" s="357">
        <v>0.25116286561170831</v>
      </c>
      <c r="E786640" s="357">
        <v>0</v>
      </c>
    </row>
    <row r="786641" spans="1:5">
      <c r="A786641" s="356" t="s">
        <v>353</v>
      </c>
      <c r="B786641" s="357">
        <f t="shared" si="51"/>
        <v>5.7871606293643366E-2</v>
      </c>
      <c r="C786641" s="357">
        <v>9.5882201472833571E-3</v>
      </c>
      <c r="D786641" s="357">
        <v>0.24707349543413576</v>
      </c>
      <c r="E786641" s="357">
        <v>1.2871606293643371E-2</v>
      </c>
    </row>
    <row r="786642" spans="1:5">
      <c r="A786642" s="356" t="s">
        <v>491</v>
      </c>
      <c r="B786642" s="357">
        <f t="shared" si="51"/>
        <v>6.3100000000000003E-2</v>
      </c>
      <c r="C786642" s="357">
        <v>1.35E-2</v>
      </c>
      <c r="D786642" s="357">
        <v>0.25225942509764748</v>
      </c>
      <c r="E786642" s="357">
        <v>1.8100000000000002E-2</v>
      </c>
    </row>
    <row r="851969" spans="1:6">
      <c r="A851969" t="s">
        <v>613</v>
      </c>
      <c r="B851969" s="242">
        <v>4.5999999999999999E-2</v>
      </c>
      <c r="C851969" t="s">
        <v>847</v>
      </c>
    </row>
    <row r="851970" spans="1:6" ht="14">
      <c r="A851970" s="275" t="s">
        <v>686</v>
      </c>
      <c r="B851970" s="275"/>
      <c r="C851970" s="275"/>
      <c r="D851970" s="275"/>
      <c r="E851970" s="275"/>
      <c r="F851970" s="275"/>
    </row>
    <row r="851972" spans="1:6" ht="16">
      <c r="A851972" s="344" t="s">
        <v>349</v>
      </c>
      <c r="B851972" s="345" t="s">
        <v>566</v>
      </c>
      <c r="C851972" s="346" t="s">
        <v>350</v>
      </c>
      <c r="D851972" s="346" t="s">
        <v>567</v>
      </c>
      <c r="E851972" s="346" t="s">
        <v>351</v>
      </c>
      <c r="F851972" s="346" t="s">
        <v>519</v>
      </c>
    </row>
    <row r="851973" spans="1:6" ht="16">
      <c r="A851973" s="347" t="s">
        <v>481</v>
      </c>
      <c r="B851973" s="348" t="s">
        <v>568</v>
      </c>
      <c r="C851973" s="349">
        <v>5.3778762707661788E-3</v>
      </c>
      <c r="D851973" s="349">
        <f>$B$1+E851973</f>
        <v>5.2219473999336782E-2</v>
      </c>
      <c r="E851973" s="349">
        <v>7.219473999336784E-3</v>
      </c>
      <c r="F851973" s="349">
        <v>0.15</v>
      </c>
    </row>
    <row r="851974" spans="1:6" ht="16">
      <c r="A851974" s="347" t="s">
        <v>245</v>
      </c>
      <c r="B851974" s="348" t="s">
        <v>569</v>
      </c>
      <c r="C851974" s="349">
        <v>4.9041109802463012E-2</v>
      </c>
      <c r="D851974" s="349">
        <f t="shared" ref="D851974:D852037" si="52">$B$1+E851974</f>
        <v>0.11083472718442829</v>
      </c>
      <c r="E851974" s="349">
        <v>6.5834727184428288E-2</v>
      </c>
      <c r="F851974" s="349">
        <v>0.15</v>
      </c>
    </row>
    <row r="851975" spans="1:6" ht="16">
      <c r="A851975" s="350" t="s">
        <v>570</v>
      </c>
      <c r="B851975" s="348" t="s">
        <v>687</v>
      </c>
      <c r="C851975" s="349">
        <v>4.9041109802463012E-2</v>
      </c>
      <c r="D851975" s="349">
        <f t="shared" si="52"/>
        <v>0.11083472718442829</v>
      </c>
      <c r="E851975" s="349">
        <v>6.5834727184428288E-2</v>
      </c>
      <c r="F851975" s="349">
        <v>0.26</v>
      </c>
    </row>
    <row r="851976" spans="1:6" ht="16">
      <c r="A851976" s="347" t="s">
        <v>499</v>
      </c>
      <c r="B851976" s="348" t="s">
        <v>571</v>
      </c>
      <c r="C851976" s="349">
        <v>2.0743237044383835E-2</v>
      </c>
      <c r="D851976" s="349">
        <f t="shared" si="52"/>
        <v>7.2846542568870451E-2</v>
      </c>
      <c r="E851976" s="349">
        <v>2.7846542568870453E-2</v>
      </c>
      <c r="F851976" s="349">
        <v>0.1898</v>
      </c>
    </row>
    <row r="851977" spans="1:6" ht="16">
      <c r="A851977" s="347" t="s">
        <v>246</v>
      </c>
      <c r="B851977" s="348" t="s">
        <v>581</v>
      </c>
      <c r="C851977" s="349">
        <v>7.0808704231754685E-2</v>
      </c>
      <c r="D851977" s="349">
        <f t="shared" si="52"/>
        <v>0.14005640765793431</v>
      </c>
      <c r="E851977" s="349">
        <v>9.5056407657934314E-2</v>
      </c>
      <c r="F851977" s="349">
        <v>0.25</v>
      </c>
    </row>
    <row r="851978" spans="1:6" ht="16">
      <c r="A851978" s="347" t="s">
        <v>848</v>
      </c>
      <c r="B851978" s="154" t="s">
        <v>687</v>
      </c>
      <c r="C851978" s="277">
        <v>0.1054310997313879</v>
      </c>
      <c r="D851978" s="349">
        <f t="shared" si="52"/>
        <v>0.23253488197001548</v>
      </c>
      <c r="E851978" s="277">
        <v>0.1875348819700155</v>
      </c>
      <c r="F851978" s="277">
        <v>0.2724561140242252</v>
      </c>
    </row>
    <row r="851979" spans="1:6" ht="16">
      <c r="A851979" s="347" t="s">
        <v>849</v>
      </c>
      <c r="B851979" s="154" t="s">
        <v>687</v>
      </c>
      <c r="C851979" s="277">
        <v>0.1054310997313879</v>
      </c>
      <c r="D851979" s="349">
        <f t="shared" si="52"/>
        <v>0.23253488197001548</v>
      </c>
      <c r="E851979" s="277">
        <v>0.1875348819700155</v>
      </c>
      <c r="F851979" s="277">
        <v>0.2724561140242252</v>
      </c>
    </row>
    <row r="851980" spans="1:6" ht="16">
      <c r="A851980" s="347" t="s">
        <v>247</v>
      </c>
      <c r="B851980" s="348" t="s">
        <v>688</v>
      </c>
      <c r="C851980" s="349">
        <v>0.13073361124886354</v>
      </c>
      <c r="D851980" s="349">
        <f t="shared" si="52"/>
        <v>0.22050197507911562</v>
      </c>
      <c r="E851980" s="349">
        <v>0.17550197507911564</v>
      </c>
      <c r="F851980" s="349">
        <v>0.35</v>
      </c>
    </row>
    <row r="851981" spans="1:6" ht="16">
      <c r="A851981" s="347" t="s">
        <v>248</v>
      </c>
      <c r="B851981" s="348" t="s">
        <v>578</v>
      </c>
      <c r="C851981" s="349">
        <v>3.9181669972725021E-2</v>
      </c>
      <c r="D851981" s="349">
        <f t="shared" si="52"/>
        <v>9.7599024852310853E-2</v>
      </c>
      <c r="E851981" s="349">
        <v>5.2599024852310855E-2</v>
      </c>
      <c r="F851981" s="349">
        <v>0.18</v>
      </c>
    </row>
    <row r="851982" spans="1:6" ht="16">
      <c r="A851982" s="347" t="s">
        <v>249</v>
      </c>
      <c r="B851982" s="348" t="s">
        <v>571</v>
      </c>
      <c r="C851982" s="349">
        <v>2.0743237044383835E-2</v>
      </c>
      <c r="D851982" s="349">
        <f t="shared" si="52"/>
        <v>7.2846542568870451E-2</v>
      </c>
      <c r="E851982" s="349">
        <v>2.7846542568870453E-2</v>
      </c>
      <c r="F851982" s="349">
        <v>0.25</v>
      </c>
    </row>
    <row r="851983" spans="1:6" ht="16">
      <c r="A851983" s="347" t="s">
        <v>250</v>
      </c>
      <c r="B851983" s="348" t="s">
        <v>574</v>
      </c>
      <c r="C851983" s="349">
        <v>0</v>
      </c>
      <c r="D851983" s="349">
        <f t="shared" si="52"/>
        <v>4.4999999999999998E-2</v>
      </c>
      <c r="E851983" s="349">
        <v>0</v>
      </c>
      <c r="F851983" s="349">
        <v>0.3</v>
      </c>
    </row>
    <row r="851984" spans="1:6" ht="16">
      <c r="A851984" s="347" t="s">
        <v>251</v>
      </c>
      <c r="B851984" s="348" t="s">
        <v>575</v>
      </c>
      <c r="C851984" s="349">
        <v>4.3535188858583353E-3</v>
      </c>
      <c r="D851984" s="349">
        <f t="shared" si="52"/>
        <v>5.0844336094701202E-2</v>
      </c>
      <c r="E851984" s="349">
        <v>5.8443360947012038E-3</v>
      </c>
      <c r="F851984" s="349">
        <v>0.24</v>
      </c>
    </row>
    <row r="851985" spans="1:6" ht="16">
      <c r="A851985" s="347" t="s">
        <v>358</v>
      </c>
      <c r="B851985" s="348" t="s">
        <v>589</v>
      </c>
      <c r="C851985" s="349">
        <v>2.7273515373171343E-2</v>
      </c>
      <c r="D851985" s="349">
        <f t="shared" si="52"/>
        <v>8.161304671092226E-2</v>
      </c>
      <c r="E851985" s="349">
        <v>3.6613046710922262E-2</v>
      </c>
      <c r="F851985" s="349">
        <v>0.2</v>
      </c>
    </row>
    <row r="851986" spans="1:6" ht="16">
      <c r="A851986" s="347" t="s">
        <v>252</v>
      </c>
      <c r="B851986" s="348" t="s">
        <v>569</v>
      </c>
      <c r="C851986" s="349">
        <v>4.9041109802463012E-2</v>
      </c>
      <c r="D851986" s="349">
        <f t="shared" si="52"/>
        <v>0.11083472718442829</v>
      </c>
      <c r="E851986" s="349">
        <v>6.5834727184428288E-2</v>
      </c>
      <c r="F851986" s="349">
        <v>0</v>
      </c>
    </row>
    <row r="851987" spans="1:6" ht="16">
      <c r="A851987" s="347" t="s">
        <v>253</v>
      </c>
      <c r="B851987" s="348" t="s">
        <v>572</v>
      </c>
      <c r="C851987" s="349">
        <v>5.9924907017108855E-2</v>
      </c>
      <c r="D851987" s="349">
        <f t="shared" si="52"/>
        <v>0.12544556742118129</v>
      </c>
      <c r="E851987" s="349">
        <v>8.0445567421181294E-2</v>
      </c>
      <c r="F851987" s="349">
        <v>0</v>
      </c>
    </row>
    <row r="851988" spans="1:6" ht="16">
      <c r="A851988" s="347" t="s">
        <v>254</v>
      </c>
      <c r="B851988" s="348" t="s">
        <v>569</v>
      </c>
      <c r="C851988" s="349">
        <v>4.9041109802463012E-2</v>
      </c>
      <c r="D851988" s="349">
        <f t="shared" si="52"/>
        <v>0.11083472718442829</v>
      </c>
      <c r="E851988" s="349">
        <v>6.5834727184428288E-2</v>
      </c>
      <c r="F851988" s="349">
        <v>0.3</v>
      </c>
    </row>
    <row r="851989" spans="1:6" ht="16">
      <c r="A851989" s="347" t="s">
        <v>255</v>
      </c>
      <c r="B851989" s="348" t="s">
        <v>581</v>
      </c>
      <c r="C851989" s="349">
        <v>7.0808704231754685E-2</v>
      </c>
      <c r="D851989" s="349">
        <f t="shared" si="52"/>
        <v>0.14005640765793431</v>
      </c>
      <c r="E851989" s="349">
        <v>9.5056407657934314E-2</v>
      </c>
      <c r="F851989" s="349">
        <v>5.5E-2</v>
      </c>
    </row>
    <row r="851990" spans="1:6" ht="16">
      <c r="A851990" s="347" t="s">
        <v>256</v>
      </c>
      <c r="B851990" s="348" t="s">
        <v>615</v>
      </c>
      <c r="C851990" s="349">
        <v>0.17499999999999999</v>
      </c>
      <c r="D851990" s="349">
        <f t="shared" si="52"/>
        <v>0.27992692770782934</v>
      </c>
      <c r="E851990" s="349">
        <v>0.23492692770782936</v>
      </c>
      <c r="F851990" s="349">
        <v>0.18</v>
      </c>
    </row>
    <row r="851991" spans="1:6" ht="16">
      <c r="A851991" s="347" t="s">
        <v>257</v>
      </c>
      <c r="B851991" s="348" t="s">
        <v>580</v>
      </c>
      <c r="C851991" s="349">
        <v>6.5302783287875029E-3</v>
      </c>
      <c r="D851991" s="349">
        <f t="shared" si="52"/>
        <v>5.3766504142051808E-2</v>
      </c>
      <c r="E851991" s="349">
        <v>8.7665041420518092E-3</v>
      </c>
      <c r="F851991" s="349">
        <v>0.25</v>
      </c>
    </row>
    <row r="851992" spans="1:6" ht="16">
      <c r="A851992" s="347" t="s">
        <v>361</v>
      </c>
      <c r="B851992" s="348" t="s">
        <v>586</v>
      </c>
      <c r="C851992" s="349">
        <v>9.8082219604926024E-2</v>
      </c>
      <c r="D851992" s="349">
        <f t="shared" si="52"/>
        <v>0.17666945436885656</v>
      </c>
      <c r="E851992" s="349">
        <v>0.13166945436885658</v>
      </c>
      <c r="F851992" s="349">
        <v>0.2853</v>
      </c>
    </row>
    <row r="851993" spans="1:6" ht="16">
      <c r="A851993" s="347" t="s">
        <v>582</v>
      </c>
      <c r="B851993" s="348" t="s">
        <v>569</v>
      </c>
      <c r="C851993" s="349">
        <v>4.9041109802463012E-2</v>
      </c>
      <c r="D851993" s="349">
        <f t="shared" si="52"/>
        <v>0.11083472718442829</v>
      </c>
      <c r="E851993" s="349">
        <v>6.5834727184428288E-2</v>
      </c>
      <c r="F851993" s="349">
        <v>0.3</v>
      </c>
    </row>
    <row r="851994" spans="1:6" ht="16">
      <c r="A851994" s="347" t="s">
        <v>258</v>
      </c>
      <c r="B851994" s="348" t="s">
        <v>583</v>
      </c>
      <c r="C851994" s="349">
        <v>9.2192164641705932E-3</v>
      </c>
      <c r="D851994" s="349">
        <f t="shared" si="52"/>
        <v>5.73762411417202E-2</v>
      </c>
      <c r="E851994" s="349">
        <v>1.2376241141720201E-2</v>
      </c>
      <c r="F851994" s="349">
        <v>0</v>
      </c>
    </row>
    <row r="851995" spans="1:6" ht="16">
      <c r="A851995" s="347" t="s">
        <v>259</v>
      </c>
      <c r="B851995" s="348" t="s">
        <v>579</v>
      </c>
      <c r="C851995" s="349">
        <v>8.1692501446400528E-2</v>
      </c>
      <c r="D851995" s="349">
        <f t="shared" si="52"/>
        <v>0.15466724789468733</v>
      </c>
      <c r="E851995" s="349">
        <v>0.10966724789468733</v>
      </c>
      <c r="F851995" s="349">
        <v>0.25</v>
      </c>
    </row>
    <row r="851996" spans="1:6" ht="16">
      <c r="A851996" s="347" t="s">
        <v>260</v>
      </c>
      <c r="B851996" s="348" t="s">
        <v>581</v>
      </c>
      <c r="C851996" s="349">
        <v>7.0808704231754685E-2</v>
      </c>
      <c r="D851996" s="349">
        <f t="shared" si="52"/>
        <v>0.14005640765793431</v>
      </c>
      <c r="E851996" s="349">
        <v>9.5056407657934314E-2</v>
      </c>
      <c r="F851996" s="349">
        <v>0.1</v>
      </c>
    </row>
    <row r="851997" spans="1:6" ht="16">
      <c r="A851997" s="347" t="s">
        <v>261</v>
      </c>
      <c r="B851997" s="348" t="s">
        <v>587</v>
      </c>
      <c r="C851997" s="349">
        <v>1.3060556657575006E-2</v>
      </c>
      <c r="D851997" s="349">
        <f t="shared" si="52"/>
        <v>6.2533008284103617E-2</v>
      </c>
      <c r="E851997" s="349">
        <v>1.7533008284103618E-2</v>
      </c>
      <c r="F851997" s="349">
        <v>0.22</v>
      </c>
    </row>
    <row r="851998" spans="1:6" ht="16">
      <c r="A851998" s="347" t="s">
        <v>262</v>
      </c>
      <c r="B851998" s="348" t="s">
        <v>576</v>
      </c>
      <c r="C851998" s="349">
        <v>3.2779436317050999E-2</v>
      </c>
      <c r="D851998" s="349">
        <f t="shared" si="52"/>
        <v>8.9004412948338496E-2</v>
      </c>
      <c r="E851998" s="349">
        <v>4.4004412948338498E-2</v>
      </c>
      <c r="F851998" s="349">
        <v>0.34</v>
      </c>
    </row>
    <row r="851999" spans="1:6" ht="16">
      <c r="A851999" s="347" t="s">
        <v>850</v>
      </c>
      <c r="B851999" s="348" t="s">
        <v>576</v>
      </c>
      <c r="C851999" s="349">
        <v>3.2779436317050999E-2</v>
      </c>
      <c r="D851999" s="349">
        <f t="shared" si="52"/>
        <v>8.9004412948338496E-2</v>
      </c>
      <c r="E851999" s="349">
        <v>4.4004412948338498E-2</v>
      </c>
      <c r="F851999" s="349">
        <v>0.34</v>
      </c>
    </row>
    <row r="852000" spans="1:6" ht="16">
      <c r="A852000" s="351" t="s">
        <v>584</v>
      </c>
      <c r="B852000" s="348" t="s">
        <v>687</v>
      </c>
      <c r="C852000" s="349">
        <v>6.5302783287875029E-3</v>
      </c>
      <c r="D852000" s="349">
        <f t="shared" si="52"/>
        <v>5.3766504142051808E-2</v>
      </c>
      <c r="E852000" s="349">
        <v>8.7665041420518092E-3</v>
      </c>
      <c r="F852000" s="349">
        <v>0.185</v>
      </c>
    </row>
    <row r="852001" spans="1:6" ht="16">
      <c r="A852001" s="347" t="s">
        <v>263</v>
      </c>
      <c r="B852001" s="348" t="s">
        <v>573</v>
      </c>
      <c r="C852001" s="349">
        <v>1.7414075543433341E-2</v>
      </c>
      <c r="D852001" s="349">
        <f t="shared" si="52"/>
        <v>6.8377344378804827E-2</v>
      </c>
      <c r="E852001" s="349">
        <v>2.3377344378804829E-2</v>
      </c>
      <c r="F852001" s="349">
        <v>0.1</v>
      </c>
    </row>
    <row r="852002" spans="1:6" ht="16">
      <c r="A852002" s="347" t="s">
        <v>482</v>
      </c>
      <c r="B852002" s="348" t="s">
        <v>579</v>
      </c>
      <c r="C852002" s="349">
        <v>8.1692501446400528E-2</v>
      </c>
      <c r="D852002" s="349">
        <f t="shared" si="52"/>
        <v>0.15466724789468733</v>
      </c>
      <c r="E852002" s="349">
        <v>0.10966724789468733</v>
      </c>
      <c r="F852002" s="349">
        <v>0.28000000000000003</v>
      </c>
    </row>
    <row r="852003" spans="1:6" ht="16">
      <c r="A852003" s="347" t="s">
        <v>264</v>
      </c>
      <c r="B852003" s="348" t="s">
        <v>572</v>
      </c>
      <c r="C852003" s="349">
        <v>5.9924907017108855E-2</v>
      </c>
      <c r="D852003" s="349">
        <f t="shared" si="52"/>
        <v>0.12544556742118129</v>
      </c>
      <c r="E852003" s="349">
        <v>8.0445567421181294E-2</v>
      </c>
      <c r="F852003" s="349">
        <v>0.2</v>
      </c>
    </row>
    <row r="852004" spans="1:6" ht="16">
      <c r="A852004" s="347" t="s">
        <v>483</v>
      </c>
      <c r="B852004" s="348" t="s">
        <v>579</v>
      </c>
      <c r="C852004" s="349">
        <v>8.1692501446400528E-2</v>
      </c>
      <c r="D852004" s="349">
        <f t="shared" si="52"/>
        <v>0.15466724789468733</v>
      </c>
      <c r="E852004" s="349">
        <v>0.10966724789468733</v>
      </c>
      <c r="F852004" s="349">
        <v>0.33</v>
      </c>
    </row>
    <row r="852005" spans="1:6" ht="16">
      <c r="A852005" s="347" t="s">
        <v>265</v>
      </c>
      <c r="B852005" s="348" t="s">
        <v>574</v>
      </c>
      <c r="C852005" s="349">
        <v>0</v>
      </c>
      <c r="D852005" s="349">
        <f t="shared" si="52"/>
        <v>4.4999999999999998E-2</v>
      </c>
      <c r="E852005" s="349">
        <v>0</v>
      </c>
      <c r="F852005" s="349">
        <v>0.26500000000000001</v>
      </c>
    </row>
    <row r="852006" spans="1:6" ht="16">
      <c r="A852006" s="347" t="s">
        <v>484</v>
      </c>
      <c r="B852006" s="348" t="s">
        <v>581</v>
      </c>
      <c r="C852006" s="349">
        <v>7.0808704231754685E-2</v>
      </c>
      <c r="D852006" s="349">
        <f t="shared" si="52"/>
        <v>0.14005640765793431</v>
      </c>
      <c r="E852006" s="349">
        <v>9.5056407657934314E-2</v>
      </c>
      <c r="F852006" s="349">
        <v>0</v>
      </c>
    </row>
    <row r="852007" spans="1:6" ht="16">
      <c r="A852007" s="347" t="s">
        <v>266</v>
      </c>
      <c r="B852007" s="348" t="s">
        <v>580</v>
      </c>
      <c r="C852007" s="349">
        <v>6.5302783287875029E-3</v>
      </c>
      <c r="D852007" s="349">
        <f t="shared" si="52"/>
        <v>5.3766504142051808E-2</v>
      </c>
      <c r="E852007" s="349">
        <v>8.7665041420518092E-3</v>
      </c>
      <c r="F852007" s="349">
        <v>0</v>
      </c>
    </row>
    <row r="852008" spans="1:6" ht="16">
      <c r="A852008" s="347" t="s">
        <v>851</v>
      </c>
      <c r="B852008" s="154" t="s">
        <v>687</v>
      </c>
      <c r="C852008" s="277">
        <v>9.5882201472833571E-3</v>
      </c>
      <c r="D852008" s="349">
        <f t="shared" si="52"/>
        <v>0.10387160629364336</v>
      </c>
      <c r="E852008" s="277">
        <v>5.8871606293643367E-2</v>
      </c>
      <c r="F852008" s="277">
        <v>0.24707349543413576</v>
      </c>
    </row>
    <row r="852009" spans="1:6" ht="16">
      <c r="A852009" s="347" t="s">
        <v>267</v>
      </c>
      <c r="B852009" s="348" t="s">
        <v>583</v>
      </c>
      <c r="C852009" s="349">
        <v>9.2192164641705932E-3</v>
      </c>
      <c r="D852009" s="349">
        <f t="shared" si="52"/>
        <v>5.73762411417202E-2</v>
      </c>
      <c r="E852009" s="349">
        <v>1.2376241141720201E-2</v>
      </c>
      <c r="F852009" s="349">
        <v>0.27</v>
      </c>
    </row>
    <row r="852010" spans="1:6" ht="16">
      <c r="A852010" s="347" t="s">
        <v>268</v>
      </c>
      <c r="B852010" s="348" t="s">
        <v>585</v>
      </c>
      <c r="C852010" s="349">
        <v>7.6826803868088279E-3</v>
      </c>
      <c r="D852010" s="349">
        <f t="shared" si="52"/>
        <v>5.5313534284766833E-2</v>
      </c>
      <c r="E852010" s="349">
        <v>1.0313534284766834E-2</v>
      </c>
      <c r="F852010" s="349">
        <v>0.25</v>
      </c>
    </row>
    <row r="852011" spans="1:6" ht="16">
      <c r="A852011" s="347" t="s">
        <v>269</v>
      </c>
      <c r="B852011" s="348" t="s">
        <v>571</v>
      </c>
      <c r="C852011" s="349">
        <v>2.0743237044383835E-2</v>
      </c>
      <c r="D852011" s="349">
        <f t="shared" si="52"/>
        <v>7.2846542568870451E-2</v>
      </c>
      <c r="E852011" s="349">
        <v>2.7846542568870453E-2</v>
      </c>
      <c r="F852011" s="349">
        <v>0.35</v>
      </c>
    </row>
    <row r="852012" spans="1:6" ht="16">
      <c r="A852012" s="347" t="s">
        <v>500</v>
      </c>
      <c r="B852012" s="348" t="s">
        <v>581</v>
      </c>
      <c r="C852012" s="349">
        <v>7.0808704231754685E-2</v>
      </c>
      <c r="D852012" s="349">
        <f t="shared" si="52"/>
        <v>0.14005640765793431</v>
      </c>
      <c r="E852012" s="349">
        <v>9.5056407657934314E-2</v>
      </c>
      <c r="F852012" s="349">
        <v>0.3</v>
      </c>
    </row>
    <row r="852013" spans="1:6" ht="16">
      <c r="A852013" s="347" t="s">
        <v>501</v>
      </c>
      <c r="B852013" s="348" t="s">
        <v>586</v>
      </c>
      <c r="C852013" s="349">
        <v>9.8082219604926024E-2</v>
      </c>
      <c r="D852013" s="349">
        <f t="shared" si="52"/>
        <v>0.17666945436885656</v>
      </c>
      <c r="E852013" s="349">
        <v>0.13166945436885658</v>
      </c>
      <c r="F852013" s="349">
        <v>0.28000000000000003</v>
      </c>
    </row>
    <row r="852014" spans="1:6" ht="16">
      <c r="A852014" s="347" t="s">
        <v>485</v>
      </c>
      <c r="B852014" s="348" t="s">
        <v>569</v>
      </c>
      <c r="C852014" s="349">
        <v>4.9041109802463012E-2</v>
      </c>
      <c r="D852014" s="349">
        <f t="shared" si="52"/>
        <v>0.11083472718442829</v>
      </c>
      <c r="E852014" s="349">
        <v>6.5834727184428288E-2</v>
      </c>
      <c r="F852014" s="349">
        <v>0.2974</v>
      </c>
    </row>
    <row r="852015" spans="1:6" ht="16">
      <c r="A852015" s="347" t="s">
        <v>270</v>
      </c>
      <c r="B852015" s="348" t="s">
        <v>569</v>
      </c>
      <c r="C852015" s="349">
        <v>4.9041109802463012E-2</v>
      </c>
      <c r="D852015" s="349">
        <f t="shared" si="52"/>
        <v>0.11083472718442829</v>
      </c>
      <c r="E852015" s="349">
        <v>6.5834727184428288E-2</v>
      </c>
      <c r="F852015" s="349">
        <v>0.3</v>
      </c>
    </row>
    <row r="852016" spans="1:6" ht="16">
      <c r="A852016" s="347" t="s">
        <v>271</v>
      </c>
      <c r="B852016" s="348" t="s">
        <v>571</v>
      </c>
      <c r="C852016" s="349">
        <v>2.0743237044383835E-2</v>
      </c>
      <c r="D852016" s="349">
        <f t="shared" si="52"/>
        <v>7.2846542568870451E-2</v>
      </c>
      <c r="E852016" s="349">
        <v>2.7846542568870453E-2</v>
      </c>
      <c r="F852016" s="349">
        <v>0.18</v>
      </c>
    </row>
    <row r="852017" spans="1:6" ht="16">
      <c r="A852017" s="347" t="s">
        <v>363</v>
      </c>
      <c r="B852017" s="348" t="s">
        <v>688</v>
      </c>
      <c r="C852017" s="349">
        <v>0.13073361124886354</v>
      </c>
      <c r="D852017" s="349">
        <f t="shared" si="52"/>
        <v>0.22050197507911562</v>
      </c>
      <c r="E852017" s="349">
        <v>0.17550197507911564</v>
      </c>
      <c r="F852017" s="349">
        <v>0.2853</v>
      </c>
    </row>
    <row r="852018" spans="1:6" ht="16">
      <c r="A852018" s="352" t="s">
        <v>852</v>
      </c>
      <c r="B852018" s="348" t="s">
        <v>571</v>
      </c>
      <c r="C852018" s="349">
        <v>2.0743237044383835E-2</v>
      </c>
      <c r="D852018" s="349">
        <f t="shared" si="52"/>
        <v>7.2846542568870451E-2</v>
      </c>
      <c r="E852018" s="349">
        <v>2.7846542568870453E-2</v>
      </c>
      <c r="F852018" s="349">
        <v>0.22</v>
      </c>
    </row>
    <row r="852019" spans="1:6" ht="16">
      <c r="A852019" s="347" t="s">
        <v>272</v>
      </c>
      <c r="B852019" s="348" t="s">
        <v>571</v>
      </c>
      <c r="C852019" s="349">
        <v>2.0743237044383835E-2</v>
      </c>
      <c r="D852019" s="349">
        <f t="shared" si="52"/>
        <v>7.2846542568870451E-2</v>
      </c>
      <c r="E852019" s="349">
        <v>2.7846542568870453E-2</v>
      </c>
      <c r="F852019" s="349">
        <v>0.125</v>
      </c>
    </row>
    <row r="852020" spans="1:6" ht="16">
      <c r="A852020" s="347" t="s">
        <v>273</v>
      </c>
      <c r="B852020" s="348" t="s">
        <v>580</v>
      </c>
      <c r="C852020" s="349">
        <v>6.5302783287875029E-3</v>
      </c>
      <c r="D852020" s="349">
        <f t="shared" si="52"/>
        <v>5.3766504142051808E-2</v>
      </c>
      <c r="E852020" s="349">
        <v>8.7665041420518092E-3</v>
      </c>
      <c r="F852020" s="349">
        <v>0.19</v>
      </c>
    </row>
    <row r="852021" spans="1:6" ht="16">
      <c r="A852021" s="347" t="s">
        <v>274</v>
      </c>
      <c r="B852021" s="348" t="s">
        <v>574</v>
      </c>
      <c r="C852021" s="349">
        <v>0</v>
      </c>
      <c r="D852021" s="349">
        <f t="shared" si="52"/>
        <v>4.4999999999999998E-2</v>
      </c>
      <c r="E852021" s="349">
        <v>0</v>
      </c>
      <c r="F852021" s="349">
        <v>0.22</v>
      </c>
    </row>
    <row r="852022" spans="1:6" ht="16">
      <c r="A852022" s="347" t="s">
        <v>275</v>
      </c>
      <c r="B852022" s="348" t="s">
        <v>578</v>
      </c>
      <c r="C852022" s="349">
        <v>3.9181669972725021E-2</v>
      </c>
      <c r="D852022" s="349">
        <f t="shared" si="52"/>
        <v>9.7599024852310853E-2</v>
      </c>
      <c r="E852022" s="349">
        <v>5.2599024852310855E-2</v>
      </c>
      <c r="F852022" s="349">
        <v>0.27</v>
      </c>
    </row>
    <row r="852023" spans="1:6" ht="16">
      <c r="A852023" s="347" t="s">
        <v>276</v>
      </c>
      <c r="B852023" s="348" t="s">
        <v>689</v>
      </c>
      <c r="C852023" s="349">
        <v>0.10896601681957188</v>
      </c>
      <c r="D852023" s="349">
        <f t="shared" si="52"/>
        <v>0.19128029460560964</v>
      </c>
      <c r="E852023" s="349">
        <v>0.14628029460560965</v>
      </c>
      <c r="F852023" s="349">
        <v>0.25</v>
      </c>
    </row>
    <row r="852024" spans="1:6" ht="16">
      <c r="A852024" s="347" t="s">
        <v>277</v>
      </c>
      <c r="B852024" s="348" t="s">
        <v>579</v>
      </c>
      <c r="C852024" s="349">
        <v>8.1692501446400528E-2</v>
      </c>
      <c r="D852024" s="349">
        <f t="shared" si="52"/>
        <v>0.15466724789468733</v>
      </c>
      <c r="E852024" s="349">
        <v>0.10966724789468733</v>
      </c>
      <c r="F852024" s="349">
        <v>0.22500000000000001</v>
      </c>
    </row>
    <row r="852025" spans="1:6" ht="16">
      <c r="A852025" s="347" t="s">
        <v>364</v>
      </c>
      <c r="B852025" s="348" t="s">
        <v>689</v>
      </c>
      <c r="C852025" s="349">
        <v>0.10896601681957188</v>
      </c>
      <c r="D852025" s="349">
        <f t="shared" si="52"/>
        <v>0.19128029460560964</v>
      </c>
      <c r="E852025" s="349">
        <v>0.14628029460560965</v>
      </c>
      <c r="F852025" s="349">
        <v>0.3</v>
      </c>
    </row>
    <row r="852026" spans="1:6" ht="16">
      <c r="A852026" s="347" t="s">
        <v>278</v>
      </c>
      <c r="B852026" s="348" t="s">
        <v>585</v>
      </c>
      <c r="C852026" s="349">
        <v>7.6826803868088279E-3</v>
      </c>
      <c r="D852026" s="349">
        <f t="shared" si="52"/>
        <v>5.5313534284766833E-2</v>
      </c>
      <c r="E852026" s="349">
        <v>1.0313534284766834E-2</v>
      </c>
      <c r="F852026" s="349">
        <v>0.2</v>
      </c>
    </row>
    <row r="852027" spans="1:6" ht="16">
      <c r="A852027" s="347" t="s">
        <v>502</v>
      </c>
      <c r="B852027" s="348" t="s">
        <v>586</v>
      </c>
      <c r="C852027" s="349">
        <v>9.8082219604926024E-2</v>
      </c>
      <c r="D852027" s="349">
        <f t="shared" si="52"/>
        <v>0.17666945436885656</v>
      </c>
      <c r="E852027" s="349">
        <v>0.13166945436885658</v>
      </c>
      <c r="F852027" s="349">
        <v>0.3</v>
      </c>
    </row>
    <row r="852028" spans="1:6" ht="16">
      <c r="A852028" s="347" t="s">
        <v>853</v>
      </c>
      <c r="B852028" s="154" t="s">
        <v>687</v>
      </c>
      <c r="C852028" s="277">
        <v>4.2915086193622262E-2</v>
      </c>
      <c r="D852028" s="349">
        <f t="shared" si="52"/>
        <v>0.14861091058162493</v>
      </c>
      <c r="E852028" s="277">
        <v>0.10361091058162493</v>
      </c>
      <c r="F852028" s="277">
        <v>0.31595749426030023</v>
      </c>
    </row>
    <row r="852029" spans="1:6" ht="16">
      <c r="A852029" s="347" t="s">
        <v>279</v>
      </c>
      <c r="B852029" s="348" t="s">
        <v>569</v>
      </c>
      <c r="C852029" s="349">
        <v>4.9041109802463012E-2</v>
      </c>
      <c r="D852029" s="349">
        <f t="shared" si="52"/>
        <v>0.11083472718442829</v>
      </c>
      <c r="E852029" s="349">
        <v>6.5834727184428288E-2</v>
      </c>
      <c r="F852029" s="349">
        <v>0.2</v>
      </c>
    </row>
    <row r="852030" spans="1:6" ht="16">
      <c r="A852030" s="347" t="s">
        <v>280</v>
      </c>
      <c r="B852030" s="348" t="s">
        <v>575</v>
      </c>
      <c r="C852030" s="349">
        <v>4.3535188858583353E-3</v>
      </c>
      <c r="D852030" s="349">
        <f t="shared" si="52"/>
        <v>5.0844336094701202E-2</v>
      </c>
      <c r="E852030" s="349">
        <v>5.8443360947012038E-3</v>
      </c>
      <c r="F852030" s="349">
        <v>0.2</v>
      </c>
    </row>
    <row r="852031" spans="1:6" ht="16">
      <c r="A852031" s="347" t="s">
        <v>281</v>
      </c>
      <c r="B852031" s="348" t="s">
        <v>568</v>
      </c>
      <c r="C852031" s="349">
        <v>5.3778762707661788E-3</v>
      </c>
      <c r="D852031" s="349">
        <f t="shared" si="52"/>
        <v>5.2219473999336782E-2</v>
      </c>
      <c r="E852031" s="349">
        <v>7.219473999336784E-3</v>
      </c>
      <c r="F852031" s="349">
        <v>0.25</v>
      </c>
    </row>
    <row r="852032" spans="1:6" ht="16">
      <c r="A852032" s="347" t="s">
        <v>854</v>
      </c>
      <c r="B852032" s="154" t="s">
        <v>687</v>
      </c>
      <c r="C852032" s="277">
        <v>4.2915086193622262E-2</v>
      </c>
      <c r="D852032" s="349">
        <f t="shared" si="52"/>
        <v>0.14861091058162493</v>
      </c>
      <c r="E852032" s="277">
        <v>0.10361091058162493</v>
      </c>
      <c r="F852032" s="277">
        <v>0.31595749426030023</v>
      </c>
    </row>
    <row r="852033" spans="1:6" ht="16">
      <c r="A852033" s="347" t="s">
        <v>486</v>
      </c>
      <c r="B852033" s="348" t="s">
        <v>579</v>
      </c>
      <c r="C852033" s="349">
        <v>8.1692501446400528E-2</v>
      </c>
      <c r="D852033" s="349">
        <f t="shared" si="52"/>
        <v>0.15466724789468733</v>
      </c>
      <c r="E852033" s="349">
        <v>0.10966724789468733</v>
      </c>
      <c r="F852033" s="349">
        <v>0.3</v>
      </c>
    </row>
    <row r="852034" spans="1:6" ht="16">
      <c r="A852034" s="350" t="s">
        <v>588</v>
      </c>
      <c r="B852034" s="348" t="s">
        <v>687</v>
      </c>
      <c r="C852034" s="349">
        <v>4.9041109802463012E-2</v>
      </c>
      <c r="D852034" s="349">
        <f t="shared" si="52"/>
        <v>0.11083472718442829</v>
      </c>
      <c r="E852034" s="349">
        <v>6.5834727184428288E-2</v>
      </c>
      <c r="F852034" s="349">
        <v>0.31</v>
      </c>
    </row>
    <row r="852035" spans="1:6" ht="16">
      <c r="A852035" s="347" t="s">
        <v>365</v>
      </c>
      <c r="B852035" s="348" t="s">
        <v>576</v>
      </c>
      <c r="C852035" s="349">
        <v>3.2779436317050999E-2</v>
      </c>
      <c r="D852035" s="349">
        <f t="shared" si="52"/>
        <v>8.9004412948338496E-2</v>
      </c>
      <c r="E852035" s="349">
        <v>4.4004412948338498E-2</v>
      </c>
      <c r="F852035" s="349">
        <v>0.15</v>
      </c>
    </row>
    <row r="852036" spans="1:6" ht="16">
      <c r="A852036" s="347" t="s">
        <v>282</v>
      </c>
      <c r="B852036" s="348" t="s">
        <v>574</v>
      </c>
      <c r="C852036" s="349">
        <v>0</v>
      </c>
      <c r="D852036" s="349">
        <f t="shared" si="52"/>
        <v>4.4999999999999998E-2</v>
      </c>
      <c r="E852036" s="349">
        <v>0</v>
      </c>
      <c r="F852036" s="349">
        <v>0.3</v>
      </c>
    </row>
    <row r="852037" spans="1:6" ht="16">
      <c r="A852037" s="347" t="s">
        <v>487</v>
      </c>
      <c r="B852037" s="348" t="s">
        <v>689</v>
      </c>
      <c r="C852037" s="349">
        <v>0.10896601681957188</v>
      </c>
      <c r="D852037" s="349">
        <f t="shared" si="52"/>
        <v>0.19128029460560964</v>
      </c>
      <c r="E852037" s="349">
        <v>0.14628029460560965</v>
      </c>
      <c r="F852037" s="349">
        <v>0.25</v>
      </c>
    </row>
    <row r="852038" spans="1:6" ht="16">
      <c r="A852038" s="347" t="s">
        <v>855</v>
      </c>
      <c r="B852038" s="154" t="s">
        <v>687</v>
      </c>
      <c r="C852038" s="277">
        <v>9.5882201472833571E-3</v>
      </c>
      <c r="D852038" s="349">
        <f t="shared" ref="D852038:D852101" si="53">$B$1+E852038</f>
        <v>0.10387160629364336</v>
      </c>
      <c r="E852038" s="277">
        <v>5.8871606293643367E-2</v>
      </c>
      <c r="F852038" s="277">
        <v>0.24707349543413576</v>
      </c>
    </row>
    <row r="852039" spans="1:6" ht="16">
      <c r="A852039" s="347" t="s">
        <v>283</v>
      </c>
      <c r="B852039" s="348" t="s">
        <v>589</v>
      </c>
      <c r="C852039" s="349">
        <v>2.7273515373171343E-2</v>
      </c>
      <c r="D852039" s="349">
        <f t="shared" si="53"/>
        <v>8.161304671092226E-2</v>
      </c>
      <c r="E852039" s="349">
        <v>3.6613046710922262E-2</v>
      </c>
      <c r="F852039" s="349">
        <v>0.22</v>
      </c>
    </row>
    <row r="852040" spans="1:6" ht="16">
      <c r="A852040" s="347" t="s">
        <v>856</v>
      </c>
      <c r="B852040" s="154" t="s">
        <v>687</v>
      </c>
      <c r="C852040" s="277">
        <f>J852040</f>
        <v>0</v>
      </c>
      <c r="D852040" s="349">
        <f t="shared" si="53"/>
        <v>4.4999999999999998E-2</v>
      </c>
      <c r="E852040" s="277">
        <f>H852040</f>
        <v>0</v>
      </c>
      <c r="F852040" s="277">
        <f>K852040</f>
        <v>0</v>
      </c>
    </row>
    <row r="852041" spans="1:6" ht="16">
      <c r="A852041" s="347" t="s">
        <v>284</v>
      </c>
      <c r="B852041" s="348" t="s">
        <v>589</v>
      </c>
      <c r="C852041" s="349">
        <v>2.7273515373171343E-2</v>
      </c>
      <c r="D852041" s="349">
        <f t="shared" si="53"/>
        <v>8.161304671092226E-2</v>
      </c>
      <c r="E852041" s="349">
        <v>3.6613046710922262E-2</v>
      </c>
      <c r="F852041" s="349">
        <v>0.25</v>
      </c>
    </row>
    <row r="852042" spans="1:6" ht="16">
      <c r="A852042" s="347" t="s">
        <v>690</v>
      </c>
      <c r="B852042" s="348" t="s">
        <v>585</v>
      </c>
      <c r="C852042" s="349">
        <v>7.6826803868088279E-3</v>
      </c>
      <c r="D852042" s="349">
        <f t="shared" si="53"/>
        <v>5.5313534284766833E-2</v>
      </c>
      <c r="E852042" s="349">
        <v>1.0313534284766834E-2</v>
      </c>
      <c r="F852042" s="349">
        <v>0</v>
      </c>
    </row>
    <row r="852043" spans="1:6" ht="16">
      <c r="A852043" s="351" t="s">
        <v>590</v>
      </c>
      <c r="B852043" s="348" t="s">
        <v>687</v>
      </c>
      <c r="C852043" s="349">
        <v>9.8082219604926024E-2</v>
      </c>
      <c r="D852043" s="349">
        <f t="shared" si="53"/>
        <v>0.17666945436885656</v>
      </c>
      <c r="E852043" s="349">
        <v>0.13166945436885658</v>
      </c>
      <c r="F852043" s="349">
        <v>0.29149999999999998</v>
      </c>
    </row>
    <row r="852044" spans="1:6" ht="16">
      <c r="A852044" s="350" t="s">
        <v>591</v>
      </c>
      <c r="B852044" s="348" t="s">
        <v>687</v>
      </c>
      <c r="C852044" s="349">
        <v>5.9924907017108842E-2</v>
      </c>
      <c r="D852044" s="349">
        <f t="shared" si="53"/>
        <v>0.12544556742118129</v>
      </c>
      <c r="E852044" s="349">
        <v>8.0445567421181294E-2</v>
      </c>
      <c r="F852044" s="349">
        <v>0.29149999999999998</v>
      </c>
    </row>
    <row r="852045" spans="1:6" ht="16">
      <c r="A852045" s="351" t="s">
        <v>592</v>
      </c>
      <c r="B852045" s="348" t="s">
        <v>687</v>
      </c>
      <c r="C852045" s="349">
        <v>1.7414075543433345E-2</v>
      </c>
      <c r="D852045" s="349">
        <f t="shared" si="53"/>
        <v>6.8377344378804827E-2</v>
      </c>
      <c r="E852045" s="349">
        <v>2.3377344378804829E-2</v>
      </c>
      <c r="F852045" s="349">
        <v>0.18640000000000001</v>
      </c>
    </row>
    <row r="852046" spans="1:6" ht="16">
      <c r="A852046" s="350" t="s">
        <v>593</v>
      </c>
      <c r="B852046" s="348" t="s">
        <v>687</v>
      </c>
      <c r="C852046" s="349">
        <v>0.10896601681957191</v>
      </c>
      <c r="D852046" s="349">
        <f t="shared" si="53"/>
        <v>0.19128029460560964</v>
      </c>
      <c r="E852046" s="349">
        <v>0.14628029460560965</v>
      </c>
      <c r="F852046" s="349">
        <v>0.18640000000000001</v>
      </c>
    </row>
    <row r="852047" spans="1:6" ht="16">
      <c r="A852047" s="347" t="s">
        <v>285</v>
      </c>
      <c r="B852047" s="348" t="s">
        <v>569</v>
      </c>
      <c r="C852047" s="349">
        <v>4.9041109802463012E-2</v>
      </c>
      <c r="D852047" s="349">
        <f t="shared" si="53"/>
        <v>0.11083472718442829</v>
      </c>
      <c r="E852047" s="349">
        <v>6.5834727184428288E-2</v>
      </c>
      <c r="F852047" s="349">
        <v>0.25</v>
      </c>
    </row>
    <row r="852048" spans="1:6" ht="16">
      <c r="A852048" s="347" t="s">
        <v>286</v>
      </c>
      <c r="B852048" s="348" t="s">
        <v>580</v>
      </c>
      <c r="C852048" s="349">
        <v>6.5302783287875029E-3</v>
      </c>
      <c r="D852048" s="349">
        <f t="shared" si="53"/>
        <v>5.3766504142051808E-2</v>
      </c>
      <c r="E852048" s="349">
        <v>8.7665041420518092E-3</v>
      </c>
      <c r="F852048" s="349">
        <v>0.16500000000000001</v>
      </c>
    </row>
    <row r="852049" spans="1:6" ht="16">
      <c r="A852049" s="347" t="s">
        <v>287</v>
      </c>
      <c r="B852049" s="348" t="s">
        <v>571</v>
      </c>
      <c r="C852049" s="349">
        <v>2.0743237044383835E-2</v>
      </c>
      <c r="D852049" s="349">
        <f t="shared" si="53"/>
        <v>7.2846542568870451E-2</v>
      </c>
      <c r="E852049" s="349">
        <v>2.7846542568870453E-2</v>
      </c>
      <c r="F852049" s="349">
        <v>0.09</v>
      </c>
    </row>
    <row r="852050" spans="1:6" ht="16">
      <c r="A852050" s="347" t="s">
        <v>288</v>
      </c>
      <c r="B852050" s="348" t="s">
        <v>583</v>
      </c>
      <c r="C852050" s="349">
        <v>9.2192164641705932E-3</v>
      </c>
      <c r="D852050" s="349">
        <f t="shared" si="53"/>
        <v>5.73762411417202E-2</v>
      </c>
      <c r="E852050" s="349">
        <v>1.2376241141720201E-2</v>
      </c>
      <c r="F852050" s="349">
        <v>0.2</v>
      </c>
    </row>
    <row r="852051" spans="1:6" ht="16">
      <c r="A852051" s="347" t="s">
        <v>289</v>
      </c>
      <c r="B852051" s="348" t="s">
        <v>577</v>
      </c>
      <c r="C852051" s="349">
        <v>2.3944353872220846E-2</v>
      </c>
      <c r="D852051" s="349">
        <f t="shared" si="53"/>
        <v>7.7143848520856623E-2</v>
      </c>
      <c r="E852051" s="349">
        <v>3.2143848520856624E-2</v>
      </c>
      <c r="F852051" s="349">
        <v>0.3</v>
      </c>
    </row>
    <row r="852052" spans="1:6" ht="16">
      <c r="A852052" s="347" t="s">
        <v>290</v>
      </c>
      <c r="B852052" s="348" t="s">
        <v>571</v>
      </c>
      <c r="C852052" s="349">
        <v>2.0743237044383835E-2</v>
      </c>
      <c r="D852052" s="349">
        <f t="shared" si="53"/>
        <v>7.2846542568870451E-2</v>
      </c>
      <c r="E852052" s="349">
        <v>2.7846542568870453E-2</v>
      </c>
      <c r="F852052" s="349">
        <v>0.22</v>
      </c>
    </row>
    <row r="852053" spans="1:6" ht="16">
      <c r="A852053" s="351" t="s">
        <v>594</v>
      </c>
      <c r="B852053" s="348" t="s">
        <v>687</v>
      </c>
      <c r="C852053" s="349">
        <v>7.0808704231754685E-2</v>
      </c>
      <c r="D852053" s="349">
        <f t="shared" si="53"/>
        <v>0.14005640765793431</v>
      </c>
      <c r="E852053" s="349">
        <v>9.5056407657934314E-2</v>
      </c>
      <c r="F852053" s="349">
        <v>0.20230000000000001</v>
      </c>
    </row>
    <row r="852054" spans="1:6" ht="16">
      <c r="A852054" s="347" t="s">
        <v>559</v>
      </c>
      <c r="B852054" s="348" t="s">
        <v>579</v>
      </c>
      <c r="C852054" s="349">
        <v>8.1692501446400528E-2</v>
      </c>
      <c r="D852054" s="349">
        <f t="shared" si="53"/>
        <v>0.15466724789468733</v>
      </c>
      <c r="E852054" s="349">
        <v>0.10966724789468733</v>
      </c>
      <c r="F852054" s="349">
        <v>0.15</v>
      </c>
    </row>
    <row r="852055" spans="1:6" ht="16">
      <c r="A852055" s="347" t="s">
        <v>291</v>
      </c>
      <c r="B852055" s="348" t="s">
        <v>580</v>
      </c>
      <c r="C852055" s="349">
        <v>6.5302783287875029E-3</v>
      </c>
      <c r="D852055" s="349">
        <f t="shared" si="53"/>
        <v>5.3766504142051808E-2</v>
      </c>
      <c r="E852055" s="349">
        <v>8.7665041420518092E-3</v>
      </c>
      <c r="F852055" s="349">
        <v>0.125</v>
      </c>
    </row>
    <row r="852056" spans="1:6" ht="16">
      <c r="A852056" s="347" t="s">
        <v>292</v>
      </c>
      <c r="B852056" s="348" t="s">
        <v>580</v>
      </c>
      <c r="C852056" s="349">
        <v>6.5302783287875029E-3</v>
      </c>
      <c r="D852056" s="349">
        <f t="shared" si="53"/>
        <v>5.3766504142051808E-2</v>
      </c>
      <c r="E852056" s="349">
        <v>8.7665041420518092E-3</v>
      </c>
      <c r="F852056" s="349">
        <v>0</v>
      </c>
    </row>
    <row r="852057" spans="1:6" ht="16">
      <c r="A852057" s="347" t="s">
        <v>293</v>
      </c>
      <c r="B852057" s="348" t="s">
        <v>585</v>
      </c>
      <c r="C852057" s="349">
        <v>7.6826803868088279E-3</v>
      </c>
      <c r="D852057" s="349">
        <f t="shared" si="53"/>
        <v>5.5313534284766833E-2</v>
      </c>
      <c r="E852057" s="349">
        <v>1.0313534284766834E-2</v>
      </c>
      <c r="F852057" s="349">
        <v>0.23</v>
      </c>
    </row>
    <row r="852058" spans="1:6" ht="16">
      <c r="A852058" s="347" t="s">
        <v>294</v>
      </c>
      <c r="B852058" s="348" t="s">
        <v>577</v>
      </c>
      <c r="C852058" s="349">
        <v>2.3944353872220846E-2</v>
      </c>
      <c r="D852058" s="349">
        <f t="shared" si="53"/>
        <v>7.7143848520856623E-2</v>
      </c>
      <c r="E852058" s="349">
        <v>3.2143848520856624E-2</v>
      </c>
      <c r="F852058" s="349">
        <v>0.24</v>
      </c>
    </row>
    <row r="852059" spans="1:6" ht="16">
      <c r="A852059" s="347" t="s">
        <v>857</v>
      </c>
      <c r="B852059" s="348" t="s">
        <v>578</v>
      </c>
      <c r="C852059" s="349">
        <v>3.9181669972725021E-2</v>
      </c>
      <c r="D852059" s="349">
        <f t="shared" si="53"/>
        <v>9.7599024852310853E-2</v>
      </c>
      <c r="E852059" s="349">
        <v>5.2599024852310855E-2</v>
      </c>
      <c r="F852059" s="349">
        <v>0.25</v>
      </c>
    </row>
    <row r="852060" spans="1:6" ht="16">
      <c r="A852060" s="347" t="s">
        <v>295</v>
      </c>
      <c r="B852060" s="348" t="s">
        <v>569</v>
      </c>
      <c r="C852060" s="349">
        <v>4.9041109802463012E-2</v>
      </c>
      <c r="D852060" s="349">
        <f t="shared" si="53"/>
        <v>0.11083472718442829</v>
      </c>
      <c r="E852060" s="349">
        <v>6.5834727184428288E-2</v>
      </c>
      <c r="F852060" s="349">
        <v>0.25</v>
      </c>
    </row>
    <row r="852061" spans="1:6" ht="16">
      <c r="A852061" s="347" t="s">
        <v>296</v>
      </c>
      <c r="B852061" s="348" t="s">
        <v>585</v>
      </c>
      <c r="C852061" s="349">
        <v>7.6826803868088279E-3</v>
      </c>
      <c r="D852061" s="349">
        <f t="shared" si="53"/>
        <v>5.5313534284766833E-2</v>
      </c>
      <c r="E852061" s="349">
        <v>1.0313534284766834E-2</v>
      </c>
      <c r="F852061" s="349">
        <v>0.30620000000000003</v>
      </c>
    </row>
    <row r="852062" spans="1:6" ht="16">
      <c r="A852062" s="347" t="s">
        <v>691</v>
      </c>
      <c r="B852062" s="348" t="s">
        <v>580</v>
      </c>
      <c r="C852062" s="349">
        <v>6.5302783287875029E-3</v>
      </c>
      <c r="D852062" s="349">
        <f t="shared" si="53"/>
        <v>5.3766504142051808E-2</v>
      </c>
      <c r="E852062" s="349">
        <v>8.7665041420518092E-3</v>
      </c>
      <c r="F852062" s="349">
        <v>0</v>
      </c>
    </row>
    <row r="852063" spans="1:6" ht="16">
      <c r="A852063" s="347" t="s">
        <v>297</v>
      </c>
      <c r="B852063" s="348" t="s">
        <v>569</v>
      </c>
      <c r="C852063" s="349">
        <v>4.9041109802463012E-2</v>
      </c>
      <c r="D852063" s="349">
        <f t="shared" si="53"/>
        <v>0.11083472718442829</v>
      </c>
      <c r="E852063" s="349">
        <v>6.5834727184428288E-2</v>
      </c>
      <c r="F852063" s="349">
        <v>0.2</v>
      </c>
    </row>
    <row r="852064" spans="1:6" ht="16">
      <c r="A852064" s="347" t="s">
        <v>298</v>
      </c>
      <c r="B852064" s="348" t="s">
        <v>571</v>
      </c>
      <c r="C852064" s="349">
        <v>2.0743237044383835E-2</v>
      </c>
      <c r="D852064" s="349">
        <f t="shared" si="53"/>
        <v>7.2846542568870451E-2</v>
      </c>
      <c r="E852064" s="349">
        <v>2.7846542568870453E-2</v>
      </c>
      <c r="F852064" s="349">
        <v>0.2</v>
      </c>
    </row>
    <row r="852065" spans="1:6" ht="16">
      <c r="A852065" s="347" t="s">
        <v>429</v>
      </c>
      <c r="B852065" s="348" t="s">
        <v>581</v>
      </c>
      <c r="C852065" s="349">
        <v>7.0808704231754685E-2</v>
      </c>
      <c r="D852065" s="349">
        <f t="shared" si="53"/>
        <v>0.14005640765793431</v>
      </c>
      <c r="E852065" s="349">
        <v>9.5056407657934314E-2</v>
      </c>
      <c r="F852065" s="349">
        <v>0.3</v>
      </c>
    </row>
    <row r="852066" spans="1:6" ht="16">
      <c r="A852066" s="350" t="s">
        <v>595</v>
      </c>
      <c r="B852066" s="348" t="s">
        <v>687</v>
      </c>
      <c r="C852066" s="349">
        <v>0.17499999999999999</v>
      </c>
      <c r="D852066" s="349">
        <f t="shared" si="53"/>
        <v>0.27992692770782934</v>
      </c>
      <c r="E852066" s="349">
        <v>0.23492692770782936</v>
      </c>
      <c r="F852066" s="349">
        <v>0.23100000000000001</v>
      </c>
    </row>
    <row r="852067" spans="1:6" ht="16">
      <c r="A852067" s="347" t="s">
        <v>299</v>
      </c>
      <c r="B852067" s="348" t="s">
        <v>585</v>
      </c>
      <c r="C852067" s="349">
        <v>7.6826803868088279E-3</v>
      </c>
      <c r="D852067" s="349">
        <f t="shared" si="53"/>
        <v>5.5313534284766833E-2</v>
      </c>
      <c r="E852067" s="349">
        <v>1.0313534284766834E-2</v>
      </c>
      <c r="F852067" s="349">
        <v>0.15</v>
      </c>
    </row>
    <row r="852068" spans="1:6" ht="16">
      <c r="A852068" s="347" t="s">
        <v>488</v>
      </c>
      <c r="B852068" s="348" t="s">
        <v>581</v>
      </c>
      <c r="C852068" s="349">
        <v>7.0808704231754685E-2</v>
      </c>
      <c r="D852068" s="349">
        <f t="shared" si="53"/>
        <v>0.14005640765793431</v>
      </c>
      <c r="E852068" s="349">
        <v>9.5056407657934314E-2</v>
      </c>
      <c r="F852068" s="349">
        <v>0.1</v>
      </c>
    </row>
    <row r="852069" spans="1:6" ht="16">
      <c r="A852069" s="347" t="s">
        <v>622</v>
      </c>
      <c r="B852069" s="348" t="s">
        <v>689</v>
      </c>
      <c r="C852069" s="349">
        <v>0.10896601681957188</v>
      </c>
      <c r="D852069" s="349">
        <f t="shared" si="53"/>
        <v>0.19128029460560964</v>
      </c>
      <c r="E852069" s="349">
        <v>0.14628029460560965</v>
      </c>
      <c r="F852069" s="349">
        <v>0.26860000000000001</v>
      </c>
    </row>
    <row r="852070" spans="1:6" ht="16">
      <c r="A852070" s="347" t="s">
        <v>300</v>
      </c>
      <c r="B852070" s="348" t="s">
        <v>587</v>
      </c>
      <c r="C852070" s="349">
        <v>1.3060556657575006E-2</v>
      </c>
      <c r="D852070" s="349">
        <f t="shared" si="53"/>
        <v>6.2533008284103617E-2</v>
      </c>
      <c r="E852070" s="349">
        <v>1.7533008284103618E-2</v>
      </c>
      <c r="F852070" s="349">
        <v>0.2</v>
      </c>
    </row>
    <row r="852071" spans="1:6" ht="16">
      <c r="A852071" s="347" t="s">
        <v>366</v>
      </c>
      <c r="B852071" s="348" t="s">
        <v>615</v>
      </c>
      <c r="C852071" s="349">
        <v>0.17499999999999999</v>
      </c>
      <c r="D852071" s="349">
        <f t="shared" si="53"/>
        <v>0.27992692770782934</v>
      </c>
      <c r="E852071" s="349">
        <v>0.23492692770782936</v>
      </c>
      <c r="F852071" s="349">
        <v>0.17</v>
      </c>
    </row>
    <row r="852072" spans="1:6" ht="16">
      <c r="A852072" s="351" t="s">
        <v>596</v>
      </c>
      <c r="B852072" s="348" t="s">
        <v>687</v>
      </c>
      <c r="C852072" s="349">
        <v>0.13073361124886354</v>
      </c>
      <c r="D852072" s="349">
        <f t="shared" si="53"/>
        <v>0.22050197507911562</v>
      </c>
      <c r="E852072" s="349">
        <v>0.17550197507911564</v>
      </c>
      <c r="F852072" s="349">
        <v>0.29149999999999998</v>
      </c>
    </row>
    <row r="852073" spans="1:6" ht="16">
      <c r="A852073" s="350" t="s">
        <v>597</v>
      </c>
      <c r="B852073" s="348" t="s">
        <v>687</v>
      </c>
      <c r="C852073" s="349">
        <v>2.0743237044383835E-2</v>
      </c>
      <c r="D852073" s="349">
        <f t="shared" si="53"/>
        <v>7.2846542568870451E-2</v>
      </c>
      <c r="E852073" s="349">
        <v>2.7846542568870453E-2</v>
      </c>
      <c r="F852073" s="349">
        <v>0.2</v>
      </c>
    </row>
    <row r="852074" spans="1:6" ht="16">
      <c r="A852074" s="347" t="s">
        <v>301</v>
      </c>
      <c r="B852074" s="348" t="s">
        <v>574</v>
      </c>
      <c r="C852074" s="349">
        <v>0</v>
      </c>
      <c r="D852074" s="349">
        <f t="shared" si="53"/>
        <v>4.4999999999999998E-2</v>
      </c>
      <c r="E852074" s="349">
        <v>0</v>
      </c>
      <c r="F852074" s="349">
        <v>0.125</v>
      </c>
    </row>
    <row r="852075" spans="1:6" ht="16">
      <c r="A852075" s="347" t="s">
        <v>302</v>
      </c>
      <c r="B852075" s="348" t="s">
        <v>583</v>
      </c>
      <c r="C852075" s="349">
        <v>9.2192164641705932E-3</v>
      </c>
      <c r="D852075" s="349">
        <f t="shared" si="53"/>
        <v>5.73762411417202E-2</v>
      </c>
      <c r="E852075" s="349">
        <v>1.2376241141720201E-2</v>
      </c>
      <c r="F852075" s="349">
        <v>0.15</v>
      </c>
    </row>
    <row r="852076" spans="1:6" ht="16">
      <c r="A852076" s="347" t="s">
        <v>303</v>
      </c>
      <c r="B852076" s="348" t="s">
        <v>574</v>
      </c>
      <c r="C852076" s="349">
        <v>0</v>
      </c>
      <c r="D852076" s="349">
        <f t="shared" si="53"/>
        <v>4.4999999999999998E-2</v>
      </c>
      <c r="E852076" s="349">
        <v>0</v>
      </c>
      <c r="F852076" s="349">
        <v>0.24940000000000001</v>
      </c>
    </row>
    <row r="852077" spans="1:6" ht="16">
      <c r="A852077" s="347" t="s">
        <v>858</v>
      </c>
      <c r="B852077" s="348" t="s">
        <v>580</v>
      </c>
      <c r="C852077" s="349">
        <v>6.5302783287875029E-3</v>
      </c>
      <c r="D852077" s="349">
        <f t="shared" si="53"/>
        <v>5.3766504142051808E-2</v>
      </c>
      <c r="E852077" s="349">
        <v>8.7665041420518092E-3</v>
      </c>
      <c r="F852077" s="349">
        <v>0.26860000000000001</v>
      </c>
    </row>
    <row r="852078" spans="1:6" ht="16">
      <c r="A852078" s="347" t="s">
        <v>304</v>
      </c>
      <c r="B852078" s="348" t="s">
        <v>578</v>
      </c>
      <c r="C852078" s="349">
        <v>3.9181669972725021E-2</v>
      </c>
      <c r="D852078" s="349">
        <f t="shared" si="53"/>
        <v>9.7599024852310853E-2</v>
      </c>
      <c r="E852078" s="349">
        <v>5.2599024852310855E-2</v>
      </c>
      <c r="F852078" s="349">
        <v>0.1</v>
      </c>
    </row>
    <row r="852079" spans="1:6" ht="16">
      <c r="A852079" s="351" t="s">
        <v>598</v>
      </c>
      <c r="B852079" s="348" t="s">
        <v>687</v>
      </c>
      <c r="C852079" s="349">
        <v>7.0808704231754685E-2</v>
      </c>
      <c r="D852079" s="349">
        <f t="shared" si="53"/>
        <v>0.14005640765793431</v>
      </c>
      <c r="E852079" s="349">
        <v>9.5056407657934314E-2</v>
      </c>
      <c r="F852079" s="349">
        <v>0.2</v>
      </c>
    </row>
    <row r="852080" spans="1:6" ht="16">
      <c r="A852080" s="350" t="s">
        <v>599</v>
      </c>
      <c r="B852080" s="348" t="s">
        <v>687</v>
      </c>
      <c r="C852080" s="349">
        <v>0.13073361124886354</v>
      </c>
      <c r="D852080" s="349">
        <f t="shared" si="53"/>
        <v>0.22050197507911562</v>
      </c>
      <c r="E852080" s="349">
        <v>0.17550197507911564</v>
      </c>
      <c r="F852080" s="349">
        <v>0.3</v>
      </c>
    </row>
    <row r="852081" spans="1:6" ht="16">
      <c r="A852081" s="347" t="s">
        <v>305</v>
      </c>
      <c r="B852081" s="348" t="s">
        <v>587</v>
      </c>
      <c r="C852081" s="349">
        <v>1.3060556657575006E-2</v>
      </c>
      <c r="D852081" s="349">
        <f t="shared" si="53"/>
        <v>6.2533008284103617E-2</v>
      </c>
      <c r="E852081" s="349">
        <v>1.7533008284103618E-2</v>
      </c>
      <c r="F852081" s="349">
        <v>0.24</v>
      </c>
    </row>
    <row r="852082" spans="1:6" ht="16">
      <c r="A852082" s="347" t="s">
        <v>692</v>
      </c>
      <c r="B852082" s="348" t="s">
        <v>579</v>
      </c>
      <c r="C852082" s="349">
        <v>8.1692501446400528E-2</v>
      </c>
      <c r="D852082" s="349">
        <f t="shared" si="53"/>
        <v>0.15466724789468733</v>
      </c>
      <c r="E852082" s="349">
        <v>0.10966724789468733</v>
      </c>
      <c r="F852082" s="349">
        <v>0.26860000000000001</v>
      </c>
    </row>
    <row r="852083" spans="1:6" ht="16">
      <c r="A852083" s="347" t="s">
        <v>600</v>
      </c>
      <c r="B852083" s="348" t="s">
        <v>586</v>
      </c>
      <c r="C852083" s="349">
        <v>9.8082219604926024E-2</v>
      </c>
      <c r="D852083" s="349">
        <f t="shared" si="53"/>
        <v>0.17666945436885656</v>
      </c>
      <c r="E852083" s="349">
        <v>0.13166945436885658</v>
      </c>
      <c r="F852083" s="349">
        <v>0.26860000000000001</v>
      </c>
    </row>
    <row r="852084" spans="1:6" ht="16">
      <c r="A852084" s="347" t="s">
        <v>306</v>
      </c>
      <c r="B852084" s="348" t="s">
        <v>583</v>
      </c>
      <c r="C852084" s="349">
        <v>9.2192164641705932E-3</v>
      </c>
      <c r="D852084" s="349">
        <f t="shared" si="53"/>
        <v>5.73762411417202E-2</v>
      </c>
      <c r="E852084" s="349">
        <v>1.2376241141720201E-2</v>
      </c>
      <c r="F852084" s="349">
        <v>0.35</v>
      </c>
    </row>
    <row r="852085" spans="1:6" ht="16">
      <c r="A852085" s="347" t="s">
        <v>859</v>
      </c>
      <c r="B852085" s="154" t="s">
        <v>687</v>
      </c>
      <c r="C852085" s="277">
        <f>J852085</f>
        <v>0</v>
      </c>
      <c r="D852085" s="349">
        <f t="shared" si="53"/>
        <v>4.4999999999999998E-2</v>
      </c>
      <c r="E852085" s="277">
        <f>H852085</f>
        <v>0</v>
      </c>
      <c r="F852085" s="277">
        <f>K852085</f>
        <v>0</v>
      </c>
    </row>
    <row r="852086" spans="1:6" ht="16">
      <c r="A852086" s="347" t="s">
        <v>307</v>
      </c>
      <c r="B852086" s="348" t="s">
        <v>577</v>
      </c>
      <c r="C852086" s="349">
        <v>2.3944353872220846E-2</v>
      </c>
      <c r="D852086" s="349">
        <f t="shared" si="53"/>
        <v>7.7143848520856623E-2</v>
      </c>
      <c r="E852086" s="349">
        <v>3.2143848520856624E-2</v>
      </c>
      <c r="F852086" s="349">
        <v>0.15</v>
      </c>
    </row>
    <row r="852087" spans="1:6" ht="16">
      <c r="A852087" s="347" t="s">
        <v>308</v>
      </c>
      <c r="B852087" s="348" t="s">
        <v>571</v>
      </c>
      <c r="C852087" s="349">
        <v>2.0743237044383835E-2</v>
      </c>
      <c r="D852087" s="349">
        <f t="shared" si="53"/>
        <v>7.2846542568870451E-2</v>
      </c>
      <c r="E852087" s="349">
        <v>2.7846542568870453E-2</v>
      </c>
      <c r="F852087" s="349">
        <v>0.3</v>
      </c>
    </row>
    <row r="852088" spans="1:6" ht="16">
      <c r="A852088" s="347" t="s">
        <v>860</v>
      </c>
      <c r="B852088" s="154" t="s">
        <v>687</v>
      </c>
      <c r="C852088" s="277">
        <v>9.5882201472833571E-3</v>
      </c>
      <c r="D852088" s="349">
        <f t="shared" si="53"/>
        <v>0.10387160629364336</v>
      </c>
      <c r="E852088" s="277">
        <v>5.8871606293643367E-2</v>
      </c>
      <c r="F852088" s="277">
        <v>0.24707349543413576</v>
      </c>
    </row>
    <row r="852089" spans="1:6" ht="16">
      <c r="A852089" s="347" t="s">
        <v>367</v>
      </c>
      <c r="B852089" s="348" t="s">
        <v>581</v>
      </c>
      <c r="C852089" s="349">
        <v>7.0808704231754685E-2</v>
      </c>
      <c r="D852089" s="349">
        <f t="shared" si="53"/>
        <v>0.14005640765793431</v>
      </c>
      <c r="E852089" s="349">
        <v>9.5056407657934314E-2</v>
      </c>
      <c r="F852089" s="349">
        <v>0.12</v>
      </c>
    </row>
    <row r="852090" spans="1:6" ht="16">
      <c r="A852090" s="347" t="s">
        <v>368</v>
      </c>
      <c r="B852090" s="348" t="s">
        <v>581</v>
      </c>
      <c r="C852090" s="349">
        <v>7.0808704231754685E-2</v>
      </c>
      <c r="D852090" s="349">
        <f t="shared" si="53"/>
        <v>0.14005640765793431</v>
      </c>
      <c r="E852090" s="349">
        <v>9.5056407657934314E-2</v>
      </c>
      <c r="F852090" s="349">
        <v>0.25</v>
      </c>
    </row>
    <row r="852091" spans="1:6" ht="16">
      <c r="A852091" s="347" t="s">
        <v>309</v>
      </c>
      <c r="B852091" s="348" t="s">
        <v>569</v>
      </c>
      <c r="C852091" s="349">
        <v>4.9041109802463012E-2</v>
      </c>
      <c r="D852091" s="349">
        <f t="shared" si="53"/>
        <v>0.11083472718442829</v>
      </c>
      <c r="E852091" s="349">
        <v>6.5834727184428288E-2</v>
      </c>
      <c r="F852091" s="349">
        <v>0.15</v>
      </c>
    </row>
    <row r="852092" spans="1:6" ht="16">
      <c r="A852092" s="347" t="s">
        <v>489</v>
      </c>
      <c r="B852092" s="348" t="s">
        <v>577</v>
      </c>
      <c r="C852092" s="349">
        <v>2.3944353872220846E-2</v>
      </c>
      <c r="D852092" s="349">
        <f t="shared" si="53"/>
        <v>7.7143848520856623E-2</v>
      </c>
      <c r="E852092" s="349">
        <v>3.2143848520856624E-2</v>
      </c>
      <c r="F852092" s="349">
        <v>0.2853</v>
      </c>
    </row>
    <row r="852093" spans="1:6" ht="16">
      <c r="A852093" s="347" t="s">
        <v>369</v>
      </c>
      <c r="B852093" s="348" t="s">
        <v>589</v>
      </c>
      <c r="C852093" s="349">
        <v>2.7273515373171343E-2</v>
      </c>
      <c r="D852093" s="349">
        <f t="shared" si="53"/>
        <v>8.161304671092226E-2</v>
      </c>
      <c r="E852093" s="349">
        <v>3.6613046710922262E-2</v>
      </c>
      <c r="F852093" s="349">
        <v>0.32</v>
      </c>
    </row>
    <row r="852094" spans="1:6" ht="16">
      <c r="A852094" s="347" t="s">
        <v>310</v>
      </c>
      <c r="B852094" s="348" t="s">
        <v>586</v>
      </c>
      <c r="C852094" s="349">
        <v>9.8082219604926024E-2</v>
      </c>
      <c r="D852094" s="349">
        <f t="shared" si="53"/>
        <v>0.17666945436885656</v>
      </c>
      <c r="E852094" s="349">
        <v>0.13166945436885658</v>
      </c>
      <c r="F852094" s="349">
        <v>0.32</v>
      </c>
    </row>
    <row r="852095" spans="1:6" ht="16">
      <c r="A852095" s="351" t="s">
        <v>601</v>
      </c>
      <c r="B852095" s="348" t="s">
        <v>687</v>
      </c>
      <c r="C852095" s="349">
        <v>0.10896601681957191</v>
      </c>
      <c r="D852095" s="349">
        <f t="shared" si="53"/>
        <v>0.19128029460560964</v>
      </c>
      <c r="E852095" s="349">
        <v>0.14628029460560965</v>
      </c>
      <c r="F852095" s="349">
        <v>0.25</v>
      </c>
    </row>
    <row r="852096" spans="1:6" ht="16">
      <c r="A852096" s="347" t="s">
        <v>311</v>
      </c>
      <c r="B852096" s="348" t="s">
        <v>569</v>
      </c>
      <c r="C852096" s="349">
        <v>4.9041109802463012E-2</v>
      </c>
      <c r="D852096" s="349">
        <f t="shared" si="53"/>
        <v>0.11083472718442829</v>
      </c>
      <c r="E852096" s="349">
        <v>6.5834727184428288E-2</v>
      </c>
      <c r="F852096" s="349">
        <v>0.32</v>
      </c>
    </row>
    <row r="852097" spans="1:6" ht="16">
      <c r="A852097" s="347" t="s">
        <v>312</v>
      </c>
      <c r="B852097" s="348" t="s">
        <v>574</v>
      </c>
      <c r="C852097" s="349">
        <v>0</v>
      </c>
      <c r="D852097" s="349">
        <f t="shared" si="53"/>
        <v>4.4999999999999998E-2</v>
      </c>
      <c r="E852097" s="349">
        <v>0</v>
      </c>
      <c r="F852097" s="349">
        <v>0.25800000000000001</v>
      </c>
    </row>
    <row r="852098" spans="1:6" ht="16">
      <c r="A852098" s="347" t="s">
        <v>861</v>
      </c>
      <c r="B852098" s="154" t="s">
        <v>687</v>
      </c>
      <c r="C852098" s="277">
        <v>0.1054310997313879</v>
      </c>
      <c r="D852098" s="349">
        <f t="shared" si="53"/>
        <v>0.23253488197001548</v>
      </c>
      <c r="E852098" s="277">
        <v>0.1875348819700155</v>
      </c>
      <c r="F852098" s="277">
        <v>0.2724561140242252</v>
      </c>
    </row>
    <row r="852099" spans="1:6" ht="16">
      <c r="A852099" s="347" t="s">
        <v>313</v>
      </c>
      <c r="B852099" s="348" t="s">
        <v>574</v>
      </c>
      <c r="C852099" s="349">
        <v>0</v>
      </c>
      <c r="D852099" s="349">
        <f t="shared" si="53"/>
        <v>4.4999999999999998E-2</v>
      </c>
      <c r="E852099" s="349">
        <v>0</v>
      </c>
      <c r="F852099" s="349">
        <v>0.28000000000000003</v>
      </c>
    </row>
    <row r="852100" spans="1:6" ht="16">
      <c r="A852100" s="347" t="s">
        <v>370</v>
      </c>
      <c r="B852100" s="348" t="s">
        <v>581</v>
      </c>
      <c r="C852100" s="349">
        <v>7.0808704231754685E-2</v>
      </c>
      <c r="D852100" s="349">
        <f t="shared" si="53"/>
        <v>0.14005640765793431</v>
      </c>
      <c r="E852100" s="349">
        <v>9.5056407657934314E-2</v>
      </c>
      <c r="F852100" s="349">
        <v>0.3</v>
      </c>
    </row>
    <row r="852101" spans="1:6" ht="16">
      <c r="A852101" s="347" t="s">
        <v>602</v>
      </c>
      <c r="B852101" s="348" t="s">
        <v>586</v>
      </c>
      <c r="C852101" s="349">
        <v>9.8082219604926024E-2</v>
      </c>
      <c r="D852101" s="349">
        <f t="shared" si="53"/>
        <v>0.17666945436885656</v>
      </c>
      <c r="E852101" s="349">
        <v>0.13166945436885658</v>
      </c>
      <c r="F852101" s="349">
        <v>0.26860000000000001</v>
      </c>
    </row>
    <row r="852102" spans="1:6" ht="16">
      <c r="A852102" s="347" t="s">
        <v>314</v>
      </c>
      <c r="B852102" s="348" t="s">
        <v>579</v>
      </c>
      <c r="C852102" s="349">
        <v>8.1692501446400528E-2</v>
      </c>
      <c r="D852102" s="349">
        <f t="shared" ref="D852102:D852163" si="54">$B$1+E852102</f>
        <v>0.15466724789468733</v>
      </c>
      <c r="E852102" s="349">
        <v>0.10966724789468733</v>
      </c>
      <c r="F852102" s="349">
        <v>0.3</v>
      </c>
    </row>
    <row r="852103" spans="1:6" ht="16">
      <c r="A852103" s="347" t="s">
        <v>315</v>
      </c>
      <c r="B852103" s="348" t="s">
        <v>574</v>
      </c>
      <c r="C852103" s="349">
        <v>0</v>
      </c>
      <c r="D852103" s="349">
        <f t="shared" si="54"/>
        <v>4.4999999999999998E-2</v>
      </c>
      <c r="E852103" s="349">
        <v>0</v>
      </c>
      <c r="F852103" s="349">
        <v>0.22</v>
      </c>
    </row>
    <row r="852104" spans="1:6" ht="16">
      <c r="A852104" s="347" t="s">
        <v>316</v>
      </c>
      <c r="B852104" s="348" t="s">
        <v>589</v>
      </c>
      <c r="C852104" s="349">
        <v>2.7273515373171343E-2</v>
      </c>
      <c r="D852104" s="349">
        <f t="shared" si="54"/>
        <v>8.161304671092226E-2</v>
      </c>
      <c r="E852104" s="349">
        <v>3.6613046710922262E-2</v>
      </c>
      <c r="F852104" s="349">
        <v>0.15</v>
      </c>
    </row>
    <row r="852105" spans="1:6" ht="16">
      <c r="A852105" s="347" t="s">
        <v>317</v>
      </c>
      <c r="B852105" s="348" t="s">
        <v>689</v>
      </c>
      <c r="C852105" s="349">
        <v>0.10896601681957188</v>
      </c>
      <c r="D852105" s="349">
        <f t="shared" si="54"/>
        <v>0.19128029460560964</v>
      </c>
      <c r="E852105" s="349">
        <v>0.14628029460560965</v>
      </c>
      <c r="F852105" s="349">
        <v>0.28999999999999998</v>
      </c>
    </row>
    <row r="852106" spans="1:6" ht="16">
      <c r="A852106" s="347" t="s">
        <v>862</v>
      </c>
      <c r="B852106" s="154" t="s">
        <v>687</v>
      </c>
      <c r="C852106" s="277">
        <v>1.6082653627874467E-2</v>
      </c>
      <c r="D852106" s="349">
        <f t="shared" si="54"/>
        <v>0.11258999089248985</v>
      </c>
      <c r="E852106" s="277">
        <v>6.7589990892489848E-2</v>
      </c>
      <c r="F852106" s="277">
        <v>0.18760152153615242</v>
      </c>
    </row>
    <row r="852107" spans="1:6" ht="16">
      <c r="A852107" s="347" t="s">
        <v>318</v>
      </c>
      <c r="B852107" s="348" t="s">
        <v>571</v>
      </c>
      <c r="C852107" s="349">
        <v>2.0743237044383835E-2</v>
      </c>
      <c r="D852107" s="349">
        <f t="shared" si="54"/>
        <v>7.2846542568870451E-2</v>
      </c>
      <c r="E852107" s="349">
        <v>2.7846542568870453E-2</v>
      </c>
      <c r="F852107" s="349">
        <v>0.25</v>
      </c>
    </row>
    <row r="852108" spans="1:6" ht="16">
      <c r="A852108" s="347" t="s">
        <v>319</v>
      </c>
      <c r="B852108" s="348" t="s">
        <v>572</v>
      </c>
      <c r="C852108" s="349">
        <v>5.9924907017108855E-2</v>
      </c>
      <c r="D852108" s="349">
        <f t="shared" si="54"/>
        <v>0.12544556742118129</v>
      </c>
      <c r="E852108" s="349">
        <v>8.0445567421181294E-2</v>
      </c>
      <c r="F852108" s="349">
        <v>0.3</v>
      </c>
    </row>
    <row r="852109" spans="1:6" ht="16">
      <c r="A852109" s="347" t="s">
        <v>320</v>
      </c>
      <c r="B852109" s="348" t="s">
        <v>589</v>
      </c>
      <c r="C852109" s="349">
        <v>2.7273515373171343E-2</v>
      </c>
      <c r="D852109" s="349">
        <f t="shared" si="54"/>
        <v>8.161304671092226E-2</v>
      </c>
      <c r="E852109" s="349">
        <v>3.6613046710922262E-2</v>
      </c>
      <c r="F852109" s="349">
        <v>0.1</v>
      </c>
    </row>
    <row r="852110" spans="1:6" ht="16">
      <c r="A852110" s="347" t="s">
        <v>321</v>
      </c>
      <c r="B852110" s="348" t="s">
        <v>573</v>
      </c>
      <c r="C852110" s="349">
        <v>1.7414075543433341E-2</v>
      </c>
      <c r="D852110" s="349">
        <f t="shared" si="54"/>
        <v>6.8377344378804827E-2</v>
      </c>
      <c r="E852110" s="349">
        <v>2.3377344378804829E-2</v>
      </c>
      <c r="F852110" s="349">
        <v>0.29499999999999998</v>
      </c>
    </row>
    <row r="852111" spans="1:6" ht="16">
      <c r="A852111" s="347" t="s">
        <v>322</v>
      </c>
      <c r="B852111" s="348" t="s">
        <v>571</v>
      </c>
      <c r="C852111" s="349">
        <v>2.0743237044383835E-2</v>
      </c>
      <c r="D852111" s="349">
        <f t="shared" si="54"/>
        <v>7.2846542568870451E-2</v>
      </c>
      <c r="E852111" s="349">
        <v>2.7846542568870453E-2</v>
      </c>
      <c r="F852111" s="349">
        <v>0.25</v>
      </c>
    </row>
    <row r="852112" spans="1:6" ht="16">
      <c r="A852112" s="347" t="s">
        <v>323</v>
      </c>
      <c r="B852112" s="348" t="s">
        <v>583</v>
      </c>
      <c r="C852112" s="349">
        <v>9.2192164641705932E-3</v>
      </c>
      <c r="D852112" s="349">
        <f t="shared" si="54"/>
        <v>5.73762411417202E-2</v>
      </c>
      <c r="E852112" s="349">
        <v>1.2376241141720201E-2</v>
      </c>
      <c r="F852112" s="349">
        <v>0.19</v>
      </c>
    </row>
    <row r="852113" spans="1:6" ht="16">
      <c r="A852113" s="347" t="s">
        <v>324</v>
      </c>
      <c r="B852113" s="348" t="s">
        <v>587</v>
      </c>
      <c r="C852113" s="349">
        <v>1.3060556657575006E-2</v>
      </c>
      <c r="D852113" s="349">
        <f t="shared" si="54"/>
        <v>6.2533008284103617E-2</v>
      </c>
      <c r="E852113" s="349">
        <v>1.7533008284103618E-2</v>
      </c>
      <c r="F852113" s="349">
        <v>0.21</v>
      </c>
    </row>
    <row r="852114" spans="1:6" ht="16">
      <c r="A852114" s="347" t="s">
        <v>325</v>
      </c>
      <c r="B852114" s="348" t="s">
        <v>580</v>
      </c>
      <c r="C852114" s="349">
        <v>6.5302783287875029E-3</v>
      </c>
      <c r="D852114" s="349">
        <f t="shared" si="54"/>
        <v>5.3766504142051808E-2</v>
      </c>
      <c r="E852114" s="349">
        <v>8.7665041420518092E-3</v>
      </c>
      <c r="F852114" s="349">
        <v>0.1</v>
      </c>
    </row>
    <row r="852115" spans="1:6" ht="16">
      <c r="A852115" s="347" t="s">
        <v>503</v>
      </c>
      <c r="B852115" s="348" t="s">
        <v>587</v>
      </c>
      <c r="C852115" s="349">
        <v>1.3060556657575006E-2</v>
      </c>
      <c r="D852115" s="349">
        <f t="shared" si="54"/>
        <v>6.2533008284103617E-2</v>
      </c>
      <c r="E852115" s="349">
        <v>1.7533008284103618E-2</v>
      </c>
      <c r="F852115" s="349">
        <v>0</v>
      </c>
    </row>
    <row r="852116" spans="1:6" ht="16">
      <c r="A852116" s="347" t="s">
        <v>863</v>
      </c>
      <c r="B852116" s="154" t="s">
        <v>687</v>
      </c>
      <c r="C852116" s="277">
        <v>1.2518555898193178E-2</v>
      </c>
      <c r="D852116" s="349">
        <f t="shared" si="54"/>
        <v>0.10780540500857855</v>
      </c>
      <c r="E852116" s="277">
        <v>6.2805405008578549E-2</v>
      </c>
      <c r="F852116" s="277">
        <v>0.2576437502455447</v>
      </c>
    </row>
    <row r="852117" spans="1:6" ht="16">
      <c r="A852117" s="347" t="s">
        <v>326</v>
      </c>
      <c r="B852117" s="348" t="s">
        <v>577</v>
      </c>
      <c r="C852117" s="349">
        <v>2.3944353872220846E-2</v>
      </c>
      <c r="D852117" s="349">
        <f t="shared" si="54"/>
        <v>7.7143848520856623E-2</v>
      </c>
      <c r="E852117" s="349">
        <v>3.2143848520856624E-2</v>
      </c>
      <c r="F852117" s="349">
        <v>0.16</v>
      </c>
    </row>
    <row r="852118" spans="1:6" ht="16">
      <c r="A852118" s="347" t="s">
        <v>327</v>
      </c>
      <c r="B852118" s="348" t="s">
        <v>687</v>
      </c>
      <c r="C852118" s="349">
        <v>4.9041109802463012E-2</v>
      </c>
      <c r="D852118" s="349">
        <f t="shared" si="54"/>
        <v>0.11083472718442829</v>
      </c>
      <c r="E852118" s="349">
        <v>6.5834727184428288E-2</v>
      </c>
      <c r="F852118" s="349">
        <v>0.25</v>
      </c>
    </row>
    <row r="852119" spans="1:6" ht="16">
      <c r="A852119" s="347" t="s">
        <v>490</v>
      </c>
      <c r="B852119" s="348" t="s">
        <v>572</v>
      </c>
      <c r="C852119" s="349">
        <v>5.9924907017108855E-2</v>
      </c>
      <c r="D852119" s="349">
        <f t="shared" si="54"/>
        <v>0.12544556742118129</v>
      </c>
      <c r="E852119" s="349">
        <v>8.0445567421181294E-2</v>
      </c>
      <c r="F852119" s="349">
        <v>0.3</v>
      </c>
    </row>
    <row r="852120" spans="1:6" ht="16">
      <c r="A852120" s="347" t="s">
        <v>864</v>
      </c>
      <c r="B852120" s="154" t="s">
        <v>687</v>
      </c>
      <c r="C852120" s="277">
        <v>0.1054310997313879</v>
      </c>
      <c r="D852120" s="349">
        <f t="shared" si="54"/>
        <v>0.23253488197001548</v>
      </c>
      <c r="E852120" s="277">
        <v>0.1875348819700155</v>
      </c>
      <c r="F852120" s="277">
        <v>0.2724561140242252</v>
      </c>
    </row>
    <row r="852121" spans="1:6" ht="16">
      <c r="A852121" s="347" t="s">
        <v>328</v>
      </c>
      <c r="B852121" s="348" t="s">
        <v>585</v>
      </c>
      <c r="C852121" s="349">
        <v>7.6826803868088279E-3</v>
      </c>
      <c r="D852121" s="349">
        <f t="shared" si="54"/>
        <v>5.5313534284766833E-2</v>
      </c>
      <c r="E852121" s="349">
        <v>1.0313534284766834E-2</v>
      </c>
      <c r="F852121" s="349">
        <v>0.2</v>
      </c>
    </row>
    <row r="852122" spans="1:6" ht="16">
      <c r="A852122" s="347" t="s">
        <v>371</v>
      </c>
      <c r="B852122" s="348" t="s">
        <v>578</v>
      </c>
      <c r="C852122" s="349">
        <v>3.9181669972725021E-2</v>
      </c>
      <c r="D852122" s="349">
        <f t="shared" si="54"/>
        <v>9.7599024852310853E-2</v>
      </c>
      <c r="E852122" s="349">
        <v>5.2599024852310855E-2</v>
      </c>
      <c r="F852122" s="349">
        <v>0.3</v>
      </c>
    </row>
    <row r="852123" spans="1:6" ht="16">
      <c r="A852123" s="347" t="s">
        <v>329</v>
      </c>
      <c r="B852123" s="348" t="s">
        <v>576</v>
      </c>
      <c r="C852123" s="349">
        <v>3.2779436317050999E-2</v>
      </c>
      <c r="D852123" s="349">
        <f t="shared" si="54"/>
        <v>8.9004412948338496E-2</v>
      </c>
      <c r="E852123" s="349">
        <v>4.4004412948338498E-2</v>
      </c>
      <c r="F852123" s="349">
        <v>0.15</v>
      </c>
    </row>
    <row r="852124" spans="1:6" ht="16">
      <c r="A852124" s="347" t="s">
        <v>504</v>
      </c>
      <c r="B852124" s="348" t="s">
        <v>589</v>
      </c>
      <c r="C852124" s="349">
        <v>2.7273515373171343E-2</v>
      </c>
      <c r="D852124" s="349">
        <f t="shared" si="54"/>
        <v>8.161304671092226E-2</v>
      </c>
      <c r="E852124" s="349">
        <v>3.6613046710922262E-2</v>
      </c>
      <c r="F852124" s="349">
        <v>0</v>
      </c>
    </row>
    <row r="852125" spans="1:6" ht="16">
      <c r="A852125" s="350" t="s">
        <v>603</v>
      </c>
      <c r="B852125" s="348" t="s">
        <v>687</v>
      </c>
      <c r="C852125" s="349">
        <v>0.10896601681957191</v>
      </c>
      <c r="D852125" s="349">
        <f t="shared" si="54"/>
        <v>0.19128029460560964</v>
      </c>
      <c r="E852125" s="349">
        <v>0.14628029460560965</v>
      </c>
      <c r="F852125" s="349">
        <v>0.3</v>
      </c>
    </row>
    <row r="852126" spans="1:6" ht="16">
      <c r="A852126" s="347" t="s">
        <v>330</v>
      </c>
      <c r="B852126" s="348" t="s">
        <v>574</v>
      </c>
      <c r="C852126" s="349">
        <v>0</v>
      </c>
      <c r="D852126" s="349">
        <f t="shared" si="54"/>
        <v>4.4999999999999998E-2</v>
      </c>
      <c r="E852126" s="349">
        <v>0</v>
      </c>
      <c r="F852126" s="349">
        <v>0.17</v>
      </c>
    </row>
    <row r="852127" spans="1:6" ht="16">
      <c r="A852127" s="347" t="s">
        <v>372</v>
      </c>
      <c r="B852127" s="348" t="s">
        <v>583</v>
      </c>
      <c r="C852127" s="349">
        <v>9.2192164641705932E-3</v>
      </c>
      <c r="D852127" s="349">
        <f t="shared" si="54"/>
        <v>5.73762411417202E-2</v>
      </c>
      <c r="E852127" s="349">
        <v>1.2376241141720201E-2</v>
      </c>
      <c r="F852127" s="349">
        <v>0.21</v>
      </c>
    </row>
    <row r="852128" spans="1:6" ht="16">
      <c r="A852128" s="347" t="s">
        <v>331</v>
      </c>
      <c r="B852128" s="348" t="s">
        <v>587</v>
      </c>
      <c r="C852128" s="349">
        <v>1.3060556657575006E-2</v>
      </c>
      <c r="D852128" s="349">
        <f t="shared" si="54"/>
        <v>6.2533008284103617E-2</v>
      </c>
      <c r="E852128" s="349">
        <v>1.7533008284103618E-2</v>
      </c>
      <c r="F852128" s="349">
        <v>0.19</v>
      </c>
    </row>
    <row r="852129" spans="1:6" ht="16">
      <c r="A852129" s="347" t="s">
        <v>604</v>
      </c>
      <c r="B852129" s="348" t="s">
        <v>579</v>
      </c>
      <c r="C852129" s="349">
        <v>8.1692501446400528E-2</v>
      </c>
      <c r="D852129" s="349">
        <f t="shared" si="54"/>
        <v>0.15466724789468733</v>
      </c>
      <c r="E852129" s="349">
        <v>0.10966724789468733</v>
      </c>
      <c r="F852129" s="349">
        <v>0.3</v>
      </c>
    </row>
    <row r="852130" spans="1:6" ht="16">
      <c r="A852130" s="351" t="s">
        <v>605</v>
      </c>
      <c r="B852130" s="348" t="s">
        <v>687</v>
      </c>
      <c r="C852130" s="349">
        <v>0.13073361124886354</v>
      </c>
      <c r="D852130" s="349">
        <f t="shared" si="54"/>
        <v>0.22050197507911562</v>
      </c>
      <c r="E852130" s="349">
        <v>0.17550197507911564</v>
      </c>
      <c r="F852130" s="349">
        <v>0.29149999999999998</v>
      </c>
    </row>
    <row r="852131" spans="1:6" ht="16">
      <c r="A852131" s="347" t="s">
        <v>332</v>
      </c>
      <c r="B852131" s="348" t="s">
        <v>576</v>
      </c>
      <c r="C852131" s="349">
        <v>3.2779436317050999E-2</v>
      </c>
      <c r="D852131" s="349">
        <f t="shared" si="54"/>
        <v>8.9004412948338496E-2</v>
      </c>
      <c r="E852131" s="349">
        <v>4.4004412948338498E-2</v>
      </c>
      <c r="F852131" s="349">
        <v>0.27</v>
      </c>
    </row>
    <row r="852132" spans="1:6" ht="16">
      <c r="A852132" s="347" t="s">
        <v>865</v>
      </c>
      <c r="B852132" s="348" t="s">
        <v>568</v>
      </c>
      <c r="C852132" s="349">
        <v>5.3778762707661788E-3</v>
      </c>
      <c r="D852132" s="349">
        <f t="shared" si="54"/>
        <v>5.2219473999336782E-2</v>
      </c>
      <c r="E852132" s="349">
        <v>7.219473999336784E-3</v>
      </c>
      <c r="F852132" s="349">
        <v>0.25</v>
      </c>
    </row>
    <row r="852133" spans="1:6" ht="16">
      <c r="A852133" s="347" t="s">
        <v>333</v>
      </c>
      <c r="B852133" s="348" t="s">
        <v>573</v>
      </c>
      <c r="C852133" s="349">
        <v>1.7414075543433341E-2</v>
      </c>
      <c r="D852133" s="349">
        <f t="shared" si="54"/>
        <v>6.8377344378804827E-2</v>
      </c>
      <c r="E852133" s="349">
        <v>2.3377344378804829E-2</v>
      </c>
      <c r="F852133" s="349">
        <v>0.25</v>
      </c>
    </row>
    <row r="852134" spans="1:6" ht="16">
      <c r="A852134" s="347" t="s">
        <v>334</v>
      </c>
      <c r="B852134" s="348" t="s">
        <v>688</v>
      </c>
      <c r="C852134" s="349">
        <v>0.13073361124886354</v>
      </c>
      <c r="D852134" s="349">
        <f t="shared" si="54"/>
        <v>0.22050197507911562</v>
      </c>
      <c r="E852134" s="349">
        <v>0.17550197507911564</v>
      </c>
      <c r="F852134" s="349">
        <v>0.24</v>
      </c>
    </row>
    <row r="852135" spans="1:6" ht="16">
      <c r="A852135" s="347" t="s">
        <v>430</v>
      </c>
      <c r="B852135" s="348" t="s">
        <v>576</v>
      </c>
      <c r="C852135" s="349">
        <v>3.2779436317050999E-2</v>
      </c>
      <c r="D852135" s="349">
        <f t="shared" si="54"/>
        <v>8.9004412948338496E-2</v>
      </c>
      <c r="E852135" s="349">
        <v>4.4004412948338498E-2</v>
      </c>
      <c r="F852135" s="349">
        <v>0.2853</v>
      </c>
    </row>
    <row r="852136" spans="1:6" ht="16">
      <c r="A852136" s="347" t="s">
        <v>373</v>
      </c>
      <c r="B852136" s="348" t="s">
        <v>581</v>
      </c>
      <c r="C852136" s="349">
        <v>7.0808704231754685E-2</v>
      </c>
      <c r="D852136" s="349">
        <f t="shared" si="54"/>
        <v>0.14005640765793431</v>
      </c>
      <c r="E852136" s="349">
        <v>9.5056407657934314E-2</v>
      </c>
      <c r="F852136" s="349">
        <v>0.2853</v>
      </c>
    </row>
    <row r="852137" spans="1:6" ht="16">
      <c r="A852137" s="350" t="s">
        <v>606</v>
      </c>
      <c r="B852137" s="348" t="s">
        <v>687</v>
      </c>
      <c r="C852137" s="349">
        <v>0.17499999999999999</v>
      </c>
      <c r="D852137" s="349">
        <f t="shared" si="54"/>
        <v>0.27992692770782934</v>
      </c>
      <c r="E852137" s="349">
        <v>0.23492692770782936</v>
      </c>
      <c r="F852137" s="349">
        <v>0.35</v>
      </c>
    </row>
    <row r="852138" spans="1:6" ht="16">
      <c r="A852138" s="347" t="s">
        <v>374</v>
      </c>
      <c r="B852138" s="348" t="s">
        <v>689</v>
      </c>
      <c r="C852138" s="349">
        <v>0.10896601681957188</v>
      </c>
      <c r="D852138" s="349">
        <f t="shared" si="54"/>
        <v>0.19128029460560964</v>
      </c>
      <c r="E852138" s="349">
        <v>0.14628029460560965</v>
      </c>
      <c r="F852138" s="349">
        <v>0.36</v>
      </c>
    </row>
    <row r="852139" spans="1:6" ht="16">
      <c r="A852139" s="347" t="s">
        <v>607</v>
      </c>
      <c r="B852139" s="348" t="s">
        <v>581</v>
      </c>
      <c r="C852139" s="349">
        <v>7.0808704231754685E-2</v>
      </c>
      <c r="D852139" s="349">
        <f t="shared" si="54"/>
        <v>0.14005640765793431</v>
      </c>
      <c r="E852139" s="349">
        <v>9.5056407657934314E-2</v>
      </c>
      <c r="F852139" s="349">
        <v>0.27500000000000002</v>
      </c>
    </row>
    <row r="852140" spans="1:6" ht="16">
      <c r="A852140" s="347" t="s">
        <v>335</v>
      </c>
      <c r="B852140" s="348" t="s">
        <v>574</v>
      </c>
      <c r="C852140" s="349">
        <v>0</v>
      </c>
      <c r="D852140" s="349">
        <f t="shared" si="54"/>
        <v>4.4999999999999998E-2</v>
      </c>
      <c r="E852140" s="349">
        <v>0</v>
      </c>
      <c r="F852140" s="349">
        <v>0.20600000000000002</v>
      </c>
    </row>
    <row r="852141" spans="1:6" ht="16">
      <c r="A852141" s="347" t="s">
        <v>336</v>
      </c>
      <c r="B852141" s="348" t="s">
        <v>574</v>
      </c>
      <c r="C852141" s="349">
        <v>0</v>
      </c>
      <c r="D852141" s="349">
        <f t="shared" si="54"/>
        <v>4.4999999999999998E-2</v>
      </c>
      <c r="E852141" s="349">
        <v>0</v>
      </c>
      <c r="F852141" s="349">
        <v>0.14599999999999999</v>
      </c>
    </row>
    <row r="852142" spans="1:6" ht="16">
      <c r="A852142" s="351" t="s">
        <v>608</v>
      </c>
      <c r="B852142" s="348" t="s">
        <v>687</v>
      </c>
      <c r="C852142" s="349">
        <v>0.17499999999999999</v>
      </c>
      <c r="D852142" s="349">
        <f t="shared" si="54"/>
        <v>0.27992692770782934</v>
      </c>
      <c r="E852142" s="349">
        <v>0.23492692770782936</v>
      </c>
      <c r="F852142" s="349">
        <v>0.28000000000000003</v>
      </c>
    </row>
    <row r="852143" spans="1:6" ht="16">
      <c r="A852143" s="347" t="s">
        <v>337</v>
      </c>
      <c r="B852143" s="348" t="s">
        <v>580</v>
      </c>
      <c r="C852143" s="349">
        <v>6.5302783287875029E-3</v>
      </c>
      <c r="D852143" s="349">
        <f t="shared" si="54"/>
        <v>5.3766504142051808E-2</v>
      </c>
      <c r="E852143" s="349">
        <v>8.7665041420518092E-3</v>
      </c>
      <c r="F852143" s="349">
        <v>0.2</v>
      </c>
    </row>
    <row r="852144" spans="1:6" ht="16">
      <c r="A852144" s="347" t="s">
        <v>609</v>
      </c>
      <c r="B852144" s="348" t="s">
        <v>581</v>
      </c>
      <c r="C852144" s="349">
        <v>7.0808704231754685E-2</v>
      </c>
      <c r="D852144" s="349">
        <f t="shared" si="54"/>
        <v>0.14005640765793431</v>
      </c>
      <c r="E852144" s="349">
        <v>9.5056407657934314E-2</v>
      </c>
      <c r="F852144" s="349">
        <v>0.18</v>
      </c>
    </row>
    <row r="852145" spans="1:6" ht="16">
      <c r="A852145" s="347" t="s">
        <v>610</v>
      </c>
      <c r="B852145" s="348" t="s">
        <v>572</v>
      </c>
      <c r="C852145" s="349">
        <v>5.9924907017108855E-2</v>
      </c>
      <c r="D852145" s="349">
        <f t="shared" si="54"/>
        <v>0.12544556742118129</v>
      </c>
      <c r="E852145" s="349">
        <v>8.0445567421181294E-2</v>
      </c>
      <c r="F852145" s="349">
        <v>0.3</v>
      </c>
    </row>
    <row r="852146" spans="1:6" ht="16">
      <c r="A852146" s="347" t="s">
        <v>338</v>
      </c>
      <c r="B852146" s="348" t="s">
        <v>573</v>
      </c>
      <c r="C852146" s="349">
        <v>1.7414075543433341E-2</v>
      </c>
      <c r="D852146" s="349">
        <f t="shared" si="54"/>
        <v>6.8377344378804827E-2</v>
      </c>
      <c r="E852146" s="349">
        <v>2.3377344378804829E-2</v>
      </c>
      <c r="F852146" s="349">
        <v>0.2</v>
      </c>
    </row>
    <row r="852147" spans="1:6" ht="16">
      <c r="A852147" s="347" t="s">
        <v>611</v>
      </c>
      <c r="B852147" s="348" t="s">
        <v>581</v>
      </c>
      <c r="C852147" s="349">
        <v>7.0808704231754685E-2</v>
      </c>
      <c r="D852147" s="349">
        <f t="shared" si="54"/>
        <v>0.14005640765793431</v>
      </c>
      <c r="E852147" s="349">
        <v>9.5056407657934314E-2</v>
      </c>
      <c r="F852147" s="349">
        <v>0.26860000000000001</v>
      </c>
    </row>
    <row r="852148" spans="1:6" ht="16">
      <c r="A852148" s="347" t="s">
        <v>866</v>
      </c>
      <c r="B852148" s="348" t="s">
        <v>576</v>
      </c>
      <c r="C852148" s="349">
        <v>3.2779436317050999E-2</v>
      </c>
      <c r="D852148" s="349">
        <f t="shared" si="54"/>
        <v>8.9004412948338496E-2</v>
      </c>
      <c r="E852148" s="349">
        <v>4.4004412948338498E-2</v>
      </c>
      <c r="F852148" s="349">
        <v>0.3</v>
      </c>
    </row>
    <row r="852149" spans="1:6" ht="16">
      <c r="A852149" s="347" t="s">
        <v>339</v>
      </c>
      <c r="B852149" s="348" t="s">
        <v>586</v>
      </c>
      <c r="C852149" s="349">
        <v>9.8082219604926024E-2</v>
      </c>
      <c r="D852149" s="349">
        <f t="shared" si="54"/>
        <v>0.17666945436885656</v>
      </c>
      <c r="E852149" s="349">
        <v>0.13166945436885658</v>
      </c>
      <c r="F852149" s="349">
        <v>0.15</v>
      </c>
    </row>
    <row r="852150" spans="1:6" ht="16">
      <c r="A852150" s="347" t="s">
        <v>340</v>
      </c>
      <c r="B852150" s="348" t="s">
        <v>581</v>
      </c>
      <c r="C852150" s="349">
        <v>7.0808704231754685E-2</v>
      </c>
      <c r="D852150" s="349">
        <f t="shared" si="54"/>
        <v>0.14005640765793431</v>
      </c>
      <c r="E852150" s="349">
        <v>9.5056407657934314E-2</v>
      </c>
      <c r="F852150" s="349">
        <v>0.25</v>
      </c>
    </row>
    <row r="852151" spans="1:6" ht="16">
      <c r="A852151" s="353" t="s">
        <v>867</v>
      </c>
      <c r="B852151" s="348" t="s">
        <v>573</v>
      </c>
      <c r="C852151" s="349">
        <v>1.7414075543433341E-2</v>
      </c>
      <c r="D852151" s="349">
        <f t="shared" si="54"/>
        <v>6.8377344378804827E-2</v>
      </c>
      <c r="E852151" s="349">
        <v>2.3377344378804829E-2</v>
      </c>
      <c r="F852151" s="349">
        <v>0</v>
      </c>
    </row>
    <row r="852152" spans="1:6" ht="16">
      <c r="A852152" s="347" t="s">
        <v>431</v>
      </c>
      <c r="B852152" s="348" t="s">
        <v>572</v>
      </c>
      <c r="C852152" s="349">
        <v>5.9924907017108855E-2</v>
      </c>
      <c r="D852152" s="349">
        <f t="shared" si="54"/>
        <v>0.12544556742118129</v>
      </c>
      <c r="E852152" s="349">
        <v>8.0445567421181294E-2</v>
      </c>
      <c r="F852152" s="349">
        <v>0.3</v>
      </c>
    </row>
    <row r="852153" spans="1:6" ht="16">
      <c r="A852153" s="347" t="s">
        <v>341</v>
      </c>
      <c r="B852153" s="348" t="s">
        <v>688</v>
      </c>
      <c r="C852153" s="349">
        <v>0.13073361124886354</v>
      </c>
      <c r="D852153" s="349">
        <f t="shared" si="54"/>
        <v>0.22050197507911562</v>
      </c>
      <c r="E852153" s="349">
        <v>0.17550197507911564</v>
      </c>
      <c r="F852153" s="349">
        <v>0.18</v>
      </c>
    </row>
    <row r="852154" spans="1:6" ht="16">
      <c r="A852154" s="347" t="s">
        <v>342</v>
      </c>
      <c r="B852154" s="348" t="s">
        <v>568</v>
      </c>
      <c r="C852154" s="349">
        <v>5.3778762707661788E-3</v>
      </c>
      <c r="D852154" s="349">
        <f t="shared" si="54"/>
        <v>5.2219473999336782E-2</v>
      </c>
      <c r="E852154" s="349">
        <v>7.219473999336784E-3</v>
      </c>
      <c r="F852154" s="349">
        <v>0.25</v>
      </c>
    </row>
    <row r="852155" spans="1:6" ht="16">
      <c r="A852155" s="347" t="s">
        <v>343</v>
      </c>
      <c r="B852155" s="348" t="s">
        <v>580</v>
      </c>
      <c r="C852155" s="349">
        <v>6.5302783287875029E-3</v>
      </c>
      <c r="D852155" s="349">
        <f t="shared" si="54"/>
        <v>5.3766504142051808E-2</v>
      </c>
      <c r="E852155" s="349">
        <v>8.7665041420518092E-3</v>
      </c>
      <c r="F852155" s="349">
        <v>0.25</v>
      </c>
    </row>
    <row r="852156" spans="1:6" ht="16">
      <c r="A852156" s="347" t="s">
        <v>344</v>
      </c>
      <c r="B852156" s="348" t="s">
        <v>574</v>
      </c>
      <c r="C852156" s="349">
        <v>0</v>
      </c>
      <c r="D852156" s="349">
        <f t="shared" si="54"/>
        <v>4.4999999999999998E-2</v>
      </c>
      <c r="E852156" s="349">
        <v>0</v>
      </c>
      <c r="F852156" s="349">
        <v>0.25</v>
      </c>
    </row>
    <row r="852157" spans="1:6" ht="16">
      <c r="A852157" s="347" t="s">
        <v>345</v>
      </c>
      <c r="B852157" s="348" t="s">
        <v>571</v>
      </c>
      <c r="C852157" s="349">
        <v>2.0743237044383835E-2</v>
      </c>
      <c r="D852157" s="349">
        <f t="shared" si="54"/>
        <v>7.2846542568870451E-2</v>
      </c>
      <c r="E852157" s="349">
        <v>2.7846542568870453E-2</v>
      </c>
      <c r="F852157" s="349">
        <v>0.25</v>
      </c>
    </row>
    <row r="852158" spans="1:6" ht="16">
      <c r="A852158" s="347" t="s">
        <v>693</v>
      </c>
      <c r="B852158" s="348" t="s">
        <v>578</v>
      </c>
      <c r="C852158" s="349">
        <v>3.9181669972725021E-2</v>
      </c>
      <c r="D852158" s="349">
        <f t="shared" si="54"/>
        <v>9.7599024852310853E-2</v>
      </c>
      <c r="E852158" s="349">
        <v>5.2599024852310855E-2</v>
      </c>
      <c r="F852158" s="349">
        <v>0.15</v>
      </c>
    </row>
    <row r="852159" spans="1:6" ht="16">
      <c r="A852159" s="347" t="s">
        <v>346</v>
      </c>
      <c r="B852159" s="348" t="s">
        <v>615</v>
      </c>
      <c r="C852159" s="349">
        <v>0.17499999999999999</v>
      </c>
      <c r="D852159" s="349">
        <f t="shared" si="54"/>
        <v>0.27992692770782934</v>
      </c>
      <c r="E852159" s="349">
        <v>0.23492692770782936</v>
      </c>
      <c r="F852159" s="349">
        <v>0.34</v>
      </c>
    </row>
    <row r="852160" spans="1:6" ht="16">
      <c r="A852160" s="347" t="s">
        <v>347</v>
      </c>
      <c r="B852160" s="348" t="s">
        <v>576</v>
      </c>
      <c r="C852160" s="349">
        <v>3.2779436317050999E-2</v>
      </c>
      <c r="D852160" s="349">
        <f t="shared" si="54"/>
        <v>8.9004412948338496E-2</v>
      </c>
      <c r="E852160" s="349">
        <v>4.4004412948338498E-2</v>
      </c>
      <c r="F852160" s="349">
        <v>0.2</v>
      </c>
    </row>
    <row r="852161" spans="1:6" ht="16">
      <c r="A852161" s="350" t="s">
        <v>868</v>
      </c>
      <c r="B852161" s="348" t="s">
        <v>687</v>
      </c>
      <c r="C852161" s="349">
        <v>0.10896601681957191</v>
      </c>
      <c r="D852161" s="349">
        <f t="shared" si="54"/>
        <v>0.19128029460560964</v>
      </c>
      <c r="E852161" s="349">
        <v>0.14628029460560965</v>
      </c>
      <c r="F852161" s="349">
        <v>0.2</v>
      </c>
    </row>
    <row r="852162" spans="1:6" ht="16">
      <c r="A852162" s="347" t="s">
        <v>348</v>
      </c>
      <c r="B852162" s="348" t="s">
        <v>689</v>
      </c>
      <c r="C852162" s="349">
        <v>0.10896601681957188</v>
      </c>
      <c r="D852162" s="349">
        <f t="shared" si="54"/>
        <v>0.19128029460560964</v>
      </c>
      <c r="E852162" s="349">
        <v>0.14628029460560965</v>
      </c>
      <c r="F852162" s="349">
        <v>0.35</v>
      </c>
    </row>
    <row r="852163" spans="1:6" ht="16">
      <c r="A852163" s="351" t="s">
        <v>612</v>
      </c>
      <c r="B852163" s="348" t="s">
        <v>687</v>
      </c>
      <c r="C852163" s="349">
        <v>9.8082219604926024E-2</v>
      </c>
      <c r="D852163" s="349">
        <f t="shared" si="54"/>
        <v>0.17666945436885656</v>
      </c>
      <c r="E852163" s="349">
        <v>0.13166945436885658</v>
      </c>
      <c r="F852163" s="349">
        <v>0.25</v>
      </c>
    </row>
    <row r="852168" spans="1:6">
      <c r="A852168" s="354" t="s">
        <v>352</v>
      </c>
      <c r="B852168" s="355" t="s">
        <v>376</v>
      </c>
      <c r="C852168" s="355" t="s">
        <v>869</v>
      </c>
      <c r="D852168" s="355" t="s">
        <v>694</v>
      </c>
      <c r="E852168" s="355" t="s">
        <v>870</v>
      </c>
    </row>
    <row r="852169" spans="1:6">
      <c r="A852169" s="356" t="s">
        <v>355</v>
      </c>
      <c r="B852169" s="357">
        <f>$B$1+E852169</f>
        <v>0.13663852306889546</v>
      </c>
      <c r="C852169" s="357">
        <v>6.8262679351091926E-2</v>
      </c>
      <c r="D852169" s="357">
        <v>0.27302836489005694</v>
      </c>
      <c r="E852169" s="357">
        <v>9.1638523068895444E-2</v>
      </c>
    </row>
    <row r="852170" spans="1:6">
      <c r="A852170" s="356" t="s">
        <v>428</v>
      </c>
      <c r="B852170" s="357">
        <f t="shared" ref="B852170:B852178" si="55">$B$1+E852170</f>
        <v>6.1805405008578562E-2</v>
      </c>
      <c r="C852170" s="357">
        <v>1.2518555898193178E-2</v>
      </c>
      <c r="D852170" s="357">
        <v>0.2576437502455447</v>
      </c>
      <c r="E852170" s="357">
        <v>1.6805405008578567E-2</v>
      </c>
    </row>
    <row r="852171" spans="1:6">
      <c r="A852171" s="356" t="s">
        <v>357</v>
      </c>
      <c r="B852171" s="357">
        <f t="shared" si="55"/>
        <v>4.5047923618641933E-2</v>
      </c>
      <c r="C852171" s="357">
        <v>3.5698901544265913E-5</v>
      </c>
      <c r="D852171" s="357">
        <v>0.29744361328762281</v>
      </c>
      <c r="E852171" s="357">
        <v>4.7923618641935289E-5</v>
      </c>
    </row>
    <row r="852172" spans="1:6">
      <c r="A852172" s="356" t="s">
        <v>359</v>
      </c>
      <c r="B852172" s="357">
        <f t="shared" si="55"/>
        <v>0.1865348819700155</v>
      </c>
      <c r="C852172" s="357">
        <v>0.1054310997313879</v>
      </c>
      <c r="D852172" s="357">
        <v>0.2724561140242252</v>
      </c>
      <c r="E852172" s="357">
        <v>0.14153488197001549</v>
      </c>
    </row>
    <row r="852173" spans="1:6">
      <c r="A852173" s="356" t="s">
        <v>356</v>
      </c>
      <c r="B852173" s="357">
        <f t="shared" si="55"/>
        <v>0.10261091058162494</v>
      </c>
      <c r="C852173" s="357">
        <v>4.2915086193622262E-2</v>
      </c>
      <c r="D852173" s="357">
        <v>0.31595749426030023</v>
      </c>
      <c r="E852173" s="357">
        <v>5.7610910581624951E-2</v>
      </c>
    </row>
    <row r="852174" spans="1:6">
      <c r="A852174" s="356" t="s">
        <v>354</v>
      </c>
      <c r="B852174" s="357">
        <f t="shared" si="55"/>
        <v>9.5579383477192262E-2</v>
      </c>
      <c r="C852174" s="357">
        <v>3.7670398345457844E-2</v>
      </c>
      <c r="D852174" s="357">
        <v>0.18485819102180306</v>
      </c>
      <c r="E852174" s="357">
        <v>5.0579383477192263E-2</v>
      </c>
    </row>
    <row r="852175" spans="1:6">
      <c r="A852175" s="356" t="s">
        <v>360</v>
      </c>
      <c r="B852175" s="357">
        <f t="shared" si="55"/>
        <v>6.6589990892489848E-2</v>
      </c>
      <c r="C852175" s="357">
        <v>1.6082653627874467E-2</v>
      </c>
      <c r="D852175" s="357">
        <v>0.18760152153615242</v>
      </c>
      <c r="E852175" s="357">
        <v>2.1589990892489853E-2</v>
      </c>
    </row>
    <row r="852176" spans="1:6">
      <c r="A852176" s="356" t="s">
        <v>362</v>
      </c>
      <c r="B852176" s="357">
        <f t="shared" si="55"/>
        <v>4.4999999999999998E-2</v>
      </c>
      <c r="C852176" s="357">
        <v>0</v>
      </c>
      <c r="D852176" s="357">
        <v>0.25116286561170831</v>
      </c>
      <c r="E852176" s="357">
        <v>0</v>
      </c>
    </row>
    <row r="852177" spans="1:5">
      <c r="A852177" s="356" t="s">
        <v>353</v>
      </c>
      <c r="B852177" s="357">
        <f t="shared" si="55"/>
        <v>5.7871606293643366E-2</v>
      </c>
      <c r="C852177" s="357">
        <v>9.5882201472833571E-3</v>
      </c>
      <c r="D852177" s="357">
        <v>0.24707349543413576</v>
      </c>
      <c r="E852177" s="357">
        <v>1.2871606293643371E-2</v>
      </c>
    </row>
    <row r="852178" spans="1:5">
      <c r="A852178" s="356" t="s">
        <v>491</v>
      </c>
      <c r="B852178" s="357">
        <f t="shared" si="55"/>
        <v>6.3100000000000003E-2</v>
      </c>
      <c r="C852178" s="357">
        <v>1.35E-2</v>
      </c>
      <c r="D852178" s="357">
        <v>0.25225942509764748</v>
      </c>
      <c r="E852178" s="357">
        <v>1.8100000000000002E-2</v>
      </c>
    </row>
    <row r="917505" spans="1:6">
      <c r="A917505" t="s">
        <v>613</v>
      </c>
      <c r="B917505" s="242">
        <v>4.5999999999999999E-2</v>
      </c>
      <c r="C917505" t="s">
        <v>847</v>
      </c>
    </row>
    <row r="917506" spans="1:6" ht="14">
      <c r="A917506" s="275" t="s">
        <v>686</v>
      </c>
      <c r="B917506" s="275"/>
      <c r="C917506" s="275"/>
      <c r="D917506" s="275"/>
      <c r="E917506" s="275"/>
      <c r="F917506" s="275"/>
    </row>
    <row r="917508" spans="1:6" ht="16">
      <c r="A917508" s="344" t="s">
        <v>349</v>
      </c>
      <c r="B917508" s="345" t="s">
        <v>566</v>
      </c>
      <c r="C917508" s="346" t="s">
        <v>350</v>
      </c>
      <c r="D917508" s="346" t="s">
        <v>567</v>
      </c>
      <c r="E917508" s="346" t="s">
        <v>351</v>
      </c>
      <c r="F917508" s="346" t="s">
        <v>519</v>
      </c>
    </row>
    <row r="917509" spans="1:6" ht="16">
      <c r="A917509" s="347" t="s">
        <v>481</v>
      </c>
      <c r="B917509" s="348" t="s">
        <v>568</v>
      </c>
      <c r="C917509" s="349">
        <v>5.3778762707661788E-3</v>
      </c>
      <c r="D917509" s="349">
        <f>$B$1+E917509</f>
        <v>5.2219473999336782E-2</v>
      </c>
      <c r="E917509" s="349">
        <v>7.219473999336784E-3</v>
      </c>
      <c r="F917509" s="349">
        <v>0.15</v>
      </c>
    </row>
    <row r="917510" spans="1:6" ht="16">
      <c r="A917510" s="347" t="s">
        <v>245</v>
      </c>
      <c r="B917510" s="348" t="s">
        <v>569</v>
      </c>
      <c r="C917510" s="349">
        <v>4.9041109802463012E-2</v>
      </c>
      <c r="D917510" s="349">
        <f t="shared" ref="D917510:D917573" si="56">$B$1+E917510</f>
        <v>0.11083472718442829</v>
      </c>
      <c r="E917510" s="349">
        <v>6.5834727184428288E-2</v>
      </c>
      <c r="F917510" s="349">
        <v>0.15</v>
      </c>
    </row>
    <row r="917511" spans="1:6" ht="16">
      <c r="A917511" s="350" t="s">
        <v>570</v>
      </c>
      <c r="B917511" s="348" t="s">
        <v>687</v>
      </c>
      <c r="C917511" s="349">
        <v>4.9041109802463012E-2</v>
      </c>
      <c r="D917511" s="349">
        <f t="shared" si="56"/>
        <v>0.11083472718442829</v>
      </c>
      <c r="E917511" s="349">
        <v>6.5834727184428288E-2</v>
      </c>
      <c r="F917511" s="349">
        <v>0.26</v>
      </c>
    </row>
    <row r="917512" spans="1:6" ht="16">
      <c r="A917512" s="347" t="s">
        <v>499</v>
      </c>
      <c r="B917512" s="348" t="s">
        <v>571</v>
      </c>
      <c r="C917512" s="349">
        <v>2.0743237044383835E-2</v>
      </c>
      <c r="D917512" s="349">
        <f t="shared" si="56"/>
        <v>7.2846542568870451E-2</v>
      </c>
      <c r="E917512" s="349">
        <v>2.7846542568870453E-2</v>
      </c>
      <c r="F917512" s="349">
        <v>0.1898</v>
      </c>
    </row>
    <row r="917513" spans="1:6" ht="16">
      <c r="A917513" s="347" t="s">
        <v>246</v>
      </c>
      <c r="B917513" s="348" t="s">
        <v>581</v>
      </c>
      <c r="C917513" s="349">
        <v>7.0808704231754685E-2</v>
      </c>
      <c r="D917513" s="349">
        <f t="shared" si="56"/>
        <v>0.14005640765793431</v>
      </c>
      <c r="E917513" s="349">
        <v>9.5056407657934314E-2</v>
      </c>
      <c r="F917513" s="349">
        <v>0.25</v>
      </c>
    </row>
    <row r="917514" spans="1:6" ht="16">
      <c r="A917514" s="347" t="s">
        <v>848</v>
      </c>
      <c r="B917514" s="154" t="s">
        <v>687</v>
      </c>
      <c r="C917514" s="277">
        <v>0.1054310997313879</v>
      </c>
      <c r="D917514" s="349">
        <f t="shared" si="56"/>
        <v>0.23253488197001548</v>
      </c>
      <c r="E917514" s="277">
        <v>0.1875348819700155</v>
      </c>
      <c r="F917514" s="277">
        <v>0.2724561140242252</v>
      </c>
    </row>
    <row r="917515" spans="1:6" ht="16">
      <c r="A917515" s="347" t="s">
        <v>849</v>
      </c>
      <c r="B917515" s="154" t="s">
        <v>687</v>
      </c>
      <c r="C917515" s="277">
        <v>0.1054310997313879</v>
      </c>
      <c r="D917515" s="349">
        <f t="shared" si="56"/>
        <v>0.23253488197001548</v>
      </c>
      <c r="E917515" s="277">
        <v>0.1875348819700155</v>
      </c>
      <c r="F917515" s="277">
        <v>0.2724561140242252</v>
      </c>
    </row>
    <row r="917516" spans="1:6" ht="16">
      <c r="A917516" s="347" t="s">
        <v>247</v>
      </c>
      <c r="B917516" s="348" t="s">
        <v>688</v>
      </c>
      <c r="C917516" s="349">
        <v>0.13073361124886354</v>
      </c>
      <c r="D917516" s="349">
        <f t="shared" si="56"/>
        <v>0.22050197507911562</v>
      </c>
      <c r="E917516" s="349">
        <v>0.17550197507911564</v>
      </c>
      <c r="F917516" s="349">
        <v>0.35</v>
      </c>
    </row>
    <row r="917517" spans="1:6" ht="16">
      <c r="A917517" s="347" t="s">
        <v>248</v>
      </c>
      <c r="B917517" s="348" t="s">
        <v>578</v>
      </c>
      <c r="C917517" s="349">
        <v>3.9181669972725021E-2</v>
      </c>
      <c r="D917517" s="349">
        <f t="shared" si="56"/>
        <v>9.7599024852310853E-2</v>
      </c>
      <c r="E917517" s="349">
        <v>5.2599024852310855E-2</v>
      </c>
      <c r="F917517" s="349">
        <v>0.18</v>
      </c>
    </row>
    <row r="917518" spans="1:6" ht="16">
      <c r="A917518" s="347" t="s">
        <v>249</v>
      </c>
      <c r="B917518" s="348" t="s">
        <v>571</v>
      </c>
      <c r="C917518" s="349">
        <v>2.0743237044383835E-2</v>
      </c>
      <c r="D917518" s="349">
        <f t="shared" si="56"/>
        <v>7.2846542568870451E-2</v>
      </c>
      <c r="E917518" s="349">
        <v>2.7846542568870453E-2</v>
      </c>
      <c r="F917518" s="349">
        <v>0.25</v>
      </c>
    </row>
    <row r="917519" spans="1:6" ht="16">
      <c r="A917519" s="347" t="s">
        <v>250</v>
      </c>
      <c r="B917519" s="348" t="s">
        <v>574</v>
      </c>
      <c r="C917519" s="349">
        <v>0</v>
      </c>
      <c r="D917519" s="349">
        <f t="shared" si="56"/>
        <v>4.4999999999999998E-2</v>
      </c>
      <c r="E917519" s="349">
        <v>0</v>
      </c>
      <c r="F917519" s="349">
        <v>0.3</v>
      </c>
    </row>
    <row r="917520" spans="1:6" ht="16">
      <c r="A917520" s="347" t="s">
        <v>251</v>
      </c>
      <c r="B917520" s="348" t="s">
        <v>575</v>
      </c>
      <c r="C917520" s="349">
        <v>4.3535188858583353E-3</v>
      </c>
      <c r="D917520" s="349">
        <f t="shared" si="56"/>
        <v>5.0844336094701202E-2</v>
      </c>
      <c r="E917520" s="349">
        <v>5.8443360947012038E-3</v>
      </c>
      <c r="F917520" s="349">
        <v>0.24</v>
      </c>
    </row>
    <row r="917521" spans="1:6" ht="16">
      <c r="A917521" s="347" t="s">
        <v>358</v>
      </c>
      <c r="B917521" s="348" t="s">
        <v>589</v>
      </c>
      <c r="C917521" s="349">
        <v>2.7273515373171343E-2</v>
      </c>
      <c r="D917521" s="349">
        <f t="shared" si="56"/>
        <v>8.161304671092226E-2</v>
      </c>
      <c r="E917521" s="349">
        <v>3.6613046710922262E-2</v>
      </c>
      <c r="F917521" s="349">
        <v>0.2</v>
      </c>
    </row>
    <row r="917522" spans="1:6" ht="16">
      <c r="A917522" s="347" t="s">
        <v>252</v>
      </c>
      <c r="B917522" s="348" t="s">
        <v>569</v>
      </c>
      <c r="C917522" s="349">
        <v>4.9041109802463012E-2</v>
      </c>
      <c r="D917522" s="349">
        <f t="shared" si="56"/>
        <v>0.11083472718442829</v>
      </c>
      <c r="E917522" s="349">
        <v>6.5834727184428288E-2</v>
      </c>
      <c r="F917522" s="349">
        <v>0</v>
      </c>
    </row>
    <row r="917523" spans="1:6" ht="16">
      <c r="A917523" s="347" t="s">
        <v>253</v>
      </c>
      <c r="B917523" s="348" t="s">
        <v>572</v>
      </c>
      <c r="C917523" s="349">
        <v>5.9924907017108855E-2</v>
      </c>
      <c r="D917523" s="349">
        <f t="shared" si="56"/>
        <v>0.12544556742118129</v>
      </c>
      <c r="E917523" s="349">
        <v>8.0445567421181294E-2</v>
      </c>
      <c r="F917523" s="349">
        <v>0</v>
      </c>
    </row>
    <row r="917524" spans="1:6" ht="16">
      <c r="A917524" s="347" t="s">
        <v>254</v>
      </c>
      <c r="B917524" s="348" t="s">
        <v>569</v>
      </c>
      <c r="C917524" s="349">
        <v>4.9041109802463012E-2</v>
      </c>
      <c r="D917524" s="349">
        <f t="shared" si="56"/>
        <v>0.11083472718442829</v>
      </c>
      <c r="E917524" s="349">
        <v>6.5834727184428288E-2</v>
      </c>
      <c r="F917524" s="349">
        <v>0.3</v>
      </c>
    </row>
    <row r="917525" spans="1:6" ht="16">
      <c r="A917525" s="347" t="s">
        <v>255</v>
      </c>
      <c r="B917525" s="348" t="s">
        <v>581</v>
      </c>
      <c r="C917525" s="349">
        <v>7.0808704231754685E-2</v>
      </c>
      <c r="D917525" s="349">
        <f t="shared" si="56"/>
        <v>0.14005640765793431</v>
      </c>
      <c r="E917525" s="349">
        <v>9.5056407657934314E-2</v>
      </c>
      <c r="F917525" s="349">
        <v>5.5E-2</v>
      </c>
    </row>
    <row r="917526" spans="1:6" ht="16">
      <c r="A917526" s="347" t="s">
        <v>256</v>
      </c>
      <c r="B917526" s="348" t="s">
        <v>615</v>
      </c>
      <c r="C917526" s="349">
        <v>0.17499999999999999</v>
      </c>
      <c r="D917526" s="349">
        <f t="shared" si="56"/>
        <v>0.27992692770782934</v>
      </c>
      <c r="E917526" s="349">
        <v>0.23492692770782936</v>
      </c>
      <c r="F917526" s="349">
        <v>0.18</v>
      </c>
    </row>
    <row r="917527" spans="1:6" ht="16">
      <c r="A917527" s="347" t="s">
        <v>257</v>
      </c>
      <c r="B917527" s="348" t="s">
        <v>580</v>
      </c>
      <c r="C917527" s="349">
        <v>6.5302783287875029E-3</v>
      </c>
      <c r="D917527" s="349">
        <f t="shared" si="56"/>
        <v>5.3766504142051808E-2</v>
      </c>
      <c r="E917527" s="349">
        <v>8.7665041420518092E-3</v>
      </c>
      <c r="F917527" s="349">
        <v>0.25</v>
      </c>
    </row>
    <row r="917528" spans="1:6" ht="16">
      <c r="A917528" s="347" t="s">
        <v>361</v>
      </c>
      <c r="B917528" s="348" t="s">
        <v>586</v>
      </c>
      <c r="C917528" s="349">
        <v>9.8082219604926024E-2</v>
      </c>
      <c r="D917528" s="349">
        <f t="shared" si="56"/>
        <v>0.17666945436885656</v>
      </c>
      <c r="E917528" s="349">
        <v>0.13166945436885658</v>
      </c>
      <c r="F917528" s="349">
        <v>0.2853</v>
      </c>
    </row>
    <row r="917529" spans="1:6" ht="16">
      <c r="A917529" s="347" t="s">
        <v>582</v>
      </c>
      <c r="B917529" s="348" t="s">
        <v>569</v>
      </c>
      <c r="C917529" s="349">
        <v>4.9041109802463012E-2</v>
      </c>
      <c r="D917529" s="349">
        <f t="shared" si="56"/>
        <v>0.11083472718442829</v>
      </c>
      <c r="E917529" s="349">
        <v>6.5834727184428288E-2</v>
      </c>
      <c r="F917529" s="349">
        <v>0.3</v>
      </c>
    </row>
    <row r="917530" spans="1:6" ht="16">
      <c r="A917530" s="347" t="s">
        <v>258</v>
      </c>
      <c r="B917530" s="348" t="s">
        <v>583</v>
      </c>
      <c r="C917530" s="349">
        <v>9.2192164641705932E-3</v>
      </c>
      <c r="D917530" s="349">
        <f t="shared" si="56"/>
        <v>5.73762411417202E-2</v>
      </c>
      <c r="E917530" s="349">
        <v>1.2376241141720201E-2</v>
      </c>
      <c r="F917530" s="349">
        <v>0</v>
      </c>
    </row>
    <row r="917531" spans="1:6" ht="16">
      <c r="A917531" s="347" t="s">
        <v>259</v>
      </c>
      <c r="B917531" s="348" t="s">
        <v>579</v>
      </c>
      <c r="C917531" s="349">
        <v>8.1692501446400528E-2</v>
      </c>
      <c r="D917531" s="349">
        <f t="shared" si="56"/>
        <v>0.15466724789468733</v>
      </c>
      <c r="E917531" s="349">
        <v>0.10966724789468733</v>
      </c>
      <c r="F917531" s="349">
        <v>0.25</v>
      </c>
    </row>
    <row r="917532" spans="1:6" ht="16">
      <c r="A917532" s="347" t="s">
        <v>260</v>
      </c>
      <c r="B917532" s="348" t="s">
        <v>581</v>
      </c>
      <c r="C917532" s="349">
        <v>7.0808704231754685E-2</v>
      </c>
      <c r="D917532" s="349">
        <f t="shared" si="56"/>
        <v>0.14005640765793431</v>
      </c>
      <c r="E917532" s="349">
        <v>9.5056407657934314E-2</v>
      </c>
      <c r="F917532" s="349">
        <v>0.1</v>
      </c>
    </row>
    <row r="917533" spans="1:6" ht="16">
      <c r="A917533" s="347" t="s">
        <v>261</v>
      </c>
      <c r="B917533" s="348" t="s">
        <v>587</v>
      </c>
      <c r="C917533" s="349">
        <v>1.3060556657575006E-2</v>
      </c>
      <c r="D917533" s="349">
        <f t="shared" si="56"/>
        <v>6.2533008284103617E-2</v>
      </c>
      <c r="E917533" s="349">
        <v>1.7533008284103618E-2</v>
      </c>
      <c r="F917533" s="349">
        <v>0.22</v>
      </c>
    </row>
    <row r="917534" spans="1:6" ht="16">
      <c r="A917534" s="347" t="s">
        <v>262</v>
      </c>
      <c r="B917534" s="348" t="s">
        <v>576</v>
      </c>
      <c r="C917534" s="349">
        <v>3.2779436317050999E-2</v>
      </c>
      <c r="D917534" s="349">
        <f t="shared" si="56"/>
        <v>8.9004412948338496E-2</v>
      </c>
      <c r="E917534" s="349">
        <v>4.4004412948338498E-2</v>
      </c>
      <c r="F917534" s="349">
        <v>0.34</v>
      </c>
    </row>
    <row r="917535" spans="1:6" ht="16">
      <c r="A917535" s="347" t="s">
        <v>850</v>
      </c>
      <c r="B917535" s="348" t="s">
        <v>576</v>
      </c>
      <c r="C917535" s="349">
        <v>3.2779436317050999E-2</v>
      </c>
      <c r="D917535" s="349">
        <f t="shared" si="56"/>
        <v>8.9004412948338496E-2</v>
      </c>
      <c r="E917535" s="349">
        <v>4.4004412948338498E-2</v>
      </c>
      <c r="F917535" s="349">
        <v>0.34</v>
      </c>
    </row>
    <row r="917536" spans="1:6" ht="16">
      <c r="A917536" s="351" t="s">
        <v>584</v>
      </c>
      <c r="B917536" s="348" t="s">
        <v>687</v>
      </c>
      <c r="C917536" s="349">
        <v>6.5302783287875029E-3</v>
      </c>
      <c r="D917536" s="349">
        <f t="shared" si="56"/>
        <v>5.3766504142051808E-2</v>
      </c>
      <c r="E917536" s="349">
        <v>8.7665041420518092E-3</v>
      </c>
      <c r="F917536" s="349">
        <v>0.185</v>
      </c>
    </row>
    <row r="917537" spans="1:6" ht="16">
      <c r="A917537" s="347" t="s">
        <v>263</v>
      </c>
      <c r="B917537" s="348" t="s">
        <v>573</v>
      </c>
      <c r="C917537" s="349">
        <v>1.7414075543433341E-2</v>
      </c>
      <c r="D917537" s="349">
        <f t="shared" si="56"/>
        <v>6.8377344378804827E-2</v>
      </c>
      <c r="E917537" s="349">
        <v>2.3377344378804829E-2</v>
      </c>
      <c r="F917537" s="349">
        <v>0.1</v>
      </c>
    </row>
    <row r="917538" spans="1:6" ht="16">
      <c r="A917538" s="347" t="s">
        <v>482</v>
      </c>
      <c r="B917538" s="348" t="s">
        <v>579</v>
      </c>
      <c r="C917538" s="349">
        <v>8.1692501446400528E-2</v>
      </c>
      <c r="D917538" s="349">
        <f t="shared" si="56"/>
        <v>0.15466724789468733</v>
      </c>
      <c r="E917538" s="349">
        <v>0.10966724789468733</v>
      </c>
      <c r="F917538" s="349">
        <v>0.28000000000000003</v>
      </c>
    </row>
    <row r="917539" spans="1:6" ht="16">
      <c r="A917539" s="347" t="s">
        <v>264</v>
      </c>
      <c r="B917539" s="348" t="s">
        <v>572</v>
      </c>
      <c r="C917539" s="349">
        <v>5.9924907017108855E-2</v>
      </c>
      <c r="D917539" s="349">
        <f t="shared" si="56"/>
        <v>0.12544556742118129</v>
      </c>
      <c r="E917539" s="349">
        <v>8.0445567421181294E-2</v>
      </c>
      <c r="F917539" s="349">
        <v>0.2</v>
      </c>
    </row>
    <row r="917540" spans="1:6" ht="16">
      <c r="A917540" s="347" t="s">
        <v>483</v>
      </c>
      <c r="B917540" s="348" t="s">
        <v>579</v>
      </c>
      <c r="C917540" s="349">
        <v>8.1692501446400528E-2</v>
      </c>
      <c r="D917540" s="349">
        <f t="shared" si="56"/>
        <v>0.15466724789468733</v>
      </c>
      <c r="E917540" s="349">
        <v>0.10966724789468733</v>
      </c>
      <c r="F917540" s="349">
        <v>0.33</v>
      </c>
    </row>
    <row r="917541" spans="1:6" ht="16">
      <c r="A917541" s="347" t="s">
        <v>265</v>
      </c>
      <c r="B917541" s="348" t="s">
        <v>574</v>
      </c>
      <c r="C917541" s="349">
        <v>0</v>
      </c>
      <c r="D917541" s="349">
        <f t="shared" si="56"/>
        <v>4.4999999999999998E-2</v>
      </c>
      <c r="E917541" s="349">
        <v>0</v>
      </c>
      <c r="F917541" s="349">
        <v>0.26500000000000001</v>
      </c>
    </row>
    <row r="917542" spans="1:6" ht="16">
      <c r="A917542" s="347" t="s">
        <v>484</v>
      </c>
      <c r="B917542" s="348" t="s">
        <v>581</v>
      </c>
      <c r="C917542" s="349">
        <v>7.0808704231754685E-2</v>
      </c>
      <c r="D917542" s="349">
        <f t="shared" si="56"/>
        <v>0.14005640765793431</v>
      </c>
      <c r="E917542" s="349">
        <v>9.5056407657934314E-2</v>
      </c>
      <c r="F917542" s="349">
        <v>0</v>
      </c>
    </row>
    <row r="917543" spans="1:6" ht="16">
      <c r="A917543" s="347" t="s">
        <v>266</v>
      </c>
      <c r="B917543" s="348" t="s">
        <v>580</v>
      </c>
      <c r="C917543" s="349">
        <v>6.5302783287875029E-3</v>
      </c>
      <c r="D917543" s="349">
        <f t="shared" si="56"/>
        <v>5.3766504142051808E-2</v>
      </c>
      <c r="E917543" s="349">
        <v>8.7665041420518092E-3</v>
      </c>
      <c r="F917543" s="349">
        <v>0</v>
      </c>
    </row>
    <row r="917544" spans="1:6" ht="16">
      <c r="A917544" s="347" t="s">
        <v>851</v>
      </c>
      <c r="B917544" s="154" t="s">
        <v>687</v>
      </c>
      <c r="C917544" s="277">
        <v>9.5882201472833571E-3</v>
      </c>
      <c r="D917544" s="349">
        <f t="shared" si="56"/>
        <v>0.10387160629364336</v>
      </c>
      <c r="E917544" s="277">
        <v>5.8871606293643367E-2</v>
      </c>
      <c r="F917544" s="277">
        <v>0.24707349543413576</v>
      </c>
    </row>
    <row r="917545" spans="1:6" ht="16">
      <c r="A917545" s="347" t="s">
        <v>267</v>
      </c>
      <c r="B917545" s="348" t="s">
        <v>583</v>
      </c>
      <c r="C917545" s="349">
        <v>9.2192164641705932E-3</v>
      </c>
      <c r="D917545" s="349">
        <f t="shared" si="56"/>
        <v>5.73762411417202E-2</v>
      </c>
      <c r="E917545" s="349">
        <v>1.2376241141720201E-2</v>
      </c>
      <c r="F917545" s="349">
        <v>0.27</v>
      </c>
    </row>
    <row r="917546" spans="1:6" ht="16">
      <c r="A917546" s="347" t="s">
        <v>268</v>
      </c>
      <c r="B917546" s="348" t="s">
        <v>585</v>
      </c>
      <c r="C917546" s="349">
        <v>7.6826803868088279E-3</v>
      </c>
      <c r="D917546" s="349">
        <f t="shared" si="56"/>
        <v>5.5313534284766833E-2</v>
      </c>
      <c r="E917546" s="349">
        <v>1.0313534284766834E-2</v>
      </c>
      <c r="F917546" s="349">
        <v>0.25</v>
      </c>
    </row>
    <row r="917547" spans="1:6" ht="16">
      <c r="A917547" s="347" t="s">
        <v>269</v>
      </c>
      <c r="B917547" s="348" t="s">
        <v>571</v>
      </c>
      <c r="C917547" s="349">
        <v>2.0743237044383835E-2</v>
      </c>
      <c r="D917547" s="349">
        <f t="shared" si="56"/>
        <v>7.2846542568870451E-2</v>
      </c>
      <c r="E917547" s="349">
        <v>2.7846542568870453E-2</v>
      </c>
      <c r="F917547" s="349">
        <v>0.35</v>
      </c>
    </row>
    <row r="917548" spans="1:6" ht="16">
      <c r="A917548" s="347" t="s">
        <v>500</v>
      </c>
      <c r="B917548" s="348" t="s">
        <v>581</v>
      </c>
      <c r="C917548" s="349">
        <v>7.0808704231754685E-2</v>
      </c>
      <c r="D917548" s="349">
        <f t="shared" si="56"/>
        <v>0.14005640765793431</v>
      </c>
      <c r="E917548" s="349">
        <v>9.5056407657934314E-2</v>
      </c>
      <c r="F917548" s="349">
        <v>0.3</v>
      </c>
    </row>
    <row r="917549" spans="1:6" ht="16">
      <c r="A917549" s="347" t="s">
        <v>501</v>
      </c>
      <c r="B917549" s="348" t="s">
        <v>586</v>
      </c>
      <c r="C917549" s="349">
        <v>9.8082219604926024E-2</v>
      </c>
      <c r="D917549" s="349">
        <f t="shared" si="56"/>
        <v>0.17666945436885656</v>
      </c>
      <c r="E917549" s="349">
        <v>0.13166945436885658</v>
      </c>
      <c r="F917549" s="349">
        <v>0.28000000000000003</v>
      </c>
    </row>
    <row r="917550" spans="1:6" ht="16">
      <c r="A917550" s="347" t="s">
        <v>485</v>
      </c>
      <c r="B917550" s="348" t="s">
        <v>569</v>
      </c>
      <c r="C917550" s="349">
        <v>4.9041109802463012E-2</v>
      </c>
      <c r="D917550" s="349">
        <f t="shared" si="56"/>
        <v>0.11083472718442829</v>
      </c>
      <c r="E917550" s="349">
        <v>6.5834727184428288E-2</v>
      </c>
      <c r="F917550" s="349">
        <v>0.2974</v>
      </c>
    </row>
    <row r="917551" spans="1:6" ht="16">
      <c r="A917551" s="347" t="s">
        <v>270</v>
      </c>
      <c r="B917551" s="348" t="s">
        <v>569</v>
      </c>
      <c r="C917551" s="349">
        <v>4.9041109802463012E-2</v>
      </c>
      <c r="D917551" s="349">
        <f t="shared" si="56"/>
        <v>0.11083472718442829</v>
      </c>
      <c r="E917551" s="349">
        <v>6.5834727184428288E-2</v>
      </c>
      <c r="F917551" s="349">
        <v>0.3</v>
      </c>
    </row>
    <row r="917552" spans="1:6" ht="16">
      <c r="A917552" s="347" t="s">
        <v>271</v>
      </c>
      <c r="B917552" s="348" t="s">
        <v>571</v>
      </c>
      <c r="C917552" s="349">
        <v>2.0743237044383835E-2</v>
      </c>
      <c r="D917552" s="349">
        <f t="shared" si="56"/>
        <v>7.2846542568870451E-2</v>
      </c>
      <c r="E917552" s="349">
        <v>2.7846542568870453E-2</v>
      </c>
      <c r="F917552" s="349">
        <v>0.18</v>
      </c>
    </row>
    <row r="917553" spans="1:6" ht="16">
      <c r="A917553" s="347" t="s">
        <v>363</v>
      </c>
      <c r="B917553" s="348" t="s">
        <v>688</v>
      </c>
      <c r="C917553" s="349">
        <v>0.13073361124886354</v>
      </c>
      <c r="D917553" s="349">
        <f t="shared" si="56"/>
        <v>0.22050197507911562</v>
      </c>
      <c r="E917553" s="349">
        <v>0.17550197507911564</v>
      </c>
      <c r="F917553" s="349">
        <v>0.2853</v>
      </c>
    </row>
    <row r="917554" spans="1:6" ht="16">
      <c r="A917554" s="352" t="s">
        <v>852</v>
      </c>
      <c r="B917554" s="348" t="s">
        <v>571</v>
      </c>
      <c r="C917554" s="349">
        <v>2.0743237044383835E-2</v>
      </c>
      <c r="D917554" s="349">
        <f t="shared" si="56"/>
        <v>7.2846542568870451E-2</v>
      </c>
      <c r="E917554" s="349">
        <v>2.7846542568870453E-2</v>
      </c>
      <c r="F917554" s="349">
        <v>0.22</v>
      </c>
    </row>
    <row r="917555" spans="1:6" ht="16">
      <c r="A917555" s="347" t="s">
        <v>272</v>
      </c>
      <c r="B917555" s="348" t="s">
        <v>571</v>
      </c>
      <c r="C917555" s="349">
        <v>2.0743237044383835E-2</v>
      </c>
      <c r="D917555" s="349">
        <f t="shared" si="56"/>
        <v>7.2846542568870451E-2</v>
      </c>
      <c r="E917555" s="349">
        <v>2.7846542568870453E-2</v>
      </c>
      <c r="F917555" s="349">
        <v>0.125</v>
      </c>
    </row>
    <row r="917556" spans="1:6" ht="16">
      <c r="A917556" s="347" t="s">
        <v>273</v>
      </c>
      <c r="B917556" s="348" t="s">
        <v>580</v>
      </c>
      <c r="C917556" s="349">
        <v>6.5302783287875029E-3</v>
      </c>
      <c r="D917556" s="349">
        <f t="shared" si="56"/>
        <v>5.3766504142051808E-2</v>
      </c>
      <c r="E917556" s="349">
        <v>8.7665041420518092E-3</v>
      </c>
      <c r="F917556" s="349">
        <v>0.19</v>
      </c>
    </row>
    <row r="917557" spans="1:6" ht="16">
      <c r="A917557" s="347" t="s">
        <v>274</v>
      </c>
      <c r="B917557" s="348" t="s">
        <v>574</v>
      </c>
      <c r="C917557" s="349">
        <v>0</v>
      </c>
      <c r="D917557" s="349">
        <f t="shared" si="56"/>
        <v>4.4999999999999998E-2</v>
      </c>
      <c r="E917557" s="349">
        <v>0</v>
      </c>
      <c r="F917557" s="349">
        <v>0.22</v>
      </c>
    </row>
    <row r="917558" spans="1:6" ht="16">
      <c r="A917558" s="347" t="s">
        <v>275</v>
      </c>
      <c r="B917558" s="348" t="s">
        <v>578</v>
      </c>
      <c r="C917558" s="349">
        <v>3.9181669972725021E-2</v>
      </c>
      <c r="D917558" s="349">
        <f t="shared" si="56"/>
        <v>9.7599024852310853E-2</v>
      </c>
      <c r="E917558" s="349">
        <v>5.2599024852310855E-2</v>
      </c>
      <c r="F917558" s="349">
        <v>0.27</v>
      </c>
    </row>
    <row r="917559" spans="1:6" ht="16">
      <c r="A917559" s="347" t="s">
        <v>276</v>
      </c>
      <c r="B917559" s="348" t="s">
        <v>689</v>
      </c>
      <c r="C917559" s="349">
        <v>0.10896601681957188</v>
      </c>
      <c r="D917559" s="349">
        <f t="shared" si="56"/>
        <v>0.19128029460560964</v>
      </c>
      <c r="E917559" s="349">
        <v>0.14628029460560965</v>
      </c>
      <c r="F917559" s="349">
        <v>0.25</v>
      </c>
    </row>
    <row r="917560" spans="1:6" ht="16">
      <c r="A917560" s="347" t="s">
        <v>277</v>
      </c>
      <c r="B917560" s="348" t="s">
        <v>579</v>
      </c>
      <c r="C917560" s="349">
        <v>8.1692501446400528E-2</v>
      </c>
      <c r="D917560" s="349">
        <f t="shared" si="56"/>
        <v>0.15466724789468733</v>
      </c>
      <c r="E917560" s="349">
        <v>0.10966724789468733</v>
      </c>
      <c r="F917560" s="349">
        <v>0.22500000000000001</v>
      </c>
    </row>
    <row r="917561" spans="1:6" ht="16">
      <c r="A917561" s="347" t="s">
        <v>364</v>
      </c>
      <c r="B917561" s="348" t="s">
        <v>689</v>
      </c>
      <c r="C917561" s="349">
        <v>0.10896601681957188</v>
      </c>
      <c r="D917561" s="349">
        <f t="shared" si="56"/>
        <v>0.19128029460560964</v>
      </c>
      <c r="E917561" s="349">
        <v>0.14628029460560965</v>
      </c>
      <c r="F917561" s="349">
        <v>0.3</v>
      </c>
    </row>
    <row r="917562" spans="1:6" ht="16">
      <c r="A917562" s="347" t="s">
        <v>278</v>
      </c>
      <c r="B917562" s="348" t="s">
        <v>585</v>
      </c>
      <c r="C917562" s="349">
        <v>7.6826803868088279E-3</v>
      </c>
      <c r="D917562" s="349">
        <f t="shared" si="56"/>
        <v>5.5313534284766833E-2</v>
      </c>
      <c r="E917562" s="349">
        <v>1.0313534284766834E-2</v>
      </c>
      <c r="F917562" s="349">
        <v>0.2</v>
      </c>
    </row>
    <row r="917563" spans="1:6" ht="16">
      <c r="A917563" s="347" t="s">
        <v>502</v>
      </c>
      <c r="B917563" s="348" t="s">
        <v>586</v>
      </c>
      <c r="C917563" s="349">
        <v>9.8082219604926024E-2</v>
      </c>
      <c r="D917563" s="349">
        <f t="shared" si="56"/>
        <v>0.17666945436885656</v>
      </c>
      <c r="E917563" s="349">
        <v>0.13166945436885658</v>
      </c>
      <c r="F917563" s="349">
        <v>0.3</v>
      </c>
    </row>
    <row r="917564" spans="1:6" ht="16">
      <c r="A917564" s="347" t="s">
        <v>853</v>
      </c>
      <c r="B917564" s="154" t="s">
        <v>687</v>
      </c>
      <c r="C917564" s="277">
        <v>4.2915086193622262E-2</v>
      </c>
      <c r="D917564" s="349">
        <f t="shared" si="56"/>
        <v>0.14861091058162493</v>
      </c>
      <c r="E917564" s="277">
        <v>0.10361091058162493</v>
      </c>
      <c r="F917564" s="277">
        <v>0.31595749426030023</v>
      </c>
    </row>
    <row r="917565" spans="1:6" ht="16">
      <c r="A917565" s="347" t="s">
        <v>279</v>
      </c>
      <c r="B917565" s="348" t="s">
        <v>569</v>
      </c>
      <c r="C917565" s="349">
        <v>4.9041109802463012E-2</v>
      </c>
      <c r="D917565" s="349">
        <f t="shared" si="56"/>
        <v>0.11083472718442829</v>
      </c>
      <c r="E917565" s="349">
        <v>6.5834727184428288E-2</v>
      </c>
      <c r="F917565" s="349">
        <v>0.2</v>
      </c>
    </row>
    <row r="917566" spans="1:6" ht="16">
      <c r="A917566" s="347" t="s">
        <v>280</v>
      </c>
      <c r="B917566" s="348" t="s">
        <v>575</v>
      </c>
      <c r="C917566" s="349">
        <v>4.3535188858583353E-3</v>
      </c>
      <c r="D917566" s="349">
        <f t="shared" si="56"/>
        <v>5.0844336094701202E-2</v>
      </c>
      <c r="E917566" s="349">
        <v>5.8443360947012038E-3</v>
      </c>
      <c r="F917566" s="349">
        <v>0.2</v>
      </c>
    </row>
    <row r="917567" spans="1:6" ht="16">
      <c r="A917567" s="347" t="s">
        <v>281</v>
      </c>
      <c r="B917567" s="348" t="s">
        <v>568</v>
      </c>
      <c r="C917567" s="349">
        <v>5.3778762707661788E-3</v>
      </c>
      <c r="D917567" s="349">
        <f t="shared" si="56"/>
        <v>5.2219473999336782E-2</v>
      </c>
      <c r="E917567" s="349">
        <v>7.219473999336784E-3</v>
      </c>
      <c r="F917567" s="349">
        <v>0.25</v>
      </c>
    </row>
    <row r="917568" spans="1:6" ht="16">
      <c r="A917568" s="347" t="s">
        <v>854</v>
      </c>
      <c r="B917568" s="154" t="s">
        <v>687</v>
      </c>
      <c r="C917568" s="277">
        <v>4.2915086193622262E-2</v>
      </c>
      <c r="D917568" s="349">
        <f t="shared" si="56"/>
        <v>0.14861091058162493</v>
      </c>
      <c r="E917568" s="277">
        <v>0.10361091058162493</v>
      </c>
      <c r="F917568" s="277">
        <v>0.31595749426030023</v>
      </c>
    </row>
    <row r="917569" spans="1:6" ht="16">
      <c r="A917569" s="347" t="s">
        <v>486</v>
      </c>
      <c r="B917569" s="348" t="s">
        <v>579</v>
      </c>
      <c r="C917569" s="349">
        <v>8.1692501446400528E-2</v>
      </c>
      <c r="D917569" s="349">
        <f t="shared" si="56"/>
        <v>0.15466724789468733</v>
      </c>
      <c r="E917569" s="349">
        <v>0.10966724789468733</v>
      </c>
      <c r="F917569" s="349">
        <v>0.3</v>
      </c>
    </row>
    <row r="917570" spans="1:6" ht="16">
      <c r="A917570" s="350" t="s">
        <v>588</v>
      </c>
      <c r="B917570" s="348" t="s">
        <v>687</v>
      </c>
      <c r="C917570" s="349">
        <v>4.9041109802463012E-2</v>
      </c>
      <c r="D917570" s="349">
        <f t="shared" si="56"/>
        <v>0.11083472718442829</v>
      </c>
      <c r="E917570" s="349">
        <v>6.5834727184428288E-2</v>
      </c>
      <c r="F917570" s="349">
        <v>0.31</v>
      </c>
    </row>
    <row r="917571" spans="1:6" ht="16">
      <c r="A917571" s="347" t="s">
        <v>365</v>
      </c>
      <c r="B917571" s="348" t="s">
        <v>576</v>
      </c>
      <c r="C917571" s="349">
        <v>3.2779436317050999E-2</v>
      </c>
      <c r="D917571" s="349">
        <f t="shared" si="56"/>
        <v>8.9004412948338496E-2</v>
      </c>
      <c r="E917571" s="349">
        <v>4.4004412948338498E-2</v>
      </c>
      <c r="F917571" s="349">
        <v>0.15</v>
      </c>
    </row>
    <row r="917572" spans="1:6" ht="16">
      <c r="A917572" s="347" t="s">
        <v>282</v>
      </c>
      <c r="B917572" s="348" t="s">
        <v>574</v>
      </c>
      <c r="C917572" s="349">
        <v>0</v>
      </c>
      <c r="D917572" s="349">
        <f t="shared" si="56"/>
        <v>4.4999999999999998E-2</v>
      </c>
      <c r="E917572" s="349">
        <v>0</v>
      </c>
      <c r="F917572" s="349">
        <v>0.3</v>
      </c>
    </row>
    <row r="917573" spans="1:6" ht="16">
      <c r="A917573" s="347" t="s">
        <v>487</v>
      </c>
      <c r="B917573" s="348" t="s">
        <v>689</v>
      </c>
      <c r="C917573" s="349">
        <v>0.10896601681957188</v>
      </c>
      <c r="D917573" s="349">
        <f t="shared" si="56"/>
        <v>0.19128029460560964</v>
      </c>
      <c r="E917573" s="349">
        <v>0.14628029460560965</v>
      </c>
      <c r="F917573" s="349">
        <v>0.25</v>
      </c>
    </row>
    <row r="917574" spans="1:6" ht="16">
      <c r="A917574" s="347" t="s">
        <v>855</v>
      </c>
      <c r="B917574" s="154" t="s">
        <v>687</v>
      </c>
      <c r="C917574" s="277">
        <v>9.5882201472833571E-3</v>
      </c>
      <c r="D917574" s="349">
        <f t="shared" ref="D917574:D917637" si="57">$B$1+E917574</f>
        <v>0.10387160629364336</v>
      </c>
      <c r="E917574" s="277">
        <v>5.8871606293643367E-2</v>
      </c>
      <c r="F917574" s="277">
        <v>0.24707349543413576</v>
      </c>
    </row>
    <row r="917575" spans="1:6" ht="16">
      <c r="A917575" s="347" t="s">
        <v>283</v>
      </c>
      <c r="B917575" s="348" t="s">
        <v>589</v>
      </c>
      <c r="C917575" s="349">
        <v>2.7273515373171343E-2</v>
      </c>
      <c r="D917575" s="349">
        <f t="shared" si="57"/>
        <v>8.161304671092226E-2</v>
      </c>
      <c r="E917575" s="349">
        <v>3.6613046710922262E-2</v>
      </c>
      <c r="F917575" s="349">
        <v>0.22</v>
      </c>
    </row>
    <row r="917576" spans="1:6" ht="16">
      <c r="A917576" s="347" t="s">
        <v>856</v>
      </c>
      <c r="B917576" s="154" t="s">
        <v>687</v>
      </c>
      <c r="C917576" s="277">
        <f>J917576</f>
        <v>0</v>
      </c>
      <c r="D917576" s="349">
        <f t="shared" si="57"/>
        <v>4.4999999999999998E-2</v>
      </c>
      <c r="E917576" s="277">
        <f>H917576</f>
        <v>0</v>
      </c>
      <c r="F917576" s="277">
        <f>K917576</f>
        <v>0</v>
      </c>
    </row>
    <row r="917577" spans="1:6" ht="16">
      <c r="A917577" s="347" t="s">
        <v>284</v>
      </c>
      <c r="B917577" s="348" t="s">
        <v>589</v>
      </c>
      <c r="C917577" s="349">
        <v>2.7273515373171343E-2</v>
      </c>
      <c r="D917577" s="349">
        <f t="shared" si="57"/>
        <v>8.161304671092226E-2</v>
      </c>
      <c r="E917577" s="349">
        <v>3.6613046710922262E-2</v>
      </c>
      <c r="F917577" s="349">
        <v>0.25</v>
      </c>
    </row>
    <row r="917578" spans="1:6" ht="16">
      <c r="A917578" s="347" t="s">
        <v>690</v>
      </c>
      <c r="B917578" s="348" t="s">
        <v>585</v>
      </c>
      <c r="C917578" s="349">
        <v>7.6826803868088279E-3</v>
      </c>
      <c r="D917578" s="349">
        <f t="shared" si="57"/>
        <v>5.5313534284766833E-2</v>
      </c>
      <c r="E917578" s="349">
        <v>1.0313534284766834E-2</v>
      </c>
      <c r="F917578" s="349">
        <v>0</v>
      </c>
    </row>
    <row r="917579" spans="1:6" ht="16">
      <c r="A917579" s="351" t="s">
        <v>590</v>
      </c>
      <c r="B917579" s="348" t="s">
        <v>687</v>
      </c>
      <c r="C917579" s="349">
        <v>9.8082219604926024E-2</v>
      </c>
      <c r="D917579" s="349">
        <f t="shared" si="57"/>
        <v>0.17666945436885656</v>
      </c>
      <c r="E917579" s="349">
        <v>0.13166945436885658</v>
      </c>
      <c r="F917579" s="349">
        <v>0.29149999999999998</v>
      </c>
    </row>
    <row r="917580" spans="1:6" ht="16">
      <c r="A917580" s="350" t="s">
        <v>591</v>
      </c>
      <c r="B917580" s="348" t="s">
        <v>687</v>
      </c>
      <c r="C917580" s="349">
        <v>5.9924907017108842E-2</v>
      </c>
      <c r="D917580" s="349">
        <f t="shared" si="57"/>
        <v>0.12544556742118129</v>
      </c>
      <c r="E917580" s="349">
        <v>8.0445567421181294E-2</v>
      </c>
      <c r="F917580" s="349">
        <v>0.29149999999999998</v>
      </c>
    </row>
    <row r="917581" spans="1:6" ht="16">
      <c r="A917581" s="351" t="s">
        <v>592</v>
      </c>
      <c r="B917581" s="348" t="s">
        <v>687</v>
      </c>
      <c r="C917581" s="349">
        <v>1.7414075543433345E-2</v>
      </c>
      <c r="D917581" s="349">
        <f t="shared" si="57"/>
        <v>6.8377344378804827E-2</v>
      </c>
      <c r="E917581" s="349">
        <v>2.3377344378804829E-2</v>
      </c>
      <c r="F917581" s="349">
        <v>0.18640000000000001</v>
      </c>
    </row>
    <row r="917582" spans="1:6" ht="16">
      <c r="A917582" s="350" t="s">
        <v>593</v>
      </c>
      <c r="B917582" s="348" t="s">
        <v>687</v>
      </c>
      <c r="C917582" s="349">
        <v>0.10896601681957191</v>
      </c>
      <c r="D917582" s="349">
        <f t="shared" si="57"/>
        <v>0.19128029460560964</v>
      </c>
      <c r="E917582" s="349">
        <v>0.14628029460560965</v>
      </c>
      <c r="F917582" s="349">
        <v>0.18640000000000001</v>
      </c>
    </row>
    <row r="917583" spans="1:6" ht="16">
      <c r="A917583" s="347" t="s">
        <v>285</v>
      </c>
      <c r="B917583" s="348" t="s">
        <v>569</v>
      </c>
      <c r="C917583" s="349">
        <v>4.9041109802463012E-2</v>
      </c>
      <c r="D917583" s="349">
        <f t="shared" si="57"/>
        <v>0.11083472718442829</v>
      </c>
      <c r="E917583" s="349">
        <v>6.5834727184428288E-2</v>
      </c>
      <c r="F917583" s="349">
        <v>0.25</v>
      </c>
    </row>
    <row r="917584" spans="1:6" ht="16">
      <c r="A917584" s="347" t="s">
        <v>286</v>
      </c>
      <c r="B917584" s="348" t="s">
        <v>580</v>
      </c>
      <c r="C917584" s="349">
        <v>6.5302783287875029E-3</v>
      </c>
      <c r="D917584" s="349">
        <f t="shared" si="57"/>
        <v>5.3766504142051808E-2</v>
      </c>
      <c r="E917584" s="349">
        <v>8.7665041420518092E-3</v>
      </c>
      <c r="F917584" s="349">
        <v>0.16500000000000001</v>
      </c>
    </row>
    <row r="917585" spans="1:6" ht="16">
      <c r="A917585" s="347" t="s">
        <v>287</v>
      </c>
      <c r="B917585" s="348" t="s">
        <v>571</v>
      </c>
      <c r="C917585" s="349">
        <v>2.0743237044383835E-2</v>
      </c>
      <c r="D917585" s="349">
        <f t="shared" si="57"/>
        <v>7.2846542568870451E-2</v>
      </c>
      <c r="E917585" s="349">
        <v>2.7846542568870453E-2</v>
      </c>
      <c r="F917585" s="349">
        <v>0.09</v>
      </c>
    </row>
    <row r="917586" spans="1:6" ht="16">
      <c r="A917586" s="347" t="s">
        <v>288</v>
      </c>
      <c r="B917586" s="348" t="s">
        <v>583</v>
      </c>
      <c r="C917586" s="349">
        <v>9.2192164641705932E-3</v>
      </c>
      <c r="D917586" s="349">
        <f t="shared" si="57"/>
        <v>5.73762411417202E-2</v>
      </c>
      <c r="E917586" s="349">
        <v>1.2376241141720201E-2</v>
      </c>
      <c r="F917586" s="349">
        <v>0.2</v>
      </c>
    </row>
    <row r="917587" spans="1:6" ht="16">
      <c r="A917587" s="347" t="s">
        <v>289</v>
      </c>
      <c r="B917587" s="348" t="s">
        <v>577</v>
      </c>
      <c r="C917587" s="349">
        <v>2.3944353872220846E-2</v>
      </c>
      <c r="D917587" s="349">
        <f t="shared" si="57"/>
        <v>7.7143848520856623E-2</v>
      </c>
      <c r="E917587" s="349">
        <v>3.2143848520856624E-2</v>
      </c>
      <c r="F917587" s="349">
        <v>0.3</v>
      </c>
    </row>
    <row r="917588" spans="1:6" ht="16">
      <c r="A917588" s="347" t="s">
        <v>290</v>
      </c>
      <c r="B917588" s="348" t="s">
        <v>571</v>
      </c>
      <c r="C917588" s="349">
        <v>2.0743237044383835E-2</v>
      </c>
      <c r="D917588" s="349">
        <f t="shared" si="57"/>
        <v>7.2846542568870451E-2</v>
      </c>
      <c r="E917588" s="349">
        <v>2.7846542568870453E-2</v>
      </c>
      <c r="F917588" s="349">
        <v>0.22</v>
      </c>
    </row>
    <row r="917589" spans="1:6" ht="16">
      <c r="A917589" s="351" t="s">
        <v>594</v>
      </c>
      <c r="B917589" s="348" t="s">
        <v>687</v>
      </c>
      <c r="C917589" s="349">
        <v>7.0808704231754685E-2</v>
      </c>
      <c r="D917589" s="349">
        <f t="shared" si="57"/>
        <v>0.14005640765793431</v>
      </c>
      <c r="E917589" s="349">
        <v>9.5056407657934314E-2</v>
      </c>
      <c r="F917589" s="349">
        <v>0.20230000000000001</v>
      </c>
    </row>
    <row r="917590" spans="1:6" ht="16">
      <c r="A917590" s="347" t="s">
        <v>559</v>
      </c>
      <c r="B917590" s="348" t="s">
        <v>579</v>
      </c>
      <c r="C917590" s="349">
        <v>8.1692501446400528E-2</v>
      </c>
      <c r="D917590" s="349">
        <f t="shared" si="57"/>
        <v>0.15466724789468733</v>
      </c>
      <c r="E917590" s="349">
        <v>0.10966724789468733</v>
      </c>
      <c r="F917590" s="349">
        <v>0.15</v>
      </c>
    </row>
    <row r="917591" spans="1:6" ht="16">
      <c r="A917591" s="347" t="s">
        <v>291</v>
      </c>
      <c r="B917591" s="348" t="s">
        <v>580</v>
      </c>
      <c r="C917591" s="349">
        <v>6.5302783287875029E-3</v>
      </c>
      <c r="D917591" s="349">
        <f t="shared" si="57"/>
        <v>5.3766504142051808E-2</v>
      </c>
      <c r="E917591" s="349">
        <v>8.7665041420518092E-3</v>
      </c>
      <c r="F917591" s="349">
        <v>0.125</v>
      </c>
    </row>
    <row r="917592" spans="1:6" ht="16">
      <c r="A917592" s="347" t="s">
        <v>292</v>
      </c>
      <c r="B917592" s="348" t="s">
        <v>580</v>
      </c>
      <c r="C917592" s="349">
        <v>6.5302783287875029E-3</v>
      </c>
      <c r="D917592" s="349">
        <f t="shared" si="57"/>
        <v>5.3766504142051808E-2</v>
      </c>
      <c r="E917592" s="349">
        <v>8.7665041420518092E-3</v>
      </c>
      <c r="F917592" s="349">
        <v>0</v>
      </c>
    </row>
    <row r="917593" spans="1:6" ht="16">
      <c r="A917593" s="347" t="s">
        <v>293</v>
      </c>
      <c r="B917593" s="348" t="s">
        <v>585</v>
      </c>
      <c r="C917593" s="349">
        <v>7.6826803868088279E-3</v>
      </c>
      <c r="D917593" s="349">
        <f t="shared" si="57"/>
        <v>5.5313534284766833E-2</v>
      </c>
      <c r="E917593" s="349">
        <v>1.0313534284766834E-2</v>
      </c>
      <c r="F917593" s="349">
        <v>0.23</v>
      </c>
    </row>
    <row r="917594" spans="1:6" ht="16">
      <c r="A917594" s="347" t="s">
        <v>294</v>
      </c>
      <c r="B917594" s="348" t="s">
        <v>577</v>
      </c>
      <c r="C917594" s="349">
        <v>2.3944353872220846E-2</v>
      </c>
      <c r="D917594" s="349">
        <f t="shared" si="57"/>
        <v>7.7143848520856623E-2</v>
      </c>
      <c r="E917594" s="349">
        <v>3.2143848520856624E-2</v>
      </c>
      <c r="F917594" s="349">
        <v>0.24</v>
      </c>
    </row>
    <row r="917595" spans="1:6" ht="16">
      <c r="A917595" s="347" t="s">
        <v>857</v>
      </c>
      <c r="B917595" s="348" t="s">
        <v>578</v>
      </c>
      <c r="C917595" s="349">
        <v>3.9181669972725021E-2</v>
      </c>
      <c r="D917595" s="349">
        <f t="shared" si="57"/>
        <v>9.7599024852310853E-2</v>
      </c>
      <c r="E917595" s="349">
        <v>5.2599024852310855E-2</v>
      </c>
      <c r="F917595" s="349">
        <v>0.25</v>
      </c>
    </row>
    <row r="917596" spans="1:6" ht="16">
      <c r="A917596" s="347" t="s">
        <v>295</v>
      </c>
      <c r="B917596" s="348" t="s">
        <v>569</v>
      </c>
      <c r="C917596" s="349">
        <v>4.9041109802463012E-2</v>
      </c>
      <c r="D917596" s="349">
        <f t="shared" si="57"/>
        <v>0.11083472718442829</v>
      </c>
      <c r="E917596" s="349">
        <v>6.5834727184428288E-2</v>
      </c>
      <c r="F917596" s="349">
        <v>0.25</v>
      </c>
    </row>
    <row r="917597" spans="1:6" ht="16">
      <c r="A917597" s="347" t="s">
        <v>296</v>
      </c>
      <c r="B917597" s="348" t="s">
        <v>585</v>
      </c>
      <c r="C917597" s="349">
        <v>7.6826803868088279E-3</v>
      </c>
      <c r="D917597" s="349">
        <f t="shared" si="57"/>
        <v>5.5313534284766833E-2</v>
      </c>
      <c r="E917597" s="349">
        <v>1.0313534284766834E-2</v>
      </c>
      <c r="F917597" s="349">
        <v>0.30620000000000003</v>
      </c>
    </row>
    <row r="917598" spans="1:6" ht="16">
      <c r="A917598" s="347" t="s">
        <v>691</v>
      </c>
      <c r="B917598" s="348" t="s">
        <v>580</v>
      </c>
      <c r="C917598" s="349">
        <v>6.5302783287875029E-3</v>
      </c>
      <c r="D917598" s="349">
        <f t="shared" si="57"/>
        <v>5.3766504142051808E-2</v>
      </c>
      <c r="E917598" s="349">
        <v>8.7665041420518092E-3</v>
      </c>
      <c r="F917598" s="349">
        <v>0</v>
      </c>
    </row>
    <row r="917599" spans="1:6" ht="16">
      <c r="A917599" s="347" t="s">
        <v>297</v>
      </c>
      <c r="B917599" s="348" t="s">
        <v>569</v>
      </c>
      <c r="C917599" s="349">
        <v>4.9041109802463012E-2</v>
      </c>
      <c r="D917599" s="349">
        <f t="shared" si="57"/>
        <v>0.11083472718442829</v>
      </c>
      <c r="E917599" s="349">
        <v>6.5834727184428288E-2</v>
      </c>
      <c r="F917599" s="349">
        <v>0.2</v>
      </c>
    </row>
    <row r="917600" spans="1:6" ht="16">
      <c r="A917600" s="347" t="s">
        <v>298</v>
      </c>
      <c r="B917600" s="348" t="s">
        <v>571</v>
      </c>
      <c r="C917600" s="349">
        <v>2.0743237044383835E-2</v>
      </c>
      <c r="D917600" s="349">
        <f t="shared" si="57"/>
        <v>7.2846542568870451E-2</v>
      </c>
      <c r="E917600" s="349">
        <v>2.7846542568870453E-2</v>
      </c>
      <c r="F917600" s="349">
        <v>0.2</v>
      </c>
    </row>
    <row r="917601" spans="1:6" ht="16">
      <c r="A917601" s="347" t="s">
        <v>429</v>
      </c>
      <c r="B917601" s="348" t="s">
        <v>581</v>
      </c>
      <c r="C917601" s="349">
        <v>7.0808704231754685E-2</v>
      </c>
      <c r="D917601" s="349">
        <f t="shared" si="57"/>
        <v>0.14005640765793431</v>
      </c>
      <c r="E917601" s="349">
        <v>9.5056407657934314E-2</v>
      </c>
      <c r="F917601" s="349">
        <v>0.3</v>
      </c>
    </row>
    <row r="917602" spans="1:6" ht="16">
      <c r="A917602" s="350" t="s">
        <v>595</v>
      </c>
      <c r="B917602" s="348" t="s">
        <v>687</v>
      </c>
      <c r="C917602" s="349">
        <v>0.17499999999999999</v>
      </c>
      <c r="D917602" s="349">
        <f t="shared" si="57"/>
        <v>0.27992692770782934</v>
      </c>
      <c r="E917602" s="349">
        <v>0.23492692770782936</v>
      </c>
      <c r="F917602" s="349">
        <v>0.23100000000000001</v>
      </c>
    </row>
    <row r="917603" spans="1:6" ht="16">
      <c r="A917603" s="347" t="s">
        <v>299</v>
      </c>
      <c r="B917603" s="348" t="s">
        <v>585</v>
      </c>
      <c r="C917603" s="349">
        <v>7.6826803868088279E-3</v>
      </c>
      <c r="D917603" s="349">
        <f t="shared" si="57"/>
        <v>5.5313534284766833E-2</v>
      </c>
      <c r="E917603" s="349">
        <v>1.0313534284766834E-2</v>
      </c>
      <c r="F917603" s="349">
        <v>0.15</v>
      </c>
    </row>
    <row r="917604" spans="1:6" ht="16">
      <c r="A917604" s="347" t="s">
        <v>488</v>
      </c>
      <c r="B917604" s="348" t="s">
        <v>581</v>
      </c>
      <c r="C917604" s="349">
        <v>7.0808704231754685E-2</v>
      </c>
      <c r="D917604" s="349">
        <f t="shared" si="57"/>
        <v>0.14005640765793431</v>
      </c>
      <c r="E917604" s="349">
        <v>9.5056407657934314E-2</v>
      </c>
      <c r="F917604" s="349">
        <v>0.1</v>
      </c>
    </row>
    <row r="917605" spans="1:6" ht="16">
      <c r="A917605" s="347" t="s">
        <v>622</v>
      </c>
      <c r="B917605" s="348" t="s">
        <v>689</v>
      </c>
      <c r="C917605" s="349">
        <v>0.10896601681957188</v>
      </c>
      <c r="D917605" s="349">
        <f t="shared" si="57"/>
        <v>0.19128029460560964</v>
      </c>
      <c r="E917605" s="349">
        <v>0.14628029460560965</v>
      </c>
      <c r="F917605" s="349">
        <v>0.26860000000000001</v>
      </c>
    </row>
    <row r="917606" spans="1:6" ht="16">
      <c r="A917606" s="347" t="s">
        <v>300</v>
      </c>
      <c r="B917606" s="348" t="s">
        <v>587</v>
      </c>
      <c r="C917606" s="349">
        <v>1.3060556657575006E-2</v>
      </c>
      <c r="D917606" s="349">
        <f t="shared" si="57"/>
        <v>6.2533008284103617E-2</v>
      </c>
      <c r="E917606" s="349">
        <v>1.7533008284103618E-2</v>
      </c>
      <c r="F917606" s="349">
        <v>0.2</v>
      </c>
    </row>
    <row r="917607" spans="1:6" ht="16">
      <c r="A917607" s="347" t="s">
        <v>366</v>
      </c>
      <c r="B917607" s="348" t="s">
        <v>615</v>
      </c>
      <c r="C917607" s="349">
        <v>0.17499999999999999</v>
      </c>
      <c r="D917607" s="349">
        <f t="shared" si="57"/>
        <v>0.27992692770782934</v>
      </c>
      <c r="E917607" s="349">
        <v>0.23492692770782936</v>
      </c>
      <c r="F917607" s="349">
        <v>0.17</v>
      </c>
    </row>
    <row r="917608" spans="1:6" ht="16">
      <c r="A917608" s="351" t="s">
        <v>596</v>
      </c>
      <c r="B917608" s="348" t="s">
        <v>687</v>
      </c>
      <c r="C917608" s="349">
        <v>0.13073361124886354</v>
      </c>
      <c r="D917608" s="349">
        <f t="shared" si="57"/>
        <v>0.22050197507911562</v>
      </c>
      <c r="E917608" s="349">
        <v>0.17550197507911564</v>
      </c>
      <c r="F917608" s="349">
        <v>0.29149999999999998</v>
      </c>
    </row>
    <row r="917609" spans="1:6" ht="16">
      <c r="A917609" s="350" t="s">
        <v>597</v>
      </c>
      <c r="B917609" s="348" t="s">
        <v>687</v>
      </c>
      <c r="C917609" s="349">
        <v>2.0743237044383835E-2</v>
      </c>
      <c r="D917609" s="349">
        <f t="shared" si="57"/>
        <v>7.2846542568870451E-2</v>
      </c>
      <c r="E917609" s="349">
        <v>2.7846542568870453E-2</v>
      </c>
      <c r="F917609" s="349">
        <v>0.2</v>
      </c>
    </row>
    <row r="917610" spans="1:6" ht="16">
      <c r="A917610" s="347" t="s">
        <v>301</v>
      </c>
      <c r="B917610" s="348" t="s">
        <v>574</v>
      </c>
      <c r="C917610" s="349">
        <v>0</v>
      </c>
      <c r="D917610" s="349">
        <f t="shared" si="57"/>
        <v>4.4999999999999998E-2</v>
      </c>
      <c r="E917610" s="349">
        <v>0</v>
      </c>
      <c r="F917610" s="349">
        <v>0.125</v>
      </c>
    </row>
    <row r="917611" spans="1:6" ht="16">
      <c r="A917611" s="347" t="s">
        <v>302</v>
      </c>
      <c r="B917611" s="348" t="s">
        <v>583</v>
      </c>
      <c r="C917611" s="349">
        <v>9.2192164641705932E-3</v>
      </c>
      <c r="D917611" s="349">
        <f t="shared" si="57"/>
        <v>5.73762411417202E-2</v>
      </c>
      <c r="E917611" s="349">
        <v>1.2376241141720201E-2</v>
      </c>
      <c r="F917611" s="349">
        <v>0.15</v>
      </c>
    </row>
    <row r="917612" spans="1:6" ht="16">
      <c r="A917612" s="347" t="s">
        <v>303</v>
      </c>
      <c r="B917612" s="348" t="s">
        <v>574</v>
      </c>
      <c r="C917612" s="349">
        <v>0</v>
      </c>
      <c r="D917612" s="349">
        <f t="shared" si="57"/>
        <v>4.4999999999999998E-2</v>
      </c>
      <c r="E917612" s="349">
        <v>0</v>
      </c>
      <c r="F917612" s="349">
        <v>0.24940000000000001</v>
      </c>
    </row>
    <row r="917613" spans="1:6" ht="16">
      <c r="A917613" s="347" t="s">
        <v>858</v>
      </c>
      <c r="B917613" s="348" t="s">
        <v>580</v>
      </c>
      <c r="C917613" s="349">
        <v>6.5302783287875029E-3</v>
      </c>
      <c r="D917613" s="349">
        <f t="shared" si="57"/>
        <v>5.3766504142051808E-2</v>
      </c>
      <c r="E917613" s="349">
        <v>8.7665041420518092E-3</v>
      </c>
      <c r="F917613" s="349">
        <v>0.26860000000000001</v>
      </c>
    </row>
    <row r="917614" spans="1:6" ht="16">
      <c r="A917614" s="347" t="s">
        <v>304</v>
      </c>
      <c r="B917614" s="348" t="s">
        <v>578</v>
      </c>
      <c r="C917614" s="349">
        <v>3.9181669972725021E-2</v>
      </c>
      <c r="D917614" s="349">
        <f t="shared" si="57"/>
        <v>9.7599024852310853E-2</v>
      </c>
      <c r="E917614" s="349">
        <v>5.2599024852310855E-2</v>
      </c>
      <c r="F917614" s="349">
        <v>0.1</v>
      </c>
    </row>
    <row r="917615" spans="1:6" ht="16">
      <c r="A917615" s="351" t="s">
        <v>598</v>
      </c>
      <c r="B917615" s="348" t="s">
        <v>687</v>
      </c>
      <c r="C917615" s="349">
        <v>7.0808704231754685E-2</v>
      </c>
      <c r="D917615" s="349">
        <f t="shared" si="57"/>
        <v>0.14005640765793431</v>
      </c>
      <c r="E917615" s="349">
        <v>9.5056407657934314E-2</v>
      </c>
      <c r="F917615" s="349">
        <v>0.2</v>
      </c>
    </row>
    <row r="917616" spans="1:6" ht="16">
      <c r="A917616" s="350" t="s">
        <v>599</v>
      </c>
      <c r="B917616" s="348" t="s">
        <v>687</v>
      </c>
      <c r="C917616" s="349">
        <v>0.13073361124886354</v>
      </c>
      <c r="D917616" s="349">
        <f t="shared" si="57"/>
        <v>0.22050197507911562</v>
      </c>
      <c r="E917616" s="349">
        <v>0.17550197507911564</v>
      </c>
      <c r="F917616" s="349">
        <v>0.3</v>
      </c>
    </row>
    <row r="917617" spans="1:6" ht="16">
      <c r="A917617" s="347" t="s">
        <v>305</v>
      </c>
      <c r="B917617" s="348" t="s">
        <v>587</v>
      </c>
      <c r="C917617" s="349">
        <v>1.3060556657575006E-2</v>
      </c>
      <c r="D917617" s="349">
        <f t="shared" si="57"/>
        <v>6.2533008284103617E-2</v>
      </c>
      <c r="E917617" s="349">
        <v>1.7533008284103618E-2</v>
      </c>
      <c r="F917617" s="349">
        <v>0.24</v>
      </c>
    </row>
    <row r="917618" spans="1:6" ht="16">
      <c r="A917618" s="347" t="s">
        <v>692</v>
      </c>
      <c r="B917618" s="348" t="s">
        <v>579</v>
      </c>
      <c r="C917618" s="349">
        <v>8.1692501446400528E-2</v>
      </c>
      <c r="D917618" s="349">
        <f t="shared" si="57"/>
        <v>0.15466724789468733</v>
      </c>
      <c r="E917618" s="349">
        <v>0.10966724789468733</v>
      </c>
      <c r="F917618" s="349">
        <v>0.26860000000000001</v>
      </c>
    </row>
    <row r="917619" spans="1:6" ht="16">
      <c r="A917619" s="347" t="s">
        <v>600</v>
      </c>
      <c r="B917619" s="348" t="s">
        <v>586</v>
      </c>
      <c r="C917619" s="349">
        <v>9.8082219604926024E-2</v>
      </c>
      <c r="D917619" s="349">
        <f t="shared" si="57"/>
        <v>0.17666945436885656</v>
      </c>
      <c r="E917619" s="349">
        <v>0.13166945436885658</v>
      </c>
      <c r="F917619" s="349">
        <v>0.26860000000000001</v>
      </c>
    </row>
    <row r="917620" spans="1:6" ht="16">
      <c r="A917620" s="347" t="s">
        <v>306</v>
      </c>
      <c r="B917620" s="348" t="s">
        <v>583</v>
      </c>
      <c r="C917620" s="349">
        <v>9.2192164641705932E-3</v>
      </c>
      <c r="D917620" s="349">
        <f t="shared" si="57"/>
        <v>5.73762411417202E-2</v>
      </c>
      <c r="E917620" s="349">
        <v>1.2376241141720201E-2</v>
      </c>
      <c r="F917620" s="349">
        <v>0.35</v>
      </c>
    </row>
    <row r="917621" spans="1:6" ht="16">
      <c r="A917621" s="347" t="s">
        <v>859</v>
      </c>
      <c r="B917621" s="154" t="s">
        <v>687</v>
      </c>
      <c r="C917621" s="277">
        <f>J917621</f>
        <v>0</v>
      </c>
      <c r="D917621" s="349">
        <f t="shared" si="57"/>
        <v>4.4999999999999998E-2</v>
      </c>
      <c r="E917621" s="277">
        <f>H917621</f>
        <v>0</v>
      </c>
      <c r="F917621" s="277">
        <f>K917621</f>
        <v>0</v>
      </c>
    </row>
    <row r="917622" spans="1:6" ht="16">
      <c r="A917622" s="347" t="s">
        <v>307</v>
      </c>
      <c r="B917622" s="348" t="s">
        <v>577</v>
      </c>
      <c r="C917622" s="349">
        <v>2.3944353872220846E-2</v>
      </c>
      <c r="D917622" s="349">
        <f t="shared" si="57"/>
        <v>7.7143848520856623E-2</v>
      </c>
      <c r="E917622" s="349">
        <v>3.2143848520856624E-2</v>
      </c>
      <c r="F917622" s="349">
        <v>0.15</v>
      </c>
    </row>
    <row r="917623" spans="1:6" ht="16">
      <c r="A917623" s="347" t="s">
        <v>308</v>
      </c>
      <c r="B917623" s="348" t="s">
        <v>571</v>
      </c>
      <c r="C917623" s="349">
        <v>2.0743237044383835E-2</v>
      </c>
      <c r="D917623" s="349">
        <f t="shared" si="57"/>
        <v>7.2846542568870451E-2</v>
      </c>
      <c r="E917623" s="349">
        <v>2.7846542568870453E-2</v>
      </c>
      <c r="F917623" s="349">
        <v>0.3</v>
      </c>
    </row>
    <row r="917624" spans="1:6" ht="16">
      <c r="A917624" s="347" t="s">
        <v>860</v>
      </c>
      <c r="B917624" s="154" t="s">
        <v>687</v>
      </c>
      <c r="C917624" s="277">
        <v>9.5882201472833571E-3</v>
      </c>
      <c r="D917624" s="349">
        <f t="shared" si="57"/>
        <v>0.10387160629364336</v>
      </c>
      <c r="E917624" s="277">
        <v>5.8871606293643367E-2</v>
      </c>
      <c r="F917624" s="277">
        <v>0.24707349543413576</v>
      </c>
    </row>
    <row r="917625" spans="1:6" ht="16">
      <c r="A917625" s="347" t="s">
        <v>367</v>
      </c>
      <c r="B917625" s="348" t="s">
        <v>581</v>
      </c>
      <c r="C917625" s="349">
        <v>7.0808704231754685E-2</v>
      </c>
      <c r="D917625" s="349">
        <f t="shared" si="57"/>
        <v>0.14005640765793431</v>
      </c>
      <c r="E917625" s="349">
        <v>9.5056407657934314E-2</v>
      </c>
      <c r="F917625" s="349">
        <v>0.12</v>
      </c>
    </row>
    <row r="917626" spans="1:6" ht="16">
      <c r="A917626" s="347" t="s">
        <v>368</v>
      </c>
      <c r="B917626" s="348" t="s">
        <v>581</v>
      </c>
      <c r="C917626" s="349">
        <v>7.0808704231754685E-2</v>
      </c>
      <c r="D917626" s="349">
        <f t="shared" si="57"/>
        <v>0.14005640765793431</v>
      </c>
      <c r="E917626" s="349">
        <v>9.5056407657934314E-2</v>
      </c>
      <c r="F917626" s="349">
        <v>0.25</v>
      </c>
    </row>
    <row r="917627" spans="1:6" ht="16">
      <c r="A917627" s="347" t="s">
        <v>309</v>
      </c>
      <c r="B917627" s="348" t="s">
        <v>569</v>
      </c>
      <c r="C917627" s="349">
        <v>4.9041109802463012E-2</v>
      </c>
      <c r="D917627" s="349">
        <f t="shared" si="57"/>
        <v>0.11083472718442829</v>
      </c>
      <c r="E917627" s="349">
        <v>6.5834727184428288E-2</v>
      </c>
      <c r="F917627" s="349">
        <v>0.15</v>
      </c>
    </row>
    <row r="917628" spans="1:6" ht="16">
      <c r="A917628" s="347" t="s">
        <v>489</v>
      </c>
      <c r="B917628" s="348" t="s">
        <v>577</v>
      </c>
      <c r="C917628" s="349">
        <v>2.3944353872220846E-2</v>
      </c>
      <c r="D917628" s="349">
        <f t="shared" si="57"/>
        <v>7.7143848520856623E-2</v>
      </c>
      <c r="E917628" s="349">
        <v>3.2143848520856624E-2</v>
      </c>
      <c r="F917628" s="349">
        <v>0.2853</v>
      </c>
    </row>
    <row r="917629" spans="1:6" ht="16">
      <c r="A917629" s="347" t="s">
        <v>369</v>
      </c>
      <c r="B917629" s="348" t="s">
        <v>589</v>
      </c>
      <c r="C917629" s="349">
        <v>2.7273515373171343E-2</v>
      </c>
      <c r="D917629" s="349">
        <f t="shared" si="57"/>
        <v>8.161304671092226E-2</v>
      </c>
      <c r="E917629" s="349">
        <v>3.6613046710922262E-2</v>
      </c>
      <c r="F917629" s="349">
        <v>0.32</v>
      </c>
    </row>
    <row r="917630" spans="1:6" ht="16">
      <c r="A917630" s="347" t="s">
        <v>310</v>
      </c>
      <c r="B917630" s="348" t="s">
        <v>586</v>
      </c>
      <c r="C917630" s="349">
        <v>9.8082219604926024E-2</v>
      </c>
      <c r="D917630" s="349">
        <f t="shared" si="57"/>
        <v>0.17666945436885656</v>
      </c>
      <c r="E917630" s="349">
        <v>0.13166945436885658</v>
      </c>
      <c r="F917630" s="349">
        <v>0.32</v>
      </c>
    </row>
    <row r="917631" spans="1:6" ht="16">
      <c r="A917631" s="351" t="s">
        <v>601</v>
      </c>
      <c r="B917631" s="348" t="s">
        <v>687</v>
      </c>
      <c r="C917631" s="349">
        <v>0.10896601681957191</v>
      </c>
      <c r="D917631" s="349">
        <f t="shared" si="57"/>
        <v>0.19128029460560964</v>
      </c>
      <c r="E917631" s="349">
        <v>0.14628029460560965</v>
      </c>
      <c r="F917631" s="349">
        <v>0.25</v>
      </c>
    </row>
    <row r="917632" spans="1:6" ht="16">
      <c r="A917632" s="347" t="s">
        <v>311</v>
      </c>
      <c r="B917632" s="348" t="s">
        <v>569</v>
      </c>
      <c r="C917632" s="349">
        <v>4.9041109802463012E-2</v>
      </c>
      <c r="D917632" s="349">
        <f t="shared" si="57"/>
        <v>0.11083472718442829</v>
      </c>
      <c r="E917632" s="349">
        <v>6.5834727184428288E-2</v>
      </c>
      <c r="F917632" s="349">
        <v>0.32</v>
      </c>
    </row>
    <row r="917633" spans="1:6" ht="16">
      <c r="A917633" s="347" t="s">
        <v>312</v>
      </c>
      <c r="B917633" s="348" t="s">
        <v>574</v>
      </c>
      <c r="C917633" s="349">
        <v>0</v>
      </c>
      <c r="D917633" s="349">
        <f t="shared" si="57"/>
        <v>4.4999999999999998E-2</v>
      </c>
      <c r="E917633" s="349">
        <v>0</v>
      </c>
      <c r="F917633" s="349">
        <v>0.25800000000000001</v>
      </c>
    </row>
    <row r="917634" spans="1:6" ht="16">
      <c r="A917634" s="347" t="s">
        <v>861</v>
      </c>
      <c r="B917634" s="154" t="s">
        <v>687</v>
      </c>
      <c r="C917634" s="277">
        <v>0.1054310997313879</v>
      </c>
      <c r="D917634" s="349">
        <f t="shared" si="57"/>
        <v>0.23253488197001548</v>
      </c>
      <c r="E917634" s="277">
        <v>0.1875348819700155</v>
      </c>
      <c r="F917634" s="277">
        <v>0.2724561140242252</v>
      </c>
    </row>
    <row r="917635" spans="1:6" ht="16">
      <c r="A917635" s="347" t="s">
        <v>313</v>
      </c>
      <c r="B917635" s="348" t="s">
        <v>574</v>
      </c>
      <c r="C917635" s="349">
        <v>0</v>
      </c>
      <c r="D917635" s="349">
        <f t="shared" si="57"/>
        <v>4.4999999999999998E-2</v>
      </c>
      <c r="E917635" s="349">
        <v>0</v>
      </c>
      <c r="F917635" s="349">
        <v>0.28000000000000003</v>
      </c>
    </row>
    <row r="917636" spans="1:6" ht="16">
      <c r="A917636" s="347" t="s">
        <v>370</v>
      </c>
      <c r="B917636" s="348" t="s">
        <v>581</v>
      </c>
      <c r="C917636" s="349">
        <v>7.0808704231754685E-2</v>
      </c>
      <c r="D917636" s="349">
        <f t="shared" si="57"/>
        <v>0.14005640765793431</v>
      </c>
      <c r="E917636" s="349">
        <v>9.5056407657934314E-2</v>
      </c>
      <c r="F917636" s="349">
        <v>0.3</v>
      </c>
    </row>
    <row r="917637" spans="1:6" ht="16">
      <c r="A917637" s="347" t="s">
        <v>602</v>
      </c>
      <c r="B917637" s="348" t="s">
        <v>586</v>
      </c>
      <c r="C917637" s="349">
        <v>9.8082219604926024E-2</v>
      </c>
      <c r="D917637" s="349">
        <f t="shared" si="57"/>
        <v>0.17666945436885656</v>
      </c>
      <c r="E917637" s="349">
        <v>0.13166945436885658</v>
      </c>
      <c r="F917637" s="349">
        <v>0.26860000000000001</v>
      </c>
    </row>
    <row r="917638" spans="1:6" ht="16">
      <c r="A917638" s="347" t="s">
        <v>314</v>
      </c>
      <c r="B917638" s="348" t="s">
        <v>579</v>
      </c>
      <c r="C917638" s="349">
        <v>8.1692501446400528E-2</v>
      </c>
      <c r="D917638" s="349">
        <f t="shared" ref="D917638:D917699" si="58">$B$1+E917638</f>
        <v>0.15466724789468733</v>
      </c>
      <c r="E917638" s="349">
        <v>0.10966724789468733</v>
      </c>
      <c r="F917638" s="349">
        <v>0.3</v>
      </c>
    </row>
    <row r="917639" spans="1:6" ht="16">
      <c r="A917639" s="347" t="s">
        <v>315</v>
      </c>
      <c r="B917639" s="348" t="s">
        <v>574</v>
      </c>
      <c r="C917639" s="349">
        <v>0</v>
      </c>
      <c r="D917639" s="349">
        <f t="shared" si="58"/>
        <v>4.4999999999999998E-2</v>
      </c>
      <c r="E917639" s="349">
        <v>0</v>
      </c>
      <c r="F917639" s="349">
        <v>0.22</v>
      </c>
    </row>
    <row r="917640" spans="1:6" ht="16">
      <c r="A917640" s="347" t="s">
        <v>316</v>
      </c>
      <c r="B917640" s="348" t="s">
        <v>589</v>
      </c>
      <c r="C917640" s="349">
        <v>2.7273515373171343E-2</v>
      </c>
      <c r="D917640" s="349">
        <f t="shared" si="58"/>
        <v>8.161304671092226E-2</v>
      </c>
      <c r="E917640" s="349">
        <v>3.6613046710922262E-2</v>
      </c>
      <c r="F917640" s="349">
        <v>0.15</v>
      </c>
    </row>
    <row r="917641" spans="1:6" ht="16">
      <c r="A917641" s="347" t="s">
        <v>317</v>
      </c>
      <c r="B917641" s="348" t="s">
        <v>689</v>
      </c>
      <c r="C917641" s="349">
        <v>0.10896601681957188</v>
      </c>
      <c r="D917641" s="349">
        <f t="shared" si="58"/>
        <v>0.19128029460560964</v>
      </c>
      <c r="E917641" s="349">
        <v>0.14628029460560965</v>
      </c>
      <c r="F917641" s="349">
        <v>0.28999999999999998</v>
      </c>
    </row>
    <row r="917642" spans="1:6" ht="16">
      <c r="A917642" s="347" t="s">
        <v>862</v>
      </c>
      <c r="B917642" s="154" t="s">
        <v>687</v>
      </c>
      <c r="C917642" s="277">
        <v>1.6082653627874467E-2</v>
      </c>
      <c r="D917642" s="349">
        <f t="shared" si="58"/>
        <v>0.11258999089248985</v>
      </c>
      <c r="E917642" s="277">
        <v>6.7589990892489848E-2</v>
      </c>
      <c r="F917642" s="277">
        <v>0.18760152153615242</v>
      </c>
    </row>
    <row r="917643" spans="1:6" ht="16">
      <c r="A917643" s="347" t="s">
        <v>318</v>
      </c>
      <c r="B917643" s="348" t="s">
        <v>571</v>
      </c>
      <c r="C917643" s="349">
        <v>2.0743237044383835E-2</v>
      </c>
      <c r="D917643" s="349">
        <f t="shared" si="58"/>
        <v>7.2846542568870451E-2</v>
      </c>
      <c r="E917643" s="349">
        <v>2.7846542568870453E-2</v>
      </c>
      <c r="F917643" s="349">
        <v>0.25</v>
      </c>
    </row>
    <row r="917644" spans="1:6" ht="16">
      <c r="A917644" s="347" t="s">
        <v>319</v>
      </c>
      <c r="B917644" s="348" t="s">
        <v>572</v>
      </c>
      <c r="C917644" s="349">
        <v>5.9924907017108855E-2</v>
      </c>
      <c r="D917644" s="349">
        <f t="shared" si="58"/>
        <v>0.12544556742118129</v>
      </c>
      <c r="E917644" s="349">
        <v>8.0445567421181294E-2</v>
      </c>
      <c r="F917644" s="349">
        <v>0.3</v>
      </c>
    </row>
    <row r="917645" spans="1:6" ht="16">
      <c r="A917645" s="347" t="s">
        <v>320</v>
      </c>
      <c r="B917645" s="348" t="s">
        <v>589</v>
      </c>
      <c r="C917645" s="349">
        <v>2.7273515373171343E-2</v>
      </c>
      <c r="D917645" s="349">
        <f t="shared" si="58"/>
        <v>8.161304671092226E-2</v>
      </c>
      <c r="E917645" s="349">
        <v>3.6613046710922262E-2</v>
      </c>
      <c r="F917645" s="349">
        <v>0.1</v>
      </c>
    </row>
    <row r="917646" spans="1:6" ht="16">
      <c r="A917646" s="347" t="s">
        <v>321</v>
      </c>
      <c r="B917646" s="348" t="s">
        <v>573</v>
      </c>
      <c r="C917646" s="349">
        <v>1.7414075543433341E-2</v>
      </c>
      <c r="D917646" s="349">
        <f t="shared" si="58"/>
        <v>6.8377344378804827E-2</v>
      </c>
      <c r="E917646" s="349">
        <v>2.3377344378804829E-2</v>
      </c>
      <c r="F917646" s="349">
        <v>0.29499999999999998</v>
      </c>
    </row>
    <row r="917647" spans="1:6" ht="16">
      <c r="A917647" s="347" t="s">
        <v>322</v>
      </c>
      <c r="B917647" s="348" t="s">
        <v>571</v>
      </c>
      <c r="C917647" s="349">
        <v>2.0743237044383835E-2</v>
      </c>
      <c r="D917647" s="349">
        <f t="shared" si="58"/>
        <v>7.2846542568870451E-2</v>
      </c>
      <c r="E917647" s="349">
        <v>2.7846542568870453E-2</v>
      </c>
      <c r="F917647" s="349">
        <v>0.25</v>
      </c>
    </row>
    <row r="917648" spans="1:6" ht="16">
      <c r="A917648" s="347" t="s">
        <v>323</v>
      </c>
      <c r="B917648" s="348" t="s">
        <v>583</v>
      </c>
      <c r="C917648" s="349">
        <v>9.2192164641705932E-3</v>
      </c>
      <c r="D917648" s="349">
        <f t="shared" si="58"/>
        <v>5.73762411417202E-2</v>
      </c>
      <c r="E917648" s="349">
        <v>1.2376241141720201E-2</v>
      </c>
      <c r="F917648" s="349">
        <v>0.19</v>
      </c>
    </row>
    <row r="917649" spans="1:6" ht="16">
      <c r="A917649" s="347" t="s">
        <v>324</v>
      </c>
      <c r="B917649" s="348" t="s">
        <v>587</v>
      </c>
      <c r="C917649" s="349">
        <v>1.3060556657575006E-2</v>
      </c>
      <c r="D917649" s="349">
        <f t="shared" si="58"/>
        <v>6.2533008284103617E-2</v>
      </c>
      <c r="E917649" s="349">
        <v>1.7533008284103618E-2</v>
      </c>
      <c r="F917649" s="349">
        <v>0.21</v>
      </c>
    </row>
    <row r="917650" spans="1:6" ht="16">
      <c r="A917650" s="347" t="s">
        <v>325</v>
      </c>
      <c r="B917650" s="348" t="s">
        <v>580</v>
      </c>
      <c r="C917650" s="349">
        <v>6.5302783287875029E-3</v>
      </c>
      <c r="D917650" s="349">
        <f t="shared" si="58"/>
        <v>5.3766504142051808E-2</v>
      </c>
      <c r="E917650" s="349">
        <v>8.7665041420518092E-3</v>
      </c>
      <c r="F917650" s="349">
        <v>0.1</v>
      </c>
    </row>
    <row r="917651" spans="1:6" ht="16">
      <c r="A917651" s="347" t="s">
        <v>503</v>
      </c>
      <c r="B917651" s="348" t="s">
        <v>587</v>
      </c>
      <c r="C917651" s="349">
        <v>1.3060556657575006E-2</v>
      </c>
      <c r="D917651" s="349">
        <f t="shared" si="58"/>
        <v>6.2533008284103617E-2</v>
      </c>
      <c r="E917651" s="349">
        <v>1.7533008284103618E-2</v>
      </c>
      <c r="F917651" s="349">
        <v>0</v>
      </c>
    </row>
    <row r="917652" spans="1:6" ht="16">
      <c r="A917652" s="347" t="s">
        <v>863</v>
      </c>
      <c r="B917652" s="154" t="s">
        <v>687</v>
      </c>
      <c r="C917652" s="277">
        <v>1.2518555898193178E-2</v>
      </c>
      <c r="D917652" s="349">
        <f t="shared" si="58"/>
        <v>0.10780540500857855</v>
      </c>
      <c r="E917652" s="277">
        <v>6.2805405008578549E-2</v>
      </c>
      <c r="F917652" s="277">
        <v>0.2576437502455447</v>
      </c>
    </row>
    <row r="917653" spans="1:6" ht="16">
      <c r="A917653" s="347" t="s">
        <v>326</v>
      </c>
      <c r="B917653" s="348" t="s">
        <v>577</v>
      </c>
      <c r="C917653" s="349">
        <v>2.3944353872220846E-2</v>
      </c>
      <c r="D917653" s="349">
        <f t="shared" si="58"/>
        <v>7.7143848520856623E-2</v>
      </c>
      <c r="E917653" s="349">
        <v>3.2143848520856624E-2</v>
      </c>
      <c r="F917653" s="349">
        <v>0.16</v>
      </c>
    </row>
    <row r="917654" spans="1:6" ht="16">
      <c r="A917654" s="347" t="s">
        <v>327</v>
      </c>
      <c r="B917654" s="348" t="s">
        <v>687</v>
      </c>
      <c r="C917654" s="349">
        <v>4.9041109802463012E-2</v>
      </c>
      <c r="D917654" s="349">
        <f t="shared" si="58"/>
        <v>0.11083472718442829</v>
      </c>
      <c r="E917654" s="349">
        <v>6.5834727184428288E-2</v>
      </c>
      <c r="F917654" s="349">
        <v>0.25</v>
      </c>
    </row>
    <row r="917655" spans="1:6" ht="16">
      <c r="A917655" s="347" t="s">
        <v>490</v>
      </c>
      <c r="B917655" s="348" t="s">
        <v>572</v>
      </c>
      <c r="C917655" s="349">
        <v>5.9924907017108855E-2</v>
      </c>
      <c r="D917655" s="349">
        <f t="shared" si="58"/>
        <v>0.12544556742118129</v>
      </c>
      <c r="E917655" s="349">
        <v>8.0445567421181294E-2</v>
      </c>
      <c r="F917655" s="349">
        <v>0.3</v>
      </c>
    </row>
    <row r="917656" spans="1:6" ht="16">
      <c r="A917656" s="347" t="s">
        <v>864</v>
      </c>
      <c r="B917656" s="154" t="s">
        <v>687</v>
      </c>
      <c r="C917656" s="277">
        <v>0.1054310997313879</v>
      </c>
      <c r="D917656" s="349">
        <f t="shared" si="58"/>
        <v>0.23253488197001548</v>
      </c>
      <c r="E917656" s="277">
        <v>0.1875348819700155</v>
      </c>
      <c r="F917656" s="277">
        <v>0.2724561140242252</v>
      </c>
    </row>
    <row r="917657" spans="1:6" ht="16">
      <c r="A917657" s="347" t="s">
        <v>328</v>
      </c>
      <c r="B917657" s="348" t="s">
        <v>585</v>
      </c>
      <c r="C917657" s="349">
        <v>7.6826803868088279E-3</v>
      </c>
      <c r="D917657" s="349">
        <f t="shared" si="58"/>
        <v>5.5313534284766833E-2</v>
      </c>
      <c r="E917657" s="349">
        <v>1.0313534284766834E-2</v>
      </c>
      <c r="F917657" s="349">
        <v>0.2</v>
      </c>
    </row>
    <row r="917658" spans="1:6" ht="16">
      <c r="A917658" s="347" t="s">
        <v>371</v>
      </c>
      <c r="B917658" s="348" t="s">
        <v>578</v>
      </c>
      <c r="C917658" s="349">
        <v>3.9181669972725021E-2</v>
      </c>
      <c r="D917658" s="349">
        <f t="shared" si="58"/>
        <v>9.7599024852310853E-2</v>
      </c>
      <c r="E917658" s="349">
        <v>5.2599024852310855E-2</v>
      </c>
      <c r="F917658" s="349">
        <v>0.3</v>
      </c>
    </row>
    <row r="917659" spans="1:6" ht="16">
      <c r="A917659" s="347" t="s">
        <v>329</v>
      </c>
      <c r="B917659" s="348" t="s">
        <v>576</v>
      </c>
      <c r="C917659" s="349">
        <v>3.2779436317050999E-2</v>
      </c>
      <c r="D917659" s="349">
        <f t="shared" si="58"/>
        <v>8.9004412948338496E-2</v>
      </c>
      <c r="E917659" s="349">
        <v>4.4004412948338498E-2</v>
      </c>
      <c r="F917659" s="349">
        <v>0.15</v>
      </c>
    </row>
    <row r="917660" spans="1:6" ht="16">
      <c r="A917660" s="347" t="s">
        <v>504</v>
      </c>
      <c r="B917660" s="348" t="s">
        <v>589</v>
      </c>
      <c r="C917660" s="349">
        <v>2.7273515373171343E-2</v>
      </c>
      <c r="D917660" s="349">
        <f t="shared" si="58"/>
        <v>8.161304671092226E-2</v>
      </c>
      <c r="E917660" s="349">
        <v>3.6613046710922262E-2</v>
      </c>
      <c r="F917660" s="349">
        <v>0</v>
      </c>
    </row>
    <row r="917661" spans="1:6" ht="16">
      <c r="A917661" s="350" t="s">
        <v>603</v>
      </c>
      <c r="B917661" s="348" t="s">
        <v>687</v>
      </c>
      <c r="C917661" s="349">
        <v>0.10896601681957191</v>
      </c>
      <c r="D917661" s="349">
        <f t="shared" si="58"/>
        <v>0.19128029460560964</v>
      </c>
      <c r="E917661" s="349">
        <v>0.14628029460560965</v>
      </c>
      <c r="F917661" s="349">
        <v>0.3</v>
      </c>
    </row>
    <row r="917662" spans="1:6" ht="16">
      <c r="A917662" s="347" t="s">
        <v>330</v>
      </c>
      <c r="B917662" s="348" t="s">
        <v>574</v>
      </c>
      <c r="C917662" s="349">
        <v>0</v>
      </c>
      <c r="D917662" s="349">
        <f t="shared" si="58"/>
        <v>4.4999999999999998E-2</v>
      </c>
      <c r="E917662" s="349">
        <v>0</v>
      </c>
      <c r="F917662" s="349">
        <v>0.17</v>
      </c>
    </row>
    <row r="917663" spans="1:6" ht="16">
      <c r="A917663" s="347" t="s">
        <v>372</v>
      </c>
      <c r="B917663" s="348" t="s">
        <v>583</v>
      </c>
      <c r="C917663" s="349">
        <v>9.2192164641705932E-3</v>
      </c>
      <c r="D917663" s="349">
        <f t="shared" si="58"/>
        <v>5.73762411417202E-2</v>
      </c>
      <c r="E917663" s="349">
        <v>1.2376241141720201E-2</v>
      </c>
      <c r="F917663" s="349">
        <v>0.21</v>
      </c>
    </row>
    <row r="917664" spans="1:6" ht="16">
      <c r="A917664" s="347" t="s">
        <v>331</v>
      </c>
      <c r="B917664" s="348" t="s">
        <v>587</v>
      </c>
      <c r="C917664" s="349">
        <v>1.3060556657575006E-2</v>
      </c>
      <c r="D917664" s="349">
        <f t="shared" si="58"/>
        <v>6.2533008284103617E-2</v>
      </c>
      <c r="E917664" s="349">
        <v>1.7533008284103618E-2</v>
      </c>
      <c r="F917664" s="349">
        <v>0.19</v>
      </c>
    </row>
    <row r="917665" spans="1:6" ht="16">
      <c r="A917665" s="347" t="s">
        <v>604</v>
      </c>
      <c r="B917665" s="348" t="s">
        <v>579</v>
      </c>
      <c r="C917665" s="349">
        <v>8.1692501446400528E-2</v>
      </c>
      <c r="D917665" s="349">
        <f t="shared" si="58"/>
        <v>0.15466724789468733</v>
      </c>
      <c r="E917665" s="349">
        <v>0.10966724789468733</v>
      </c>
      <c r="F917665" s="349">
        <v>0.3</v>
      </c>
    </row>
    <row r="917666" spans="1:6" ht="16">
      <c r="A917666" s="351" t="s">
        <v>605</v>
      </c>
      <c r="B917666" s="348" t="s">
        <v>687</v>
      </c>
      <c r="C917666" s="349">
        <v>0.13073361124886354</v>
      </c>
      <c r="D917666" s="349">
        <f t="shared" si="58"/>
        <v>0.22050197507911562</v>
      </c>
      <c r="E917666" s="349">
        <v>0.17550197507911564</v>
      </c>
      <c r="F917666" s="349">
        <v>0.29149999999999998</v>
      </c>
    </row>
    <row r="917667" spans="1:6" ht="16">
      <c r="A917667" s="347" t="s">
        <v>332</v>
      </c>
      <c r="B917667" s="348" t="s">
        <v>576</v>
      </c>
      <c r="C917667" s="349">
        <v>3.2779436317050999E-2</v>
      </c>
      <c r="D917667" s="349">
        <f t="shared" si="58"/>
        <v>8.9004412948338496E-2</v>
      </c>
      <c r="E917667" s="349">
        <v>4.4004412948338498E-2</v>
      </c>
      <c r="F917667" s="349">
        <v>0.27</v>
      </c>
    </row>
    <row r="917668" spans="1:6" ht="16">
      <c r="A917668" s="347" t="s">
        <v>865</v>
      </c>
      <c r="B917668" s="348" t="s">
        <v>568</v>
      </c>
      <c r="C917668" s="349">
        <v>5.3778762707661788E-3</v>
      </c>
      <c r="D917668" s="349">
        <f t="shared" si="58"/>
        <v>5.2219473999336782E-2</v>
      </c>
      <c r="E917668" s="349">
        <v>7.219473999336784E-3</v>
      </c>
      <c r="F917668" s="349">
        <v>0.25</v>
      </c>
    </row>
    <row r="917669" spans="1:6" ht="16">
      <c r="A917669" s="347" t="s">
        <v>333</v>
      </c>
      <c r="B917669" s="348" t="s">
        <v>573</v>
      </c>
      <c r="C917669" s="349">
        <v>1.7414075543433341E-2</v>
      </c>
      <c r="D917669" s="349">
        <f t="shared" si="58"/>
        <v>6.8377344378804827E-2</v>
      </c>
      <c r="E917669" s="349">
        <v>2.3377344378804829E-2</v>
      </c>
      <c r="F917669" s="349">
        <v>0.25</v>
      </c>
    </row>
    <row r="917670" spans="1:6" ht="16">
      <c r="A917670" s="347" t="s">
        <v>334</v>
      </c>
      <c r="B917670" s="348" t="s">
        <v>688</v>
      </c>
      <c r="C917670" s="349">
        <v>0.13073361124886354</v>
      </c>
      <c r="D917670" s="349">
        <f t="shared" si="58"/>
        <v>0.22050197507911562</v>
      </c>
      <c r="E917670" s="349">
        <v>0.17550197507911564</v>
      </c>
      <c r="F917670" s="349">
        <v>0.24</v>
      </c>
    </row>
    <row r="917671" spans="1:6" ht="16">
      <c r="A917671" s="347" t="s">
        <v>430</v>
      </c>
      <c r="B917671" s="348" t="s">
        <v>576</v>
      </c>
      <c r="C917671" s="349">
        <v>3.2779436317050999E-2</v>
      </c>
      <c r="D917671" s="349">
        <f t="shared" si="58"/>
        <v>8.9004412948338496E-2</v>
      </c>
      <c r="E917671" s="349">
        <v>4.4004412948338498E-2</v>
      </c>
      <c r="F917671" s="349">
        <v>0.2853</v>
      </c>
    </row>
    <row r="917672" spans="1:6" ht="16">
      <c r="A917672" s="347" t="s">
        <v>373</v>
      </c>
      <c r="B917672" s="348" t="s">
        <v>581</v>
      </c>
      <c r="C917672" s="349">
        <v>7.0808704231754685E-2</v>
      </c>
      <c r="D917672" s="349">
        <f t="shared" si="58"/>
        <v>0.14005640765793431</v>
      </c>
      <c r="E917672" s="349">
        <v>9.5056407657934314E-2</v>
      </c>
      <c r="F917672" s="349">
        <v>0.2853</v>
      </c>
    </row>
    <row r="917673" spans="1:6" ht="16">
      <c r="A917673" s="350" t="s">
        <v>606</v>
      </c>
      <c r="B917673" s="348" t="s">
        <v>687</v>
      </c>
      <c r="C917673" s="349">
        <v>0.17499999999999999</v>
      </c>
      <c r="D917673" s="349">
        <f t="shared" si="58"/>
        <v>0.27992692770782934</v>
      </c>
      <c r="E917673" s="349">
        <v>0.23492692770782936</v>
      </c>
      <c r="F917673" s="349">
        <v>0.35</v>
      </c>
    </row>
    <row r="917674" spans="1:6" ht="16">
      <c r="A917674" s="347" t="s">
        <v>374</v>
      </c>
      <c r="B917674" s="348" t="s">
        <v>689</v>
      </c>
      <c r="C917674" s="349">
        <v>0.10896601681957188</v>
      </c>
      <c r="D917674" s="349">
        <f t="shared" si="58"/>
        <v>0.19128029460560964</v>
      </c>
      <c r="E917674" s="349">
        <v>0.14628029460560965</v>
      </c>
      <c r="F917674" s="349">
        <v>0.36</v>
      </c>
    </row>
    <row r="917675" spans="1:6" ht="16">
      <c r="A917675" s="347" t="s">
        <v>607</v>
      </c>
      <c r="B917675" s="348" t="s">
        <v>581</v>
      </c>
      <c r="C917675" s="349">
        <v>7.0808704231754685E-2</v>
      </c>
      <c r="D917675" s="349">
        <f t="shared" si="58"/>
        <v>0.14005640765793431</v>
      </c>
      <c r="E917675" s="349">
        <v>9.5056407657934314E-2</v>
      </c>
      <c r="F917675" s="349">
        <v>0.27500000000000002</v>
      </c>
    </row>
    <row r="917676" spans="1:6" ht="16">
      <c r="A917676" s="347" t="s">
        <v>335</v>
      </c>
      <c r="B917676" s="348" t="s">
        <v>574</v>
      </c>
      <c r="C917676" s="349">
        <v>0</v>
      </c>
      <c r="D917676" s="349">
        <f t="shared" si="58"/>
        <v>4.4999999999999998E-2</v>
      </c>
      <c r="E917676" s="349">
        <v>0</v>
      </c>
      <c r="F917676" s="349">
        <v>0.20600000000000002</v>
      </c>
    </row>
    <row r="917677" spans="1:6" ht="16">
      <c r="A917677" s="347" t="s">
        <v>336</v>
      </c>
      <c r="B917677" s="348" t="s">
        <v>574</v>
      </c>
      <c r="C917677" s="349">
        <v>0</v>
      </c>
      <c r="D917677" s="349">
        <f t="shared" si="58"/>
        <v>4.4999999999999998E-2</v>
      </c>
      <c r="E917677" s="349">
        <v>0</v>
      </c>
      <c r="F917677" s="349">
        <v>0.14599999999999999</v>
      </c>
    </row>
    <row r="917678" spans="1:6" ht="16">
      <c r="A917678" s="351" t="s">
        <v>608</v>
      </c>
      <c r="B917678" s="348" t="s">
        <v>687</v>
      </c>
      <c r="C917678" s="349">
        <v>0.17499999999999999</v>
      </c>
      <c r="D917678" s="349">
        <f t="shared" si="58"/>
        <v>0.27992692770782934</v>
      </c>
      <c r="E917678" s="349">
        <v>0.23492692770782936</v>
      </c>
      <c r="F917678" s="349">
        <v>0.28000000000000003</v>
      </c>
    </row>
    <row r="917679" spans="1:6" ht="16">
      <c r="A917679" s="347" t="s">
        <v>337</v>
      </c>
      <c r="B917679" s="348" t="s">
        <v>580</v>
      </c>
      <c r="C917679" s="349">
        <v>6.5302783287875029E-3</v>
      </c>
      <c r="D917679" s="349">
        <f t="shared" si="58"/>
        <v>5.3766504142051808E-2</v>
      </c>
      <c r="E917679" s="349">
        <v>8.7665041420518092E-3</v>
      </c>
      <c r="F917679" s="349">
        <v>0.2</v>
      </c>
    </row>
    <row r="917680" spans="1:6" ht="16">
      <c r="A917680" s="347" t="s">
        <v>609</v>
      </c>
      <c r="B917680" s="348" t="s">
        <v>581</v>
      </c>
      <c r="C917680" s="349">
        <v>7.0808704231754685E-2</v>
      </c>
      <c r="D917680" s="349">
        <f t="shared" si="58"/>
        <v>0.14005640765793431</v>
      </c>
      <c r="E917680" s="349">
        <v>9.5056407657934314E-2</v>
      </c>
      <c r="F917680" s="349">
        <v>0.18</v>
      </c>
    </row>
    <row r="917681" spans="1:6" ht="16">
      <c r="A917681" s="347" t="s">
        <v>610</v>
      </c>
      <c r="B917681" s="348" t="s">
        <v>572</v>
      </c>
      <c r="C917681" s="349">
        <v>5.9924907017108855E-2</v>
      </c>
      <c r="D917681" s="349">
        <f t="shared" si="58"/>
        <v>0.12544556742118129</v>
      </c>
      <c r="E917681" s="349">
        <v>8.0445567421181294E-2</v>
      </c>
      <c r="F917681" s="349">
        <v>0.3</v>
      </c>
    </row>
    <row r="917682" spans="1:6" ht="16">
      <c r="A917682" s="347" t="s">
        <v>338</v>
      </c>
      <c r="B917682" s="348" t="s">
        <v>573</v>
      </c>
      <c r="C917682" s="349">
        <v>1.7414075543433341E-2</v>
      </c>
      <c r="D917682" s="349">
        <f t="shared" si="58"/>
        <v>6.8377344378804827E-2</v>
      </c>
      <c r="E917682" s="349">
        <v>2.3377344378804829E-2</v>
      </c>
      <c r="F917682" s="349">
        <v>0.2</v>
      </c>
    </row>
    <row r="917683" spans="1:6" ht="16">
      <c r="A917683" s="347" t="s">
        <v>611</v>
      </c>
      <c r="B917683" s="348" t="s">
        <v>581</v>
      </c>
      <c r="C917683" s="349">
        <v>7.0808704231754685E-2</v>
      </c>
      <c r="D917683" s="349">
        <f t="shared" si="58"/>
        <v>0.14005640765793431</v>
      </c>
      <c r="E917683" s="349">
        <v>9.5056407657934314E-2</v>
      </c>
      <c r="F917683" s="349">
        <v>0.26860000000000001</v>
      </c>
    </row>
    <row r="917684" spans="1:6" ht="16">
      <c r="A917684" s="347" t="s">
        <v>866</v>
      </c>
      <c r="B917684" s="348" t="s">
        <v>576</v>
      </c>
      <c r="C917684" s="349">
        <v>3.2779436317050999E-2</v>
      </c>
      <c r="D917684" s="349">
        <f t="shared" si="58"/>
        <v>8.9004412948338496E-2</v>
      </c>
      <c r="E917684" s="349">
        <v>4.4004412948338498E-2</v>
      </c>
      <c r="F917684" s="349">
        <v>0.3</v>
      </c>
    </row>
    <row r="917685" spans="1:6" ht="16">
      <c r="A917685" s="347" t="s">
        <v>339</v>
      </c>
      <c r="B917685" s="348" t="s">
        <v>586</v>
      </c>
      <c r="C917685" s="349">
        <v>9.8082219604926024E-2</v>
      </c>
      <c r="D917685" s="349">
        <f t="shared" si="58"/>
        <v>0.17666945436885656</v>
      </c>
      <c r="E917685" s="349">
        <v>0.13166945436885658</v>
      </c>
      <c r="F917685" s="349">
        <v>0.15</v>
      </c>
    </row>
    <row r="917686" spans="1:6" ht="16">
      <c r="A917686" s="347" t="s">
        <v>340</v>
      </c>
      <c r="B917686" s="348" t="s">
        <v>581</v>
      </c>
      <c r="C917686" s="349">
        <v>7.0808704231754685E-2</v>
      </c>
      <c r="D917686" s="349">
        <f t="shared" si="58"/>
        <v>0.14005640765793431</v>
      </c>
      <c r="E917686" s="349">
        <v>9.5056407657934314E-2</v>
      </c>
      <c r="F917686" s="349">
        <v>0.25</v>
      </c>
    </row>
    <row r="917687" spans="1:6" ht="16">
      <c r="A917687" s="353" t="s">
        <v>867</v>
      </c>
      <c r="B917687" s="348" t="s">
        <v>573</v>
      </c>
      <c r="C917687" s="349">
        <v>1.7414075543433341E-2</v>
      </c>
      <c r="D917687" s="349">
        <f t="shared" si="58"/>
        <v>6.8377344378804827E-2</v>
      </c>
      <c r="E917687" s="349">
        <v>2.3377344378804829E-2</v>
      </c>
      <c r="F917687" s="349">
        <v>0</v>
      </c>
    </row>
    <row r="917688" spans="1:6" ht="16">
      <c r="A917688" s="347" t="s">
        <v>431</v>
      </c>
      <c r="B917688" s="348" t="s">
        <v>572</v>
      </c>
      <c r="C917688" s="349">
        <v>5.9924907017108855E-2</v>
      </c>
      <c r="D917688" s="349">
        <f t="shared" si="58"/>
        <v>0.12544556742118129</v>
      </c>
      <c r="E917688" s="349">
        <v>8.0445567421181294E-2</v>
      </c>
      <c r="F917688" s="349">
        <v>0.3</v>
      </c>
    </row>
    <row r="917689" spans="1:6" ht="16">
      <c r="A917689" s="347" t="s">
        <v>341</v>
      </c>
      <c r="B917689" s="348" t="s">
        <v>688</v>
      </c>
      <c r="C917689" s="349">
        <v>0.13073361124886354</v>
      </c>
      <c r="D917689" s="349">
        <f t="shared" si="58"/>
        <v>0.22050197507911562</v>
      </c>
      <c r="E917689" s="349">
        <v>0.17550197507911564</v>
      </c>
      <c r="F917689" s="349">
        <v>0.18</v>
      </c>
    </row>
    <row r="917690" spans="1:6" ht="16">
      <c r="A917690" s="347" t="s">
        <v>342</v>
      </c>
      <c r="B917690" s="348" t="s">
        <v>568</v>
      </c>
      <c r="C917690" s="349">
        <v>5.3778762707661788E-3</v>
      </c>
      <c r="D917690" s="349">
        <f t="shared" si="58"/>
        <v>5.2219473999336782E-2</v>
      </c>
      <c r="E917690" s="349">
        <v>7.219473999336784E-3</v>
      </c>
      <c r="F917690" s="349">
        <v>0.25</v>
      </c>
    </row>
    <row r="917691" spans="1:6" ht="16">
      <c r="A917691" s="347" t="s">
        <v>343</v>
      </c>
      <c r="B917691" s="348" t="s">
        <v>580</v>
      </c>
      <c r="C917691" s="349">
        <v>6.5302783287875029E-3</v>
      </c>
      <c r="D917691" s="349">
        <f t="shared" si="58"/>
        <v>5.3766504142051808E-2</v>
      </c>
      <c r="E917691" s="349">
        <v>8.7665041420518092E-3</v>
      </c>
      <c r="F917691" s="349">
        <v>0.25</v>
      </c>
    </row>
    <row r="917692" spans="1:6" ht="16">
      <c r="A917692" s="347" t="s">
        <v>344</v>
      </c>
      <c r="B917692" s="348" t="s">
        <v>574</v>
      </c>
      <c r="C917692" s="349">
        <v>0</v>
      </c>
      <c r="D917692" s="349">
        <f t="shared" si="58"/>
        <v>4.4999999999999998E-2</v>
      </c>
      <c r="E917692" s="349">
        <v>0</v>
      </c>
      <c r="F917692" s="349">
        <v>0.25</v>
      </c>
    </row>
    <row r="917693" spans="1:6" ht="16">
      <c r="A917693" s="347" t="s">
        <v>345</v>
      </c>
      <c r="B917693" s="348" t="s">
        <v>571</v>
      </c>
      <c r="C917693" s="349">
        <v>2.0743237044383835E-2</v>
      </c>
      <c r="D917693" s="349">
        <f t="shared" si="58"/>
        <v>7.2846542568870451E-2</v>
      </c>
      <c r="E917693" s="349">
        <v>2.7846542568870453E-2</v>
      </c>
      <c r="F917693" s="349">
        <v>0.25</v>
      </c>
    </row>
    <row r="917694" spans="1:6" ht="16">
      <c r="A917694" s="347" t="s">
        <v>693</v>
      </c>
      <c r="B917694" s="348" t="s">
        <v>578</v>
      </c>
      <c r="C917694" s="349">
        <v>3.9181669972725021E-2</v>
      </c>
      <c r="D917694" s="349">
        <f t="shared" si="58"/>
        <v>9.7599024852310853E-2</v>
      </c>
      <c r="E917694" s="349">
        <v>5.2599024852310855E-2</v>
      </c>
      <c r="F917694" s="349">
        <v>0.15</v>
      </c>
    </row>
    <row r="917695" spans="1:6" ht="16">
      <c r="A917695" s="347" t="s">
        <v>346</v>
      </c>
      <c r="B917695" s="348" t="s">
        <v>615</v>
      </c>
      <c r="C917695" s="349">
        <v>0.17499999999999999</v>
      </c>
      <c r="D917695" s="349">
        <f t="shared" si="58"/>
        <v>0.27992692770782934</v>
      </c>
      <c r="E917695" s="349">
        <v>0.23492692770782936</v>
      </c>
      <c r="F917695" s="349">
        <v>0.34</v>
      </c>
    </row>
    <row r="917696" spans="1:6" ht="16">
      <c r="A917696" s="347" t="s">
        <v>347</v>
      </c>
      <c r="B917696" s="348" t="s">
        <v>576</v>
      </c>
      <c r="C917696" s="349">
        <v>3.2779436317050999E-2</v>
      </c>
      <c r="D917696" s="349">
        <f t="shared" si="58"/>
        <v>8.9004412948338496E-2</v>
      </c>
      <c r="E917696" s="349">
        <v>4.4004412948338498E-2</v>
      </c>
      <c r="F917696" s="349">
        <v>0.2</v>
      </c>
    </row>
    <row r="917697" spans="1:6" ht="16">
      <c r="A917697" s="350" t="s">
        <v>868</v>
      </c>
      <c r="B917697" s="348" t="s">
        <v>687</v>
      </c>
      <c r="C917697" s="349">
        <v>0.10896601681957191</v>
      </c>
      <c r="D917697" s="349">
        <f t="shared" si="58"/>
        <v>0.19128029460560964</v>
      </c>
      <c r="E917697" s="349">
        <v>0.14628029460560965</v>
      </c>
      <c r="F917697" s="349">
        <v>0.2</v>
      </c>
    </row>
    <row r="917698" spans="1:6" ht="16">
      <c r="A917698" s="347" t="s">
        <v>348</v>
      </c>
      <c r="B917698" s="348" t="s">
        <v>689</v>
      </c>
      <c r="C917698" s="349">
        <v>0.10896601681957188</v>
      </c>
      <c r="D917698" s="349">
        <f t="shared" si="58"/>
        <v>0.19128029460560964</v>
      </c>
      <c r="E917698" s="349">
        <v>0.14628029460560965</v>
      </c>
      <c r="F917698" s="349">
        <v>0.35</v>
      </c>
    </row>
    <row r="917699" spans="1:6" ht="16">
      <c r="A917699" s="351" t="s">
        <v>612</v>
      </c>
      <c r="B917699" s="348" t="s">
        <v>687</v>
      </c>
      <c r="C917699" s="349">
        <v>9.8082219604926024E-2</v>
      </c>
      <c r="D917699" s="349">
        <f t="shared" si="58"/>
        <v>0.17666945436885656</v>
      </c>
      <c r="E917699" s="349">
        <v>0.13166945436885658</v>
      </c>
      <c r="F917699" s="349">
        <v>0.25</v>
      </c>
    </row>
    <row r="917704" spans="1:6">
      <c r="A917704" s="354" t="s">
        <v>352</v>
      </c>
      <c r="B917704" s="355" t="s">
        <v>376</v>
      </c>
      <c r="C917704" s="355" t="s">
        <v>869</v>
      </c>
      <c r="D917704" s="355" t="s">
        <v>694</v>
      </c>
      <c r="E917704" s="355" t="s">
        <v>870</v>
      </c>
    </row>
    <row r="917705" spans="1:6">
      <c r="A917705" s="356" t="s">
        <v>355</v>
      </c>
      <c r="B917705" s="357">
        <f>$B$1+E917705</f>
        <v>0.13663852306889546</v>
      </c>
      <c r="C917705" s="357">
        <v>6.8262679351091926E-2</v>
      </c>
      <c r="D917705" s="357">
        <v>0.27302836489005694</v>
      </c>
      <c r="E917705" s="357">
        <v>9.1638523068895444E-2</v>
      </c>
    </row>
    <row r="917706" spans="1:6">
      <c r="A917706" s="356" t="s">
        <v>428</v>
      </c>
      <c r="B917706" s="357">
        <f t="shared" ref="B917706:B917714" si="59">$B$1+E917706</f>
        <v>6.1805405008578562E-2</v>
      </c>
      <c r="C917706" s="357">
        <v>1.2518555898193178E-2</v>
      </c>
      <c r="D917706" s="357">
        <v>0.2576437502455447</v>
      </c>
      <c r="E917706" s="357">
        <v>1.6805405008578567E-2</v>
      </c>
    </row>
    <row r="917707" spans="1:6">
      <c r="A917707" s="356" t="s">
        <v>357</v>
      </c>
      <c r="B917707" s="357">
        <f t="shared" si="59"/>
        <v>4.5047923618641933E-2</v>
      </c>
      <c r="C917707" s="357">
        <v>3.5698901544265913E-5</v>
      </c>
      <c r="D917707" s="357">
        <v>0.29744361328762281</v>
      </c>
      <c r="E917707" s="357">
        <v>4.7923618641935289E-5</v>
      </c>
    </row>
    <row r="917708" spans="1:6">
      <c r="A917708" s="356" t="s">
        <v>359</v>
      </c>
      <c r="B917708" s="357">
        <f t="shared" si="59"/>
        <v>0.1865348819700155</v>
      </c>
      <c r="C917708" s="357">
        <v>0.1054310997313879</v>
      </c>
      <c r="D917708" s="357">
        <v>0.2724561140242252</v>
      </c>
      <c r="E917708" s="357">
        <v>0.14153488197001549</v>
      </c>
    </row>
    <row r="917709" spans="1:6">
      <c r="A917709" s="356" t="s">
        <v>356</v>
      </c>
      <c r="B917709" s="357">
        <f t="shared" si="59"/>
        <v>0.10261091058162494</v>
      </c>
      <c r="C917709" s="357">
        <v>4.2915086193622262E-2</v>
      </c>
      <c r="D917709" s="357">
        <v>0.31595749426030023</v>
      </c>
      <c r="E917709" s="357">
        <v>5.7610910581624951E-2</v>
      </c>
    </row>
    <row r="917710" spans="1:6">
      <c r="A917710" s="356" t="s">
        <v>354</v>
      </c>
      <c r="B917710" s="357">
        <f t="shared" si="59"/>
        <v>9.5579383477192262E-2</v>
      </c>
      <c r="C917710" s="357">
        <v>3.7670398345457844E-2</v>
      </c>
      <c r="D917710" s="357">
        <v>0.18485819102180306</v>
      </c>
      <c r="E917710" s="357">
        <v>5.0579383477192263E-2</v>
      </c>
    </row>
    <row r="917711" spans="1:6">
      <c r="A917711" s="356" t="s">
        <v>360</v>
      </c>
      <c r="B917711" s="357">
        <f t="shared" si="59"/>
        <v>6.6589990892489848E-2</v>
      </c>
      <c r="C917711" s="357">
        <v>1.6082653627874467E-2</v>
      </c>
      <c r="D917711" s="357">
        <v>0.18760152153615242</v>
      </c>
      <c r="E917711" s="357">
        <v>2.1589990892489853E-2</v>
      </c>
    </row>
    <row r="917712" spans="1:6">
      <c r="A917712" s="356" t="s">
        <v>362</v>
      </c>
      <c r="B917712" s="357">
        <f t="shared" si="59"/>
        <v>4.4999999999999998E-2</v>
      </c>
      <c r="C917712" s="357">
        <v>0</v>
      </c>
      <c r="D917712" s="357">
        <v>0.25116286561170831</v>
      </c>
      <c r="E917712" s="357">
        <v>0</v>
      </c>
    </row>
    <row r="917713" spans="1:5">
      <c r="A917713" s="356" t="s">
        <v>353</v>
      </c>
      <c r="B917713" s="357">
        <f t="shared" si="59"/>
        <v>5.7871606293643366E-2</v>
      </c>
      <c r="C917713" s="357">
        <v>9.5882201472833571E-3</v>
      </c>
      <c r="D917713" s="357">
        <v>0.24707349543413576</v>
      </c>
      <c r="E917713" s="357">
        <v>1.2871606293643371E-2</v>
      </c>
    </row>
    <row r="917714" spans="1:5">
      <c r="A917714" s="356" t="s">
        <v>491</v>
      </c>
      <c r="B917714" s="357">
        <f t="shared" si="59"/>
        <v>6.3100000000000003E-2</v>
      </c>
      <c r="C917714" s="357">
        <v>1.35E-2</v>
      </c>
      <c r="D917714" s="357">
        <v>0.25225942509764748</v>
      </c>
      <c r="E917714" s="357">
        <v>1.8100000000000002E-2</v>
      </c>
    </row>
    <row r="983041" spans="1:6">
      <c r="A983041" t="s">
        <v>613</v>
      </c>
      <c r="B983041" s="242">
        <v>4.5999999999999999E-2</v>
      </c>
      <c r="C983041" t="s">
        <v>847</v>
      </c>
    </row>
    <row r="983042" spans="1:6" ht="14">
      <c r="A983042" s="275" t="s">
        <v>686</v>
      </c>
      <c r="B983042" s="275"/>
      <c r="C983042" s="275"/>
      <c r="D983042" s="275"/>
      <c r="E983042" s="275"/>
      <c r="F983042" s="275"/>
    </row>
    <row r="983044" spans="1:6" ht="16">
      <c r="A983044" s="344" t="s">
        <v>349</v>
      </c>
      <c r="B983044" s="345" t="s">
        <v>566</v>
      </c>
      <c r="C983044" s="346" t="s">
        <v>350</v>
      </c>
      <c r="D983044" s="346" t="s">
        <v>567</v>
      </c>
      <c r="E983044" s="346" t="s">
        <v>351</v>
      </c>
      <c r="F983044" s="346" t="s">
        <v>519</v>
      </c>
    </row>
    <row r="983045" spans="1:6" ht="16">
      <c r="A983045" s="347" t="s">
        <v>481</v>
      </c>
      <c r="B983045" s="348" t="s">
        <v>568</v>
      </c>
      <c r="C983045" s="349">
        <v>5.3778762707661788E-3</v>
      </c>
      <c r="D983045" s="349">
        <f>$B$1+E983045</f>
        <v>5.2219473999336782E-2</v>
      </c>
      <c r="E983045" s="349">
        <v>7.219473999336784E-3</v>
      </c>
      <c r="F983045" s="349">
        <v>0.15</v>
      </c>
    </row>
    <row r="983046" spans="1:6" ht="16">
      <c r="A983046" s="347" t="s">
        <v>245</v>
      </c>
      <c r="B983046" s="348" t="s">
        <v>569</v>
      </c>
      <c r="C983046" s="349">
        <v>4.9041109802463012E-2</v>
      </c>
      <c r="D983046" s="349">
        <f t="shared" ref="D983046:D983109" si="60">$B$1+E983046</f>
        <v>0.11083472718442829</v>
      </c>
      <c r="E983046" s="349">
        <v>6.5834727184428288E-2</v>
      </c>
      <c r="F983046" s="349">
        <v>0.15</v>
      </c>
    </row>
    <row r="983047" spans="1:6" ht="16">
      <c r="A983047" s="350" t="s">
        <v>570</v>
      </c>
      <c r="B983047" s="348" t="s">
        <v>687</v>
      </c>
      <c r="C983047" s="349">
        <v>4.9041109802463012E-2</v>
      </c>
      <c r="D983047" s="349">
        <f t="shared" si="60"/>
        <v>0.11083472718442829</v>
      </c>
      <c r="E983047" s="349">
        <v>6.5834727184428288E-2</v>
      </c>
      <c r="F983047" s="349">
        <v>0.26</v>
      </c>
    </row>
    <row r="983048" spans="1:6" ht="16">
      <c r="A983048" s="347" t="s">
        <v>499</v>
      </c>
      <c r="B983048" s="348" t="s">
        <v>571</v>
      </c>
      <c r="C983048" s="349">
        <v>2.0743237044383835E-2</v>
      </c>
      <c r="D983048" s="349">
        <f t="shared" si="60"/>
        <v>7.2846542568870451E-2</v>
      </c>
      <c r="E983048" s="349">
        <v>2.7846542568870453E-2</v>
      </c>
      <c r="F983048" s="349">
        <v>0.1898</v>
      </c>
    </row>
    <row r="983049" spans="1:6" ht="16">
      <c r="A983049" s="347" t="s">
        <v>246</v>
      </c>
      <c r="B983049" s="348" t="s">
        <v>581</v>
      </c>
      <c r="C983049" s="349">
        <v>7.0808704231754685E-2</v>
      </c>
      <c r="D983049" s="349">
        <f t="shared" si="60"/>
        <v>0.14005640765793431</v>
      </c>
      <c r="E983049" s="349">
        <v>9.5056407657934314E-2</v>
      </c>
      <c r="F983049" s="349">
        <v>0.25</v>
      </c>
    </row>
    <row r="983050" spans="1:6" ht="16">
      <c r="A983050" s="347" t="s">
        <v>848</v>
      </c>
      <c r="B983050" s="154" t="s">
        <v>687</v>
      </c>
      <c r="C983050" s="277">
        <v>0.1054310997313879</v>
      </c>
      <c r="D983050" s="349">
        <f t="shared" si="60"/>
        <v>0.23253488197001548</v>
      </c>
      <c r="E983050" s="277">
        <v>0.1875348819700155</v>
      </c>
      <c r="F983050" s="277">
        <v>0.2724561140242252</v>
      </c>
    </row>
    <row r="983051" spans="1:6" ht="16">
      <c r="A983051" s="347" t="s">
        <v>849</v>
      </c>
      <c r="B983051" s="154" t="s">
        <v>687</v>
      </c>
      <c r="C983051" s="277">
        <v>0.1054310997313879</v>
      </c>
      <c r="D983051" s="349">
        <f t="shared" si="60"/>
        <v>0.23253488197001548</v>
      </c>
      <c r="E983051" s="277">
        <v>0.1875348819700155</v>
      </c>
      <c r="F983051" s="277">
        <v>0.2724561140242252</v>
      </c>
    </row>
    <row r="983052" spans="1:6" ht="16">
      <c r="A983052" s="347" t="s">
        <v>247</v>
      </c>
      <c r="B983052" s="348" t="s">
        <v>688</v>
      </c>
      <c r="C983052" s="349">
        <v>0.13073361124886354</v>
      </c>
      <c r="D983052" s="349">
        <f t="shared" si="60"/>
        <v>0.22050197507911562</v>
      </c>
      <c r="E983052" s="349">
        <v>0.17550197507911564</v>
      </c>
      <c r="F983052" s="349">
        <v>0.35</v>
      </c>
    </row>
    <row r="983053" spans="1:6" ht="16">
      <c r="A983053" s="347" t="s">
        <v>248</v>
      </c>
      <c r="B983053" s="348" t="s">
        <v>578</v>
      </c>
      <c r="C983053" s="349">
        <v>3.9181669972725021E-2</v>
      </c>
      <c r="D983053" s="349">
        <f t="shared" si="60"/>
        <v>9.7599024852310853E-2</v>
      </c>
      <c r="E983053" s="349">
        <v>5.2599024852310855E-2</v>
      </c>
      <c r="F983053" s="349">
        <v>0.18</v>
      </c>
    </row>
    <row r="983054" spans="1:6" ht="16">
      <c r="A983054" s="347" t="s">
        <v>249</v>
      </c>
      <c r="B983054" s="348" t="s">
        <v>571</v>
      </c>
      <c r="C983054" s="349">
        <v>2.0743237044383835E-2</v>
      </c>
      <c r="D983054" s="349">
        <f t="shared" si="60"/>
        <v>7.2846542568870451E-2</v>
      </c>
      <c r="E983054" s="349">
        <v>2.7846542568870453E-2</v>
      </c>
      <c r="F983054" s="349">
        <v>0.25</v>
      </c>
    </row>
    <row r="983055" spans="1:6" ht="16">
      <c r="A983055" s="347" t="s">
        <v>250</v>
      </c>
      <c r="B983055" s="348" t="s">
        <v>574</v>
      </c>
      <c r="C983055" s="349">
        <v>0</v>
      </c>
      <c r="D983055" s="349">
        <f t="shared" si="60"/>
        <v>4.4999999999999998E-2</v>
      </c>
      <c r="E983055" s="349">
        <v>0</v>
      </c>
      <c r="F983055" s="349">
        <v>0.3</v>
      </c>
    </row>
    <row r="983056" spans="1:6" ht="16">
      <c r="A983056" s="347" t="s">
        <v>251</v>
      </c>
      <c r="B983056" s="348" t="s">
        <v>575</v>
      </c>
      <c r="C983056" s="349">
        <v>4.3535188858583353E-3</v>
      </c>
      <c r="D983056" s="349">
        <f t="shared" si="60"/>
        <v>5.0844336094701202E-2</v>
      </c>
      <c r="E983056" s="349">
        <v>5.8443360947012038E-3</v>
      </c>
      <c r="F983056" s="349">
        <v>0.24</v>
      </c>
    </row>
    <row r="983057" spans="1:6" ht="16">
      <c r="A983057" s="347" t="s">
        <v>358</v>
      </c>
      <c r="B983057" s="348" t="s">
        <v>589</v>
      </c>
      <c r="C983057" s="349">
        <v>2.7273515373171343E-2</v>
      </c>
      <c r="D983057" s="349">
        <f t="shared" si="60"/>
        <v>8.161304671092226E-2</v>
      </c>
      <c r="E983057" s="349">
        <v>3.6613046710922262E-2</v>
      </c>
      <c r="F983057" s="349">
        <v>0.2</v>
      </c>
    </row>
    <row r="983058" spans="1:6" ht="16">
      <c r="A983058" s="347" t="s">
        <v>252</v>
      </c>
      <c r="B983058" s="348" t="s">
        <v>569</v>
      </c>
      <c r="C983058" s="349">
        <v>4.9041109802463012E-2</v>
      </c>
      <c r="D983058" s="349">
        <f t="shared" si="60"/>
        <v>0.11083472718442829</v>
      </c>
      <c r="E983058" s="349">
        <v>6.5834727184428288E-2</v>
      </c>
      <c r="F983058" s="349">
        <v>0</v>
      </c>
    </row>
    <row r="983059" spans="1:6" ht="16">
      <c r="A983059" s="347" t="s">
        <v>253</v>
      </c>
      <c r="B983059" s="348" t="s">
        <v>572</v>
      </c>
      <c r="C983059" s="349">
        <v>5.9924907017108855E-2</v>
      </c>
      <c r="D983059" s="349">
        <f t="shared" si="60"/>
        <v>0.12544556742118129</v>
      </c>
      <c r="E983059" s="349">
        <v>8.0445567421181294E-2</v>
      </c>
      <c r="F983059" s="349">
        <v>0</v>
      </c>
    </row>
    <row r="983060" spans="1:6" ht="16">
      <c r="A983060" s="347" t="s">
        <v>254</v>
      </c>
      <c r="B983060" s="348" t="s">
        <v>569</v>
      </c>
      <c r="C983060" s="349">
        <v>4.9041109802463012E-2</v>
      </c>
      <c r="D983060" s="349">
        <f t="shared" si="60"/>
        <v>0.11083472718442829</v>
      </c>
      <c r="E983060" s="349">
        <v>6.5834727184428288E-2</v>
      </c>
      <c r="F983060" s="349">
        <v>0.3</v>
      </c>
    </row>
    <row r="983061" spans="1:6" ht="16">
      <c r="A983061" s="347" t="s">
        <v>255</v>
      </c>
      <c r="B983061" s="348" t="s">
        <v>581</v>
      </c>
      <c r="C983061" s="349">
        <v>7.0808704231754685E-2</v>
      </c>
      <c r="D983061" s="349">
        <f t="shared" si="60"/>
        <v>0.14005640765793431</v>
      </c>
      <c r="E983061" s="349">
        <v>9.5056407657934314E-2</v>
      </c>
      <c r="F983061" s="349">
        <v>5.5E-2</v>
      </c>
    </row>
    <row r="983062" spans="1:6" ht="16">
      <c r="A983062" s="347" t="s">
        <v>256</v>
      </c>
      <c r="B983062" s="348" t="s">
        <v>615</v>
      </c>
      <c r="C983062" s="349">
        <v>0.17499999999999999</v>
      </c>
      <c r="D983062" s="349">
        <f t="shared" si="60"/>
        <v>0.27992692770782934</v>
      </c>
      <c r="E983062" s="349">
        <v>0.23492692770782936</v>
      </c>
      <c r="F983062" s="349">
        <v>0.18</v>
      </c>
    </row>
    <row r="983063" spans="1:6" ht="16">
      <c r="A983063" s="347" t="s">
        <v>257</v>
      </c>
      <c r="B983063" s="348" t="s">
        <v>580</v>
      </c>
      <c r="C983063" s="349">
        <v>6.5302783287875029E-3</v>
      </c>
      <c r="D983063" s="349">
        <f t="shared" si="60"/>
        <v>5.3766504142051808E-2</v>
      </c>
      <c r="E983063" s="349">
        <v>8.7665041420518092E-3</v>
      </c>
      <c r="F983063" s="349">
        <v>0.25</v>
      </c>
    </row>
    <row r="983064" spans="1:6" ht="16">
      <c r="A983064" s="347" t="s">
        <v>361</v>
      </c>
      <c r="B983064" s="348" t="s">
        <v>586</v>
      </c>
      <c r="C983064" s="349">
        <v>9.8082219604926024E-2</v>
      </c>
      <c r="D983064" s="349">
        <f t="shared" si="60"/>
        <v>0.17666945436885656</v>
      </c>
      <c r="E983064" s="349">
        <v>0.13166945436885658</v>
      </c>
      <c r="F983064" s="349">
        <v>0.2853</v>
      </c>
    </row>
    <row r="983065" spans="1:6" ht="16">
      <c r="A983065" s="347" t="s">
        <v>582</v>
      </c>
      <c r="B983065" s="348" t="s">
        <v>569</v>
      </c>
      <c r="C983065" s="349">
        <v>4.9041109802463012E-2</v>
      </c>
      <c r="D983065" s="349">
        <f t="shared" si="60"/>
        <v>0.11083472718442829</v>
      </c>
      <c r="E983065" s="349">
        <v>6.5834727184428288E-2</v>
      </c>
      <c r="F983065" s="349">
        <v>0.3</v>
      </c>
    </row>
    <row r="983066" spans="1:6" ht="16">
      <c r="A983066" s="347" t="s">
        <v>258</v>
      </c>
      <c r="B983066" s="348" t="s">
        <v>583</v>
      </c>
      <c r="C983066" s="349">
        <v>9.2192164641705932E-3</v>
      </c>
      <c r="D983066" s="349">
        <f t="shared" si="60"/>
        <v>5.73762411417202E-2</v>
      </c>
      <c r="E983066" s="349">
        <v>1.2376241141720201E-2</v>
      </c>
      <c r="F983066" s="349">
        <v>0</v>
      </c>
    </row>
    <row r="983067" spans="1:6" ht="16">
      <c r="A983067" s="347" t="s">
        <v>259</v>
      </c>
      <c r="B983067" s="348" t="s">
        <v>579</v>
      </c>
      <c r="C983067" s="349">
        <v>8.1692501446400528E-2</v>
      </c>
      <c r="D983067" s="349">
        <f t="shared" si="60"/>
        <v>0.15466724789468733</v>
      </c>
      <c r="E983067" s="349">
        <v>0.10966724789468733</v>
      </c>
      <c r="F983067" s="349">
        <v>0.25</v>
      </c>
    </row>
    <row r="983068" spans="1:6" ht="16">
      <c r="A983068" s="347" t="s">
        <v>260</v>
      </c>
      <c r="B983068" s="348" t="s">
        <v>581</v>
      </c>
      <c r="C983068" s="349">
        <v>7.0808704231754685E-2</v>
      </c>
      <c r="D983068" s="349">
        <f t="shared" si="60"/>
        <v>0.14005640765793431</v>
      </c>
      <c r="E983068" s="349">
        <v>9.5056407657934314E-2</v>
      </c>
      <c r="F983068" s="349">
        <v>0.1</v>
      </c>
    </row>
    <row r="983069" spans="1:6" ht="16">
      <c r="A983069" s="347" t="s">
        <v>261</v>
      </c>
      <c r="B983069" s="348" t="s">
        <v>587</v>
      </c>
      <c r="C983069" s="349">
        <v>1.3060556657575006E-2</v>
      </c>
      <c r="D983069" s="349">
        <f t="shared" si="60"/>
        <v>6.2533008284103617E-2</v>
      </c>
      <c r="E983069" s="349">
        <v>1.7533008284103618E-2</v>
      </c>
      <c r="F983069" s="349">
        <v>0.22</v>
      </c>
    </row>
    <row r="983070" spans="1:6" ht="16">
      <c r="A983070" s="347" t="s">
        <v>262</v>
      </c>
      <c r="B983070" s="348" t="s">
        <v>576</v>
      </c>
      <c r="C983070" s="349">
        <v>3.2779436317050999E-2</v>
      </c>
      <c r="D983070" s="349">
        <f t="shared" si="60"/>
        <v>8.9004412948338496E-2</v>
      </c>
      <c r="E983070" s="349">
        <v>4.4004412948338498E-2</v>
      </c>
      <c r="F983070" s="349">
        <v>0.34</v>
      </c>
    </row>
    <row r="983071" spans="1:6" ht="16">
      <c r="A983071" s="347" t="s">
        <v>850</v>
      </c>
      <c r="B983071" s="348" t="s">
        <v>576</v>
      </c>
      <c r="C983071" s="349">
        <v>3.2779436317050999E-2</v>
      </c>
      <c r="D983071" s="349">
        <f t="shared" si="60"/>
        <v>8.9004412948338496E-2</v>
      </c>
      <c r="E983071" s="349">
        <v>4.4004412948338498E-2</v>
      </c>
      <c r="F983071" s="349">
        <v>0.34</v>
      </c>
    </row>
    <row r="983072" spans="1:6" ht="16">
      <c r="A983072" s="351" t="s">
        <v>584</v>
      </c>
      <c r="B983072" s="348" t="s">
        <v>687</v>
      </c>
      <c r="C983072" s="349">
        <v>6.5302783287875029E-3</v>
      </c>
      <c r="D983072" s="349">
        <f t="shared" si="60"/>
        <v>5.3766504142051808E-2</v>
      </c>
      <c r="E983072" s="349">
        <v>8.7665041420518092E-3</v>
      </c>
      <c r="F983072" s="349">
        <v>0.185</v>
      </c>
    </row>
    <row r="983073" spans="1:6" ht="16">
      <c r="A983073" s="347" t="s">
        <v>263</v>
      </c>
      <c r="B983073" s="348" t="s">
        <v>573</v>
      </c>
      <c r="C983073" s="349">
        <v>1.7414075543433341E-2</v>
      </c>
      <c r="D983073" s="349">
        <f t="shared" si="60"/>
        <v>6.8377344378804827E-2</v>
      </c>
      <c r="E983073" s="349">
        <v>2.3377344378804829E-2</v>
      </c>
      <c r="F983073" s="349">
        <v>0.1</v>
      </c>
    </row>
    <row r="983074" spans="1:6" ht="16">
      <c r="A983074" s="347" t="s">
        <v>482</v>
      </c>
      <c r="B983074" s="348" t="s">
        <v>579</v>
      </c>
      <c r="C983074" s="349">
        <v>8.1692501446400528E-2</v>
      </c>
      <c r="D983074" s="349">
        <f t="shared" si="60"/>
        <v>0.15466724789468733</v>
      </c>
      <c r="E983074" s="349">
        <v>0.10966724789468733</v>
      </c>
      <c r="F983074" s="349">
        <v>0.28000000000000003</v>
      </c>
    </row>
    <row r="983075" spans="1:6" ht="16">
      <c r="A983075" s="347" t="s">
        <v>264</v>
      </c>
      <c r="B983075" s="348" t="s">
        <v>572</v>
      </c>
      <c r="C983075" s="349">
        <v>5.9924907017108855E-2</v>
      </c>
      <c r="D983075" s="349">
        <f t="shared" si="60"/>
        <v>0.12544556742118129</v>
      </c>
      <c r="E983075" s="349">
        <v>8.0445567421181294E-2</v>
      </c>
      <c r="F983075" s="349">
        <v>0.2</v>
      </c>
    </row>
    <row r="983076" spans="1:6" ht="16">
      <c r="A983076" s="347" t="s">
        <v>483</v>
      </c>
      <c r="B983076" s="348" t="s">
        <v>579</v>
      </c>
      <c r="C983076" s="349">
        <v>8.1692501446400528E-2</v>
      </c>
      <c r="D983076" s="349">
        <f t="shared" si="60"/>
        <v>0.15466724789468733</v>
      </c>
      <c r="E983076" s="349">
        <v>0.10966724789468733</v>
      </c>
      <c r="F983076" s="349">
        <v>0.33</v>
      </c>
    </row>
    <row r="983077" spans="1:6" ht="16">
      <c r="A983077" s="347" t="s">
        <v>265</v>
      </c>
      <c r="B983077" s="348" t="s">
        <v>574</v>
      </c>
      <c r="C983077" s="349">
        <v>0</v>
      </c>
      <c r="D983077" s="349">
        <f t="shared" si="60"/>
        <v>4.4999999999999998E-2</v>
      </c>
      <c r="E983077" s="349">
        <v>0</v>
      </c>
      <c r="F983077" s="349">
        <v>0.26500000000000001</v>
      </c>
    </row>
    <row r="983078" spans="1:6" ht="16">
      <c r="A983078" s="347" t="s">
        <v>484</v>
      </c>
      <c r="B983078" s="348" t="s">
        <v>581</v>
      </c>
      <c r="C983078" s="349">
        <v>7.0808704231754685E-2</v>
      </c>
      <c r="D983078" s="349">
        <f t="shared" si="60"/>
        <v>0.14005640765793431</v>
      </c>
      <c r="E983078" s="349">
        <v>9.5056407657934314E-2</v>
      </c>
      <c r="F983078" s="349">
        <v>0</v>
      </c>
    </row>
    <row r="983079" spans="1:6" ht="16">
      <c r="A983079" s="347" t="s">
        <v>266</v>
      </c>
      <c r="B983079" s="348" t="s">
        <v>580</v>
      </c>
      <c r="C983079" s="349">
        <v>6.5302783287875029E-3</v>
      </c>
      <c r="D983079" s="349">
        <f t="shared" si="60"/>
        <v>5.3766504142051808E-2</v>
      </c>
      <c r="E983079" s="349">
        <v>8.7665041420518092E-3</v>
      </c>
      <c r="F983079" s="349">
        <v>0</v>
      </c>
    </row>
    <row r="983080" spans="1:6" ht="16">
      <c r="A983080" s="347" t="s">
        <v>851</v>
      </c>
      <c r="B983080" s="154" t="s">
        <v>687</v>
      </c>
      <c r="C983080" s="277">
        <v>9.5882201472833571E-3</v>
      </c>
      <c r="D983080" s="349">
        <f t="shared" si="60"/>
        <v>0.10387160629364336</v>
      </c>
      <c r="E983080" s="277">
        <v>5.8871606293643367E-2</v>
      </c>
      <c r="F983080" s="277">
        <v>0.24707349543413576</v>
      </c>
    </row>
    <row r="983081" spans="1:6" ht="16">
      <c r="A983081" s="347" t="s">
        <v>267</v>
      </c>
      <c r="B983081" s="348" t="s">
        <v>583</v>
      </c>
      <c r="C983081" s="349">
        <v>9.2192164641705932E-3</v>
      </c>
      <c r="D983081" s="349">
        <f t="shared" si="60"/>
        <v>5.73762411417202E-2</v>
      </c>
      <c r="E983081" s="349">
        <v>1.2376241141720201E-2</v>
      </c>
      <c r="F983081" s="349">
        <v>0.27</v>
      </c>
    </row>
    <row r="983082" spans="1:6" ht="16">
      <c r="A983082" s="347" t="s">
        <v>268</v>
      </c>
      <c r="B983082" s="348" t="s">
        <v>585</v>
      </c>
      <c r="C983082" s="349">
        <v>7.6826803868088279E-3</v>
      </c>
      <c r="D983082" s="349">
        <f t="shared" si="60"/>
        <v>5.5313534284766833E-2</v>
      </c>
      <c r="E983082" s="349">
        <v>1.0313534284766834E-2</v>
      </c>
      <c r="F983082" s="349">
        <v>0.25</v>
      </c>
    </row>
    <row r="983083" spans="1:6" ht="16">
      <c r="A983083" s="347" t="s">
        <v>269</v>
      </c>
      <c r="B983083" s="348" t="s">
        <v>571</v>
      </c>
      <c r="C983083" s="349">
        <v>2.0743237044383835E-2</v>
      </c>
      <c r="D983083" s="349">
        <f t="shared" si="60"/>
        <v>7.2846542568870451E-2</v>
      </c>
      <c r="E983083" s="349">
        <v>2.7846542568870453E-2</v>
      </c>
      <c r="F983083" s="349">
        <v>0.35</v>
      </c>
    </row>
    <row r="983084" spans="1:6" ht="16">
      <c r="A983084" s="347" t="s">
        <v>500</v>
      </c>
      <c r="B983084" s="348" t="s">
        <v>581</v>
      </c>
      <c r="C983084" s="349">
        <v>7.0808704231754685E-2</v>
      </c>
      <c r="D983084" s="349">
        <f t="shared" si="60"/>
        <v>0.14005640765793431</v>
      </c>
      <c r="E983084" s="349">
        <v>9.5056407657934314E-2</v>
      </c>
      <c r="F983084" s="349">
        <v>0.3</v>
      </c>
    </row>
    <row r="983085" spans="1:6" ht="16">
      <c r="A983085" s="347" t="s">
        <v>501</v>
      </c>
      <c r="B983085" s="348" t="s">
        <v>586</v>
      </c>
      <c r="C983085" s="349">
        <v>9.8082219604926024E-2</v>
      </c>
      <c r="D983085" s="349">
        <f t="shared" si="60"/>
        <v>0.17666945436885656</v>
      </c>
      <c r="E983085" s="349">
        <v>0.13166945436885658</v>
      </c>
      <c r="F983085" s="349">
        <v>0.28000000000000003</v>
      </c>
    </row>
    <row r="983086" spans="1:6" ht="16">
      <c r="A983086" s="347" t="s">
        <v>485</v>
      </c>
      <c r="B983086" s="348" t="s">
        <v>569</v>
      </c>
      <c r="C983086" s="349">
        <v>4.9041109802463012E-2</v>
      </c>
      <c r="D983086" s="349">
        <f t="shared" si="60"/>
        <v>0.11083472718442829</v>
      </c>
      <c r="E983086" s="349">
        <v>6.5834727184428288E-2</v>
      </c>
      <c r="F983086" s="349">
        <v>0.2974</v>
      </c>
    </row>
    <row r="983087" spans="1:6" ht="16">
      <c r="A983087" s="347" t="s">
        <v>270</v>
      </c>
      <c r="B983087" s="348" t="s">
        <v>569</v>
      </c>
      <c r="C983087" s="349">
        <v>4.9041109802463012E-2</v>
      </c>
      <c r="D983087" s="349">
        <f t="shared" si="60"/>
        <v>0.11083472718442829</v>
      </c>
      <c r="E983087" s="349">
        <v>6.5834727184428288E-2</v>
      </c>
      <c r="F983087" s="349">
        <v>0.3</v>
      </c>
    </row>
    <row r="983088" spans="1:6" ht="16">
      <c r="A983088" s="347" t="s">
        <v>271</v>
      </c>
      <c r="B983088" s="348" t="s">
        <v>571</v>
      </c>
      <c r="C983088" s="349">
        <v>2.0743237044383835E-2</v>
      </c>
      <c r="D983088" s="349">
        <f t="shared" si="60"/>
        <v>7.2846542568870451E-2</v>
      </c>
      <c r="E983088" s="349">
        <v>2.7846542568870453E-2</v>
      </c>
      <c r="F983088" s="349">
        <v>0.18</v>
      </c>
    </row>
    <row r="983089" spans="1:6" ht="16">
      <c r="A983089" s="347" t="s">
        <v>363</v>
      </c>
      <c r="B983089" s="348" t="s">
        <v>688</v>
      </c>
      <c r="C983089" s="349">
        <v>0.13073361124886354</v>
      </c>
      <c r="D983089" s="349">
        <f t="shared" si="60"/>
        <v>0.22050197507911562</v>
      </c>
      <c r="E983089" s="349">
        <v>0.17550197507911564</v>
      </c>
      <c r="F983089" s="349">
        <v>0.2853</v>
      </c>
    </row>
    <row r="983090" spans="1:6" ht="16">
      <c r="A983090" s="352" t="s">
        <v>852</v>
      </c>
      <c r="B983090" s="348" t="s">
        <v>571</v>
      </c>
      <c r="C983090" s="349">
        <v>2.0743237044383835E-2</v>
      </c>
      <c r="D983090" s="349">
        <f t="shared" si="60"/>
        <v>7.2846542568870451E-2</v>
      </c>
      <c r="E983090" s="349">
        <v>2.7846542568870453E-2</v>
      </c>
      <c r="F983090" s="349">
        <v>0.22</v>
      </c>
    </row>
    <row r="983091" spans="1:6" ht="16">
      <c r="A983091" s="347" t="s">
        <v>272</v>
      </c>
      <c r="B983091" s="348" t="s">
        <v>571</v>
      </c>
      <c r="C983091" s="349">
        <v>2.0743237044383835E-2</v>
      </c>
      <c r="D983091" s="349">
        <f t="shared" si="60"/>
        <v>7.2846542568870451E-2</v>
      </c>
      <c r="E983091" s="349">
        <v>2.7846542568870453E-2</v>
      </c>
      <c r="F983091" s="349">
        <v>0.125</v>
      </c>
    </row>
    <row r="983092" spans="1:6" ht="16">
      <c r="A983092" s="347" t="s">
        <v>273</v>
      </c>
      <c r="B983092" s="348" t="s">
        <v>580</v>
      </c>
      <c r="C983092" s="349">
        <v>6.5302783287875029E-3</v>
      </c>
      <c r="D983092" s="349">
        <f t="shared" si="60"/>
        <v>5.3766504142051808E-2</v>
      </c>
      <c r="E983092" s="349">
        <v>8.7665041420518092E-3</v>
      </c>
      <c r="F983092" s="349">
        <v>0.19</v>
      </c>
    </row>
    <row r="983093" spans="1:6" ht="16">
      <c r="A983093" s="347" t="s">
        <v>274</v>
      </c>
      <c r="B983093" s="348" t="s">
        <v>574</v>
      </c>
      <c r="C983093" s="349">
        <v>0</v>
      </c>
      <c r="D983093" s="349">
        <f t="shared" si="60"/>
        <v>4.4999999999999998E-2</v>
      </c>
      <c r="E983093" s="349">
        <v>0</v>
      </c>
      <c r="F983093" s="349">
        <v>0.22</v>
      </c>
    </row>
    <row r="983094" spans="1:6" ht="16">
      <c r="A983094" s="347" t="s">
        <v>275</v>
      </c>
      <c r="B983094" s="348" t="s">
        <v>578</v>
      </c>
      <c r="C983094" s="349">
        <v>3.9181669972725021E-2</v>
      </c>
      <c r="D983094" s="349">
        <f t="shared" si="60"/>
        <v>9.7599024852310853E-2</v>
      </c>
      <c r="E983094" s="349">
        <v>5.2599024852310855E-2</v>
      </c>
      <c r="F983094" s="349">
        <v>0.27</v>
      </c>
    </row>
    <row r="983095" spans="1:6" ht="16">
      <c r="A983095" s="347" t="s">
        <v>276</v>
      </c>
      <c r="B983095" s="348" t="s">
        <v>689</v>
      </c>
      <c r="C983095" s="349">
        <v>0.10896601681957188</v>
      </c>
      <c r="D983095" s="349">
        <f t="shared" si="60"/>
        <v>0.19128029460560964</v>
      </c>
      <c r="E983095" s="349">
        <v>0.14628029460560965</v>
      </c>
      <c r="F983095" s="349">
        <v>0.25</v>
      </c>
    </row>
    <row r="983096" spans="1:6" ht="16">
      <c r="A983096" s="347" t="s">
        <v>277</v>
      </c>
      <c r="B983096" s="348" t="s">
        <v>579</v>
      </c>
      <c r="C983096" s="349">
        <v>8.1692501446400528E-2</v>
      </c>
      <c r="D983096" s="349">
        <f t="shared" si="60"/>
        <v>0.15466724789468733</v>
      </c>
      <c r="E983096" s="349">
        <v>0.10966724789468733</v>
      </c>
      <c r="F983096" s="349">
        <v>0.22500000000000001</v>
      </c>
    </row>
    <row r="983097" spans="1:6" ht="16">
      <c r="A983097" s="347" t="s">
        <v>364</v>
      </c>
      <c r="B983097" s="348" t="s">
        <v>689</v>
      </c>
      <c r="C983097" s="349">
        <v>0.10896601681957188</v>
      </c>
      <c r="D983097" s="349">
        <f t="shared" si="60"/>
        <v>0.19128029460560964</v>
      </c>
      <c r="E983097" s="349">
        <v>0.14628029460560965</v>
      </c>
      <c r="F983097" s="349">
        <v>0.3</v>
      </c>
    </row>
    <row r="983098" spans="1:6" ht="16">
      <c r="A983098" s="347" t="s">
        <v>278</v>
      </c>
      <c r="B983098" s="348" t="s">
        <v>585</v>
      </c>
      <c r="C983098" s="349">
        <v>7.6826803868088279E-3</v>
      </c>
      <c r="D983098" s="349">
        <f t="shared" si="60"/>
        <v>5.5313534284766833E-2</v>
      </c>
      <c r="E983098" s="349">
        <v>1.0313534284766834E-2</v>
      </c>
      <c r="F983098" s="349">
        <v>0.2</v>
      </c>
    </row>
    <row r="983099" spans="1:6" ht="16">
      <c r="A983099" s="347" t="s">
        <v>502</v>
      </c>
      <c r="B983099" s="348" t="s">
        <v>586</v>
      </c>
      <c r="C983099" s="349">
        <v>9.8082219604926024E-2</v>
      </c>
      <c r="D983099" s="349">
        <f t="shared" si="60"/>
        <v>0.17666945436885656</v>
      </c>
      <c r="E983099" s="349">
        <v>0.13166945436885658</v>
      </c>
      <c r="F983099" s="349">
        <v>0.3</v>
      </c>
    </row>
    <row r="983100" spans="1:6" ht="16">
      <c r="A983100" s="347" t="s">
        <v>853</v>
      </c>
      <c r="B983100" s="154" t="s">
        <v>687</v>
      </c>
      <c r="C983100" s="277">
        <v>4.2915086193622262E-2</v>
      </c>
      <c r="D983100" s="349">
        <f t="shared" si="60"/>
        <v>0.14861091058162493</v>
      </c>
      <c r="E983100" s="277">
        <v>0.10361091058162493</v>
      </c>
      <c r="F983100" s="277">
        <v>0.31595749426030023</v>
      </c>
    </row>
    <row r="983101" spans="1:6" ht="16">
      <c r="A983101" s="347" t="s">
        <v>279</v>
      </c>
      <c r="B983101" s="348" t="s">
        <v>569</v>
      </c>
      <c r="C983101" s="349">
        <v>4.9041109802463012E-2</v>
      </c>
      <c r="D983101" s="349">
        <f t="shared" si="60"/>
        <v>0.11083472718442829</v>
      </c>
      <c r="E983101" s="349">
        <v>6.5834727184428288E-2</v>
      </c>
      <c r="F983101" s="349">
        <v>0.2</v>
      </c>
    </row>
    <row r="983102" spans="1:6" ht="16">
      <c r="A983102" s="347" t="s">
        <v>280</v>
      </c>
      <c r="B983102" s="348" t="s">
        <v>575</v>
      </c>
      <c r="C983102" s="349">
        <v>4.3535188858583353E-3</v>
      </c>
      <c r="D983102" s="349">
        <f t="shared" si="60"/>
        <v>5.0844336094701202E-2</v>
      </c>
      <c r="E983102" s="349">
        <v>5.8443360947012038E-3</v>
      </c>
      <c r="F983102" s="349">
        <v>0.2</v>
      </c>
    </row>
    <row r="983103" spans="1:6" ht="16">
      <c r="A983103" s="347" t="s">
        <v>281</v>
      </c>
      <c r="B983103" s="348" t="s">
        <v>568</v>
      </c>
      <c r="C983103" s="349">
        <v>5.3778762707661788E-3</v>
      </c>
      <c r="D983103" s="349">
        <f t="shared" si="60"/>
        <v>5.2219473999336782E-2</v>
      </c>
      <c r="E983103" s="349">
        <v>7.219473999336784E-3</v>
      </c>
      <c r="F983103" s="349">
        <v>0.25</v>
      </c>
    </row>
    <row r="983104" spans="1:6" ht="16">
      <c r="A983104" s="347" t="s">
        <v>854</v>
      </c>
      <c r="B983104" s="154" t="s">
        <v>687</v>
      </c>
      <c r="C983104" s="277">
        <v>4.2915086193622262E-2</v>
      </c>
      <c r="D983104" s="349">
        <f t="shared" si="60"/>
        <v>0.14861091058162493</v>
      </c>
      <c r="E983104" s="277">
        <v>0.10361091058162493</v>
      </c>
      <c r="F983104" s="277">
        <v>0.31595749426030023</v>
      </c>
    </row>
    <row r="983105" spans="1:6" ht="16">
      <c r="A983105" s="347" t="s">
        <v>486</v>
      </c>
      <c r="B983105" s="348" t="s">
        <v>579</v>
      </c>
      <c r="C983105" s="349">
        <v>8.1692501446400528E-2</v>
      </c>
      <c r="D983105" s="349">
        <f t="shared" si="60"/>
        <v>0.15466724789468733</v>
      </c>
      <c r="E983105" s="349">
        <v>0.10966724789468733</v>
      </c>
      <c r="F983105" s="349">
        <v>0.3</v>
      </c>
    </row>
    <row r="983106" spans="1:6" ht="16">
      <c r="A983106" s="350" t="s">
        <v>588</v>
      </c>
      <c r="B983106" s="348" t="s">
        <v>687</v>
      </c>
      <c r="C983106" s="349">
        <v>4.9041109802463012E-2</v>
      </c>
      <c r="D983106" s="349">
        <f t="shared" si="60"/>
        <v>0.11083472718442829</v>
      </c>
      <c r="E983106" s="349">
        <v>6.5834727184428288E-2</v>
      </c>
      <c r="F983106" s="349">
        <v>0.31</v>
      </c>
    </row>
    <row r="983107" spans="1:6" ht="16">
      <c r="A983107" s="347" t="s">
        <v>365</v>
      </c>
      <c r="B983107" s="348" t="s">
        <v>576</v>
      </c>
      <c r="C983107" s="349">
        <v>3.2779436317050999E-2</v>
      </c>
      <c r="D983107" s="349">
        <f t="shared" si="60"/>
        <v>8.9004412948338496E-2</v>
      </c>
      <c r="E983107" s="349">
        <v>4.4004412948338498E-2</v>
      </c>
      <c r="F983107" s="349">
        <v>0.15</v>
      </c>
    </row>
    <row r="983108" spans="1:6" ht="16">
      <c r="A983108" s="347" t="s">
        <v>282</v>
      </c>
      <c r="B983108" s="348" t="s">
        <v>574</v>
      </c>
      <c r="C983108" s="349">
        <v>0</v>
      </c>
      <c r="D983108" s="349">
        <f t="shared" si="60"/>
        <v>4.4999999999999998E-2</v>
      </c>
      <c r="E983108" s="349">
        <v>0</v>
      </c>
      <c r="F983108" s="349">
        <v>0.3</v>
      </c>
    </row>
    <row r="983109" spans="1:6" ht="16">
      <c r="A983109" s="347" t="s">
        <v>487</v>
      </c>
      <c r="B983109" s="348" t="s">
        <v>689</v>
      </c>
      <c r="C983109" s="349">
        <v>0.10896601681957188</v>
      </c>
      <c r="D983109" s="349">
        <f t="shared" si="60"/>
        <v>0.19128029460560964</v>
      </c>
      <c r="E983109" s="349">
        <v>0.14628029460560965</v>
      </c>
      <c r="F983109" s="349">
        <v>0.25</v>
      </c>
    </row>
    <row r="983110" spans="1:6" ht="16">
      <c r="A983110" s="347" t="s">
        <v>855</v>
      </c>
      <c r="B983110" s="154" t="s">
        <v>687</v>
      </c>
      <c r="C983110" s="277">
        <v>9.5882201472833571E-3</v>
      </c>
      <c r="D983110" s="349">
        <f t="shared" ref="D983110:D983173" si="61">$B$1+E983110</f>
        <v>0.10387160629364336</v>
      </c>
      <c r="E983110" s="277">
        <v>5.8871606293643367E-2</v>
      </c>
      <c r="F983110" s="277">
        <v>0.24707349543413576</v>
      </c>
    </row>
    <row r="983111" spans="1:6" ht="16">
      <c r="A983111" s="347" t="s">
        <v>283</v>
      </c>
      <c r="B983111" s="348" t="s">
        <v>589</v>
      </c>
      <c r="C983111" s="349">
        <v>2.7273515373171343E-2</v>
      </c>
      <c r="D983111" s="349">
        <f t="shared" si="61"/>
        <v>8.161304671092226E-2</v>
      </c>
      <c r="E983111" s="349">
        <v>3.6613046710922262E-2</v>
      </c>
      <c r="F983111" s="349">
        <v>0.22</v>
      </c>
    </row>
    <row r="983112" spans="1:6" ht="16">
      <c r="A983112" s="347" t="s">
        <v>856</v>
      </c>
      <c r="B983112" s="154" t="s">
        <v>687</v>
      </c>
      <c r="C983112" s="277">
        <f>J983112</f>
        <v>0</v>
      </c>
      <c r="D983112" s="349">
        <f t="shared" si="61"/>
        <v>4.4999999999999998E-2</v>
      </c>
      <c r="E983112" s="277">
        <f>H983112</f>
        <v>0</v>
      </c>
      <c r="F983112" s="277">
        <f>K983112</f>
        <v>0</v>
      </c>
    </row>
    <row r="983113" spans="1:6" ht="16">
      <c r="A983113" s="347" t="s">
        <v>284</v>
      </c>
      <c r="B983113" s="348" t="s">
        <v>589</v>
      </c>
      <c r="C983113" s="349">
        <v>2.7273515373171343E-2</v>
      </c>
      <c r="D983113" s="349">
        <f t="shared" si="61"/>
        <v>8.161304671092226E-2</v>
      </c>
      <c r="E983113" s="349">
        <v>3.6613046710922262E-2</v>
      </c>
      <c r="F983113" s="349">
        <v>0.25</v>
      </c>
    </row>
    <row r="983114" spans="1:6" ht="16">
      <c r="A983114" s="347" t="s">
        <v>690</v>
      </c>
      <c r="B983114" s="348" t="s">
        <v>585</v>
      </c>
      <c r="C983114" s="349">
        <v>7.6826803868088279E-3</v>
      </c>
      <c r="D983114" s="349">
        <f t="shared" si="61"/>
        <v>5.5313534284766833E-2</v>
      </c>
      <c r="E983114" s="349">
        <v>1.0313534284766834E-2</v>
      </c>
      <c r="F983114" s="349">
        <v>0</v>
      </c>
    </row>
    <row r="983115" spans="1:6" ht="16">
      <c r="A983115" s="351" t="s">
        <v>590</v>
      </c>
      <c r="B983115" s="348" t="s">
        <v>687</v>
      </c>
      <c r="C983115" s="349">
        <v>9.8082219604926024E-2</v>
      </c>
      <c r="D983115" s="349">
        <f t="shared" si="61"/>
        <v>0.17666945436885656</v>
      </c>
      <c r="E983115" s="349">
        <v>0.13166945436885658</v>
      </c>
      <c r="F983115" s="349">
        <v>0.29149999999999998</v>
      </c>
    </row>
    <row r="983116" spans="1:6" ht="16">
      <c r="A983116" s="350" t="s">
        <v>591</v>
      </c>
      <c r="B983116" s="348" t="s">
        <v>687</v>
      </c>
      <c r="C983116" s="349">
        <v>5.9924907017108842E-2</v>
      </c>
      <c r="D983116" s="349">
        <f t="shared" si="61"/>
        <v>0.12544556742118129</v>
      </c>
      <c r="E983116" s="349">
        <v>8.0445567421181294E-2</v>
      </c>
      <c r="F983116" s="349">
        <v>0.29149999999999998</v>
      </c>
    </row>
    <row r="983117" spans="1:6" ht="16">
      <c r="A983117" s="351" t="s">
        <v>592</v>
      </c>
      <c r="B983117" s="348" t="s">
        <v>687</v>
      </c>
      <c r="C983117" s="349">
        <v>1.7414075543433345E-2</v>
      </c>
      <c r="D983117" s="349">
        <f t="shared" si="61"/>
        <v>6.8377344378804827E-2</v>
      </c>
      <c r="E983117" s="349">
        <v>2.3377344378804829E-2</v>
      </c>
      <c r="F983117" s="349">
        <v>0.18640000000000001</v>
      </c>
    </row>
    <row r="983118" spans="1:6" ht="16">
      <c r="A983118" s="350" t="s">
        <v>593</v>
      </c>
      <c r="B983118" s="348" t="s">
        <v>687</v>
      </c>
      <c r="C983118" s="349">
        <v>0.10896601681957191</v>
      </c>
      <c r="D983118" s="349">
        <f t="shared" si="61"/>
        <v>0.19128029460560964</v>
      </c>
      <c r="E983118" s="349">
        <v>0.14628029460560965</v>
      </c>
      <c r="F983118" s="349">
        <v>0.18640000000000001</v>
      </c>
    </row>
    <row r="983119" spans="1:6" ht="16">
      <c r="A983119" s="347" t="s">
        <v>285</v>
      </c>
      <c r="B983119" s="348" t="s">
        <v>569</v>
      </c>
      <c r="C983119" s="349">
        <v>4.9041109802463012E-2</v>
      </c>
      <c r="D983119" s="349">
        <f t="shared" si="61"/>
        <v>0.11083472718442829</v>
      </c>
      <c r="E983119" s="349">
        <v>6.5834727184428288E-2</v>
      </c>
      <c r="F983119" s="349">
        <v>0.25</v>
      </c>
    </row>
    <row r="983120" spans="1:6" ht="16">
      <c r="A983120" s="347" t="s">
        <v>286</v>
      </c>
      <c r="B983120" s="348" t="s">
        <v>580</v>
      </c>
      <c r="C983120" s="349">
        <v>6.5302783287875029E-3</v>
      </c>
      <c r="D983120" s="349">
        <f t="shared" si="61"/>
        <v>5.3766504142051808E-2</v>
      </c>
      <c r="E983120" s="349">
        <v>8.7665041420518092E-3</v>
      </c>
      <c r="F983120" s="349">
        <v>0.16500000000000001</v>
      </c>
    </row>
    <row r="983121" spans="1:6" ht="16">
      <c r="A983121" s="347" t="s">
        <v>287</v>
      </c>
      <c r="B983121" s="348" t="s">
        <v>571</v>
      </c>
      <c r="C983121" s="349">
        <v>2.0743237044383835E-2</v>
      </c>
      <c r="D983121" s="349">
        <f t="shared" si="61"/>
        <v>7.2846542568870451E-2</v>
      </c>
      <c r="E983121" s="349">
        <v>2.7846542568870453E-2</v>
      </c>
      <c r="F983121" s="349">
        <v>0.09</v>
      </c>
    </row>
    <row r="983122" spans="1:6" ht="16">
      <c r="A983122" s="347" t="s">
        <v>288</v>
      </c>
      <c r="B983122" s="348" t="s">
        <v>583</v>
      </c>
      <c r="C983122" s="349">
        <v>9.2192164641705932E-3</v>
      </c>
      <c r="D983122" s="349">
        <f t="shared" si="61"/>
        <v>5.73762411417202E-2</v>
      </c>
      <c r="E983122" s="349">
        <v>1.2376241141720201E-2</v>
      </c>
      <c r="F983122" s="349">
        <v>0.2</v>
      </c>
    </row>
    <row r="983123" spans="1:6" ht="16">
      <c r="A983123" s="347" t="s">
        <v>289</v>
      </c>
      <c r="B983123" s="348" t="s">
        <v>577</v>
      </c>
      <c r="C983123" s="349">
        <v>2.3944353872220846E-2</v>
      </c>
      <c r="D983123" s="349">
        <f t="shared" si="61"/>
        <v>7.7143848520856623E-2</v>
      </c>
      <c r="E983123" s="349">
        <v>3.2143848520856624E-2</v>
      </c>
      <c r="F983123" s="349">
        <v>0.3</v>
      </c>
    </row>
    <row r="983124" spans="1:6" ht="16">
      <c r="A983124" s="347" t="s">
        <v>290</v>
      </c>
      <c r="B983124" s="348" t="s">
        <v>571</v>
      </c>
      <c r="C983124" s="349">
        <v>2.0743237044383835E-2</v>
      </c>
      <c r="D983124" s="349">
        <f t="shared" si="61"/>
        <v>7.2846542568870451E-2</v>
      </c>
      <c r="E983124" s="349">
        <v>2.7846542568870453E-2</v>
      </c>
      <c r="F983124" s="349">
        <v>0.22</v>
      </c>
    </row>
    <row r="983125" spans="1:6" ht="16">
      <c r="A983125" s="351" t="s">
        <v>594</v>
      </c>
      <c r="B983125" s="348" t="s">
        <v>687</v>
      </c>
      <c r="C983125" s="349">
        <v>7.0808704231754685E-2</v>
      </c>
      <c r="D983125" s="349">
        <f t="shared" si="61"/>
        <v>0.14005640765793431</v>
      </c>
      <c r="E983125" s="349">
        <v>9.5056407657934314E-2</v>
      </c>
      <c r="F983125" s="349">
        <v>0.20230000000000001</v>
      </c>
    </row>
    <row r="983126" spans="1:6" ht="16">
      <c r="A983126" s="347" t="s">
        <v>559</v>
      </c>
      <c r="B983126" s="348" t="s">
        <v>579</v>
      </c>
      <c r="C983126" s="349">
        <v>8.1692501446400528E-2</v>
      </c>
      <c r="D983126" s="349">
        <f t="shared" si="61"/>
        <v>0.15466724789468733</v>
      </c>
      <c r="E983126" s="349">
        <v>0.10966724789468733</v>
      </c>
      <c r="F983126" s="349">
        <v>0.15</v>
      </c>
    </row>
    <row r="983127" spans="1:6" ht="16">
      <c r="A983127" s="347" t="s">
        <v>291</v>
      </c>
      <c r="B983127" s="348" t="s">
        <v>580</v>
      </c>
      <c r="C983127" s="349">
        <v>6.5302783287875029E-3</v>
      </c>
      <c r="D983127" s="349">
        <f t="shared" si="61"/>
        <v>5.3766504142051808E-2</v>
      </c>
      <c r="E983127" s="349">
        <v>8.7665041420518092E-3</v>
      </c>
      <c r="F983127" s="349">
        <v>0.125</v>
      </c>
    </row>
    <row r="983128" spans="1:6" ht="16">
      <c r="A983128" s="347" t="s">
        <v>292</v>
      </c>
      <c r="B983128" s="348" t="s">
        <v>580</v>
      </c>
      <c r="C983128" s="349">
        <v>6.5302783287875029E-3</v>
      </c>
      <c r="D983128" s="349">
        <f t="shared" si="61"/>
        <v>5.3766504142051808E-2</v>
      </c>
      <c r="E983128" s="349">
        <v>8.7665041420518092E-3</v>
      </c>
      <c r="F983128" s="349">
        <v>0</v>
      </c>
    </row>
    <row r="983129" spans="1:6" ht="16">
      <c r="A983129" s="347" t="s">
        <v>293</v>
      </c>
      <c r="B983129" s="348" t="s">
        <v>585</v>
      </c>
      <c r="C983129" s="349">
        <v>7.6826803868088279E-3</v>
      </c>
      <c r="D983129" s="349">
        <f t="shared" si="61"/>
        <v>5.5313534284766833E-2</v>
      </c>
      <c r="E983129" s="349">
        <v>1.0313534284766834E-2</v>
      </c>
      <c r="F983129" s="349">
        <v>0.23</v>
      </c>
    </row>
    <row r="983130" spans="1:6" ht="16">
      <c r="A983130" s="347" t="s">
        <v>294</v>
      </c>
      <c r="B983130" s="348" t="s">
        <v>577</v>
      </c>
      <c r="C983130" s="349">
        <v>2.3944353872220846E-2</v>
      </c>
      <c r="D983130" s="349">
        <f t="shared" si="61"/>
        <v>7.7143848520856623E-2</v>
      </c>
      <c r="E983130" s="349">
        <v>3.2143848520856624E-2</v>
      </c>
      <c r="F983130" s="349">
        <v>0.24</v>
      </c>
    </row>
    <row r="983131" spans="1:6" ht="16">
      <c r="A983131" s="347" t="s">
        <v>857</v>
      </c>
      <c r="B983131" s="348" t="s">
        <v>578</v>
      </c>
      <c r="C983131" s="349">
        <v>3.9181669972725021E-2</v>
      </c>
      <c r="D983131" s="349">
        <f t="shared" si="61"/>
        <v>9.7599024852310853E-2</v>
      </c>
      <c r="E983131" s="349">
        <v>5.2599024852310855E-2</v>
      </c>
      <c r="F983131" s="349">
        <v>0.25</v>
      </c>
    </row>
    <row r="983132" spans="1:6" ht="16">
      <c r="A983132" s="347" t="s">
        <v>295</v>
      </c>
      <c r="B983132" s="348" t="s">
        <v>569</v>
      </c>
      <c r="C983132" s="349">
        <v>4.9041109802463012E-2</v>
      </c>
      <c r="D983132" s="349">
        <f t="shared" si="61"/>
        <v>0.11083472718442829</v>
      </c>
      <c r="E983132" s="349">
        <v>6.5834727184428288E-2</v>
      </c>
      <c r="F983132" s="349">
        <v>0.25</v>
      </c>
    </row>
    <row r="983133" spans="1:6" ht="16">
      <c r="A983133" s="347" t="s">
        <v>296</v>
      </c>
      <c r="B983133" s="348" t="s">
        <v>585</v>
      </c>
      <c r="C983133" s="349">
        <v>7.6826803868088279E-3</v>
      </c>
      <c r="D983133" s="349">
        <f t="shared" si="61"/>
        <v>5.5313534284766833E-2</v>
      </c>
      <c r="E983133" s="349">
        <v>1.0313534284766834E-2</v>
      </c>
      <c r="F983133" s="349">
        <v>0.30620000000000003</v>
      </c>
    </row>
    <row r="983134" spans="1:6" ht="16">
      <c r="A983134" s="347" t="s">
        <v>691</v>
      </c>
      <c r="B983134" s="348" t="s">
        <v>580</v>
      </c>
      <c r="C983134" s="349">
        <v>6.5302783287875029E-3</v>
      </c>
      <c r="D983134" s="349">
        <f t="shared" si="61"/>
        <v>5.3766504142051808E-2</v>
      </c>
      <c r="E983134" s="349">
        <v>8.7665041420518092E-3</v>
      </c>
      <c r="F983134" s="349">
        <v>0</v>
      </c>
    </row>
    <row r="983135" spans="1:6" ht="16">
      <c r="A983135" s="347" t="s">
        <v>297</v>
      </c>
      <c r="B983135" s="348" t="s">
        <v>569</v>
      </c>
      <c r="C983135" s="349">
        <v>4.9041109802463012E-2</v>
      </c>
      <c r="D983135" s="349">
        <f t="shared" si="61"/>
        <v>0.11083472718442829</v>
      </c>
      <c r="E983135" s="349">
        <v>6.5834727184428288E-2</v>
      </c>
      <c r="F983135" s="349">
        <v>0.2</v>
      </c>
    </row>
    <row r="983136" spans="1:6" ht="16">
      <c r="A983136" s="347" t="s">
        <v>298</v>
      </c>
      <c r="B983136" s="348" t="s">
        <v>571</v>
      </c>
      <c r="C983136" s="349">
        <v>2.0743237044383835E-2</v>
      </c>
      <c r="D983136" s="349">
        <f t="shared" si="61"/>
        <v>7.2846542568870451E-2</v>
      </c>
      <c r="E983136" s="349">
        <v>2.7846542568870453E-2</v>
      </c>
      <c r="F983136" s="349">
        <v>0.2</v>
      </c>
    </row>
    <row r="983137" spans="1:6" ht="16">
      <c r="A983137" s="347" t="s">
        <v>429</v>
      </c>
      <c r="B983137" s="348" t="s">
        <v>581</v>
      </c>
      <c r="C983137" s="349">
        <v>7.0808704231754685E-2</v>
      </c>
      <c r="D983137" s="349">
        <f t="shared" si="61"/>
        <v>0.14005640765793431</v>
      </c>
      <c r="E983137" s="349">
        <v>9.5056407657934314E-2</v>
      </c>
      <c r="F983137" s="349">
        <v>0.3</v>
      </c>
    </row>
    <row r="983138" spans="1:6" ht="16">
      <c r="A983138" s="350" t="s">
        <v>595</v>
      </c>
      <c r="B983138" s="348" t="s">
        <v>687</v>
      </c>
      <c r="C983138" s="349">
        <v>0.17499999999999999</v>
      </c>
      <c r="D983138" s="349">
        <f t="shared" si="61"/>
        <v>0.27992692770782934</v>
      </c>
      <c r="E983138" s="349">
        <v>0.23492692770782936</v>
      </c>
      <c r="F983138" s="349">
        <v>0.23100000000000001</v>
      </c>
    </row>
    <row r="983139" spans="1:6" ht="16">
      <c r="A983139" s="347" t="s">
        <v>299</v>
      </c>
      <c r="B983139" s="348" t="s">
        <v>585</v>
      </c>
      <c r="C983139" s="349">
        <v>7.6826803868088279E-3</v>
      </c>
      <c r="D983139" s="349">
        <f t="shared" si="61"/>
        <v>5.5313534284766833E-2</v>
      </c>
      <c r="E983139" s="349">
        <v>1.0313534284766834E-2</v>
      </c>
      <c r="F983139" s="349">
        <v>0.15</v>
      </c>
    </row>
    <row r="983140" spans="1:6" ht="16">
      <c r="A983140" s="347" t="s">
        <v>488</v>
      </c>
      <c r="B983140" s="348" t="s">
        <v>581</v>
      </c>
      <c r="C983140" s="349">
        <v>7.0808704231754685E-2</v>
      </c>
      <c r="D983140" s="349">
        <f t="shared" si="61"/>
        <v>0.14005640765793431</v>
      </c>
      <c r="E983140" s="349">
        <v>9.5056407657934314E-2</v>
      </c>
      <c r="F983140" s="349">
        <v>0.1</v>
      </c>
    </row>
    <row r="983141" spans="1:6" ht="16">
      <c r="A983141" s="347" t="s">
        <v>622</v>
      </c>
      <c r="B983141" s="348" t="s">
        <v>689</v>
      </c>
      <c r="C983141" s="349">
        <v>0.10896601681957188</v>
      </c>
      <c r="D983141" s="349">
        <f t="shared" si="61"/>
        <v>0.19128029460560964</v>
      </c>
      <c r="E983141" s="349">
        <v>0.14628029460560965</v>
      </c>
      <c r="F983141" s="349">
        <v>0.26860000000000001</v>
      </c>
    </row>
    <row r="983142" spans="1:6" ht="16">
      <c r="A983142" s="347" t="s">
        <v>300</v>
      </c>
      <c r="B983142" s="348" t="s">
        <v>587</v>
      </c>
      <c r="C983142" s="349">
        <v>1.3060556657575006E-2</v>
      </c>
      <c r="D983142" s="349">
        <f t="shared" si="61"/>
        <v>6.2533008284103617E-2</v>
      </c>
      <c r="E983142" s="349">
        <v>1.7533008284103618E-2</v>
      </c>
      <c r="F983142" s="349">
        <v>0.2</v>
      </c>
    </row>
    <row r="983143" spans="1:6" ht="16">
      <c r="A983143" s="347" t="s">
        <v>366</v>
      </c>
      <c r="B983143" s="348" t="s">
        <v>615</v>
      </c>
      <c r="C983143" s="349">
        <v>0.17499999999999999</v>
      </c>
      <c r="D983143" s="349">
        <f t="shared" si="61"/>
        <v>0.27992692770782934</v>
      </c>
      <c r="E983143" s="349">
        <v>0.23492692770782936</v>
      </c>
      <c r="F983143" s="349">
        <v>0.17</v>
      </c>
    </row>
    <row r="983144" spans="1:6" ht="16">
      <c r="A983144" s="351" t="s">
        <v>596</v>
      </c>
      <c r="B983144" s="348" t="s">
        <v>687</v>
      </c>
      <c r="C983144" s="349">
        <v>0.13073361124886354</v>
      </c>
      <c r="D983144" s="349">
        <f t="shared" si="61"/>
        <v>0.22050197507911562</v>
      </c>
      <c r="E983144" s="349">
        <v>0.17550197507911564</v>
      </c>
      <c r="F983144" s="349">
        <v>0.29149999999999998</v>
      </c>
    </row>
    <row r="983145" spans="1:6" ht="16">
      <c r="A983145" s="350" t="s">
        <v>597</v>
      </c>
      <c r="B983145" s="348" t="s">
        <v>687</v>
      </c>
      <c r="C983145" s="349">
        <v>2.0743237044383835E-2</v>
      </c>
      <c r="D983145" s="349">
        <f t="shared" si="61"/>
        <v>7.2846542568870451E-2</v>
      </c>
      <c r="E983145" s="349">
        <v>2.7846542568870453E-2</v>
      </c>
      <c r="F983145" s="349">
        <v>0.2</v>
      </c>
    </row>
    <row r="983146" spans="1:6" ht="16">
      <c r="A983146" s="347" t="s">
        <v>301</v>
      </c>
      <c r="B983146" s="348" t="s">
        <v>574</v>
      </c>
      <c r="C983146" s="349">
        <v>0</v>
      </c>
      <c r="D983146" s="349">
        <f t="shared" si="61"/>
        <v>4.4999999999999998E-2</v>
      </c>
      <c r="E983146" s="349">
        <v>0</v>
      </c>
      <c r="F983146" s="349">
        <v>0.125</v>
      </c>
    </row>
    <row r="983147" spans="1:6" ht="16">
      <c r="A983147" s="347" t="s">
        <v>302</v>
      </c>
      <c r="B983147" s="348" t="s">
        <v>583</v>
      </c>
      <c r="C983147" s="349">
        <v>9.2192164641705932E-3</v>
      </c>
      <c r="D983147" s="349">
        <f t="shared" si="61"/>
        <v>5.73762411417202E-2</v>
      </c>
      <c r="E983147" s="349">
        <v>1.2376241141720201E-2</v>
      </c>
      <c r="F983147" s="349">
        <v>0.15</v>
      </c>
    </row>
    <row r="983148" spans="1:6" ht="16">
      <c r="A983148" s="347" t="s">
        <v>303</v>
      </c>
      <c r="B983148" s="348" t="s">
        <v>574</v>
      </c>
      <c r="C983148" s="349">
        <v>0</v>
      </c>
      <c r="D983148" s="349">
        <f t="shared" si="61"/>
        <v>4.4999999999999998E-2</v>
      </c>
      <c r="E983148" s="349">
        <v>0</v>
      </c>
      <c r="F983148" s="349">
        <v>0.24940000000000001</v>
      </c>
    </row>
    <row r="983149" spans="1:6" ht="16">
      <c r="A983149" s="347" t="s">
        <v>858</v>
      </c>
      <c r="B983149" s="348" t="s">
        <v>580</v>
      </c>
      <c r="C983149" s="349">
        <v>6.5302783287875029E-3</v>
      </c>
      <c r="D983149" s="349">
        <f t="shared" si="61"/>
        <v>5.3766504142051808E-2</v>
      </c>
      <c r="E983149" s="349">
        <v>8.7665041420518092E-3</v>
      </c>
      <c r="F983149" s="349">
        <v>0.26860000000000001</v>
      </c>
    </row>
    <row r="983150" spans="1:6" ht="16">
      <c r="A983150" s="347" t="s">
        <v>304</v>
      </c>
      <c r="B983150" s="348" t="s">
        <v>578</v>
      </c>
      <c r="C983150" s="349">
        <v>3.9181669972725021E-2</v>
      </c>
      <c r="D983150" s="349">
        <f t="shared" si="61"/>
        <v>9.7599024852310853E-2</v>
      </c>
      <c r="E983150" s="349">
        <v>5.2599024852310855E-2</v>
      </c>
      <c r="F983150" s="349">
        <v>0.1</v>
      </c>
    </row>
    <row r="983151" spans="1:6" ht="16">
      <c r="A983151" s="351" t="s">
        <v>598</v>
      </c>
      <c r="B983151" s="348" t="s">
        <v>687</v>
      </c>
      <c r="C983151" s="349">
        <v>7.0808704231754685E-2</v>
      </c>
      <c r="D983151" s="349">
        <f t="shared" si="61"/>
        <v>0.14005640765793431</v>
      </c>
      <c r="E983151" s="349">
        <v>9.5056407657934314E-2</v>
      </c>
      <c r="F983151" s="349">
        <v>0.2</v>
      </c>
    </row>
    <row r="983152" spans="1:6" ht="16">
      <c r="A983152" s="350" t="s">
        <v>599</v>
      </c>
      <c r="B983152" s="348" t="s">
        <v>687</v>
      </c>
      <c r="C983152" s="349">
        <v>0.13073361124886354</v>
      </c>
      <c r="D983152" s="349">
        <f t="shared" si="61"/>
        <v>0.22050197507911562</v>
      </c>
      <c r="E983152" s="349">
        <v>0.17550197507911564</v>
      </c>
      <c r="F983152" s="349">
        <v>0.3</v>
      </c>
    </row>
    <row r="983153" spans="1:6" ht="16">
      <c r="A983153" s="347" t="s">
        <v>305</v>
      </c>
      <c r="B983153" s="348" t="s">
        <v>587</v>
      </c>
      <c r="C983153" s="349">
        <v>1.3060556657575006E-2</v>
      </c>
      <c r="D983153" s="349">
        <f t="shared" si="61"/>
        <v>6.2533008284103617E-2</v>
      </c>
      <c r="E983153" s="349">
        <v>1.7533008284103618E-2</v>
      </c>
      <c r="F983153" s="349">
        <v>0.24</v>
      </c>
    </row>
    <row r="983154" spans="1:6" ht="16">
      <c r="A983154" s="347" t="s">
        <v>692</v>
      </c>
      <c r="B983154" s="348" t="s">
        <v>579</v>
      </c>
      <c r="C983154" s="349">
        <v>8.1692501446400528E-2</v>
      </c>
      <c r="D983154" s="349">
        <f t="shared" si="61"/>
        <v>0.15466724789468733</v>
      </c>
      <c r="E983154" s="349">
        <v>0.10966724789468733</v>
      </c>
      <c r="F983154" s="349">
        <v>0.26860000000000001</v>
      </c>
    </row>
    <row r="983155" spans="1:6" ht="16">
      <c r="A983155" s="347" t="s">
        <v>600</v>
      </c>
      <c r="B983155" s="348" t="s">
        <v>586</v>
      </c>
      <c r="C983155" s="349">
        <v>9.8082219604926024E-2</v>
      </c>
      <c r="D983155" s="349">
        <f t="shared" si="61"/>
        <v>0.17666945436885656</v>
      </c>
      <c r="E983155" s="349">
        <v>0.13166945436885658</v>
      </c>
      <c r="F983155" s="349">
        <v>0.26860000000000001</v>
      </c>
    </row>
    <row r="983156" spans="1:6" ht="16">
      <c r="A983156" s="347" t="s">
        <v>306</v>
      </c>
      <c r="B983156" s="348" t="s">
        <v>583</v>
      </c>
      <c r="C983156" s="349">
        <v>9.2192164641705932E-3</v>
      </c>
      <c r="D983156" s="349">
        <f t="shared" si="61"/>
        <v>5.73762411417202E-2</v>
      </c>
      <c r="E983156" s="349">
        <v>1.2376241141720201E-2</v>
      </c>
      <c r="F983156" s="349">
        <v>0.35</v>
      </c>
    </row>
    <row r="983157" spans="1:6" ht="16">
      <c r="A983157" s="347" t="s">
        <v>859</v>
      </c>
      <c r="B983157" s="154" t="s">
        <v>687</v>
      </c>
      <c r="C983157" s="277">
        <f>J983157</f>
        <v>0</v>
      </c>
      <c r="D983157" s="349">
        <f t="shared" si="61"/>
        <v>4.4999999999999998E-2</v>
      </c>
      <c r="E983157" s="277">
        <f>H983157</f>
        <v>0</v>
      </c>
      <c r="F983157" s="277">
        <f>K983157</f>
        <v>0</v>
      </c>
    </row>
    <row r="983158" spans="1:6" ht="16">
      <c r="A983158" s="347" t="s">
        <v>307</v>
      </c>
      <c r="B983158" s="348" t="s">
        <v>577</v>
      </c>
      <c r="C983158" s="349">
        <v>2.3944353872220846E-2</v>
      </c>
      <c r="D983158" s="349">
        <f t="shared" si="61"/>
        <v>7.7143848520856623E-2</v>
      </c>
      <c r="E983158" s="349">
        <v>3.2143848520856624E-2</v>
      </c>
      <c r="F983158" s="349">
        <v>0.15</v>
      </c>
    </row>
    <row r="983159" spans="1:6" ht="16">
      <c r="A983159" s="347" t="s">
        <v>308</v>
      </c>
      <c r="B983159" s="348" t="s">
        <v>571</v>
      </c>
      <c r="C983159" s="349">
        <v>2.0743237044383835E-2</v>
      </c>
      <c r="D983159" s="349">
        <f t="shared" si="61"/>
        <v>7.2846542568870451E-2</v>
      </c>
      <c r="E983159" s="349">
        <v>2.7846542568870453E-2</v>
      </c>
      <c r="F983159" s="349">
        <v>0.3</v>
      </c>
    </row>
    <row r="983160" spans="1:6" ht="16">
      <c r="A983160" s="347" t="s">
        <v>860</v>
      </c>
      <c r="B983160" s="154" t="s">
        <v>687</v>
      </c>
      <c r="C983160" s="277">
        <v>9.5882201472833571E-3</v>
      </c>
      <c r="D983160" s="349">
        <f t="shared" si="61"/>
        <v>0.10387160629364336</v>
      </c>
      <c r="E983160" s="277">
        <v>5.8871606293643367E-2</v>
      </c>
      <c r="F983160" s="277">
        <v>0.24707349543413576</v>
      </c>
    </row>
    <row r="983161" spans="1:6" ht="16">
      <c r="A983161" s="347" t="s">
        <v>367</v>
      </c>
      <c r="B983161" s="348" t="s">
        <v>581</v>
      </c>
      <c r="C983161" s="349">
        <v>7.0808704231754685E-2</v>
      </c>
      <c r="D983161" s="349">
        <f t="shared" si="61"/>
        <v>0.14005640765793431</v>
      </c>
      <c r="E983161" s="349">
        <v>9.5056407657934314E-2</v>
      </c>
      <c r="F983161" s="349">
        <v>0.12</v>
      </c>
    </row>
    <row r="983162" spans="1:6" ht="16">
      <c r="A983162" s="347" t="s">
        <v>368</v>
      </c>
      <c r="B983162" s="348" t="s">
        <v>581</v>
      </c>
      <c r="C983162" s="349">
        <v>7.0808704231754685E-2</v>
      </c>
      <c r="D983162" s="349">
        <f t="shared" si="61"/>
        <v>0.14005640765793431</v>
      </c>
      <c r="E983162" s="349">
        <v>9.5056407657934314E-2</v>
      </c>
      <c r="F983162" s="349">
        <v>0.25</v>
      </c>
    </row>
    <row r="983163" spans="1:6" ht="16">
      <c r="A983163" s="347" t="s">
        <v>309</v>
      </c>
      <c r="B983163" s="348" t="s">
        <v>569</v>
      </c>
      <c r="C983163" s="349">
        <v>4.9041109802463012E-2</v>
      </c>
      <c r="D983163" s="349">
        <f t="shared" si="61"/>
        <v>0.11083472718442829</v>
      </c>
      <c r="E983163" s="349">
        <v>6.5834727184428288E-2</v>
      </c>
      <c r="F983163" s="349">
        <v>0.15</v>
      </c>
    </row>
    <row r="983164" spans="1:6" ht="16">
      <c r="A983164" s="347" t="s">
        <v>489</v>
      </c>
      <c r="B983164" s="348" t="s">
        <v>577</v>
      </c>
      <c r="C983164" s="349">
        <v>2.3944353872220846E-2</v>
      </c>
      <c r="D983164" s="349">
        <f t="shared" si="61"/>
        <v>7.7143848520856623E-2</v>
      </c>
      <c r="E983164" s="349">
        <v>3.2143848520856624E-2</v>
      </c>
      <c r="F983164" s="349">
        <v>0.2853</v>
      </c>
    </row>
    <row r="983165" spans="1:6" ht="16">
      <c r="A983165" s="347" t="s">
        <v>369</v>
      </c>
      <c r="B983165" s="348" t="s">
        <v>589</v>
      </c>
      <c r="C983165" s="349">
        <v>2.7273515373171343E-2</v>
      </c>
      <c r="D983165" s="349">
        <f t="shared" si="61"/>
        <v>8.161304671092226E-2</v>
      </c>
      <c r="E983165" s="349">
        <v>3.6613046710922262E-2</v>
      </c>
      <c r="F983165" s="349">
        <v>0.32</v>
      </c>
    </row>
    <row r="983166" spans="1:6" ht="16">
      <c r="A983166" s="347" t="s">
        <v>310</v>
      </c>
      <c r="B983166" s="348" t="s">
        <v>586</v>
      </c>
      <c r="C983166" s="349">
        <v>9.8082219604926024E-2</v>
      </c>
      <c r="D983166" s="349">
        <f t="shared" si="61"/>
        <v>0.17666945436885656</v>
      </c>
      <c r="E983166" s="349">
        <v>0.13166945436885658</v>
      </c>
      <c r="F983166" s="349">
        <v>0.32</v>
      </c>
    </row>
    <row r="983167" spans="1:6" ht="16">
      <c r="A983167" s="351" t="s">
        <v>601</v>
      </c>
      <c r="B983167" s="348" t="s">
        <v>687</v>
      </c>
      <c r="C983167" s="349">
        <v>0.10896601681957191</v>
      </c>
      <c r="D983167" s="349">
        <f t="shared" si="61"/>
        <v>0.19128029460560964</v>
      </c>
      <c r="E983167" s="349">
        <v>0.14628029460560965</v>
      </c>
      <c r="F983167" s="349">
        <v>0.25</v>
      </c>
    </row>
    <row r="983168" spans="1:6" ht="16">
      <c r="A983168" s="347" t="s">
        <v>311</v>
      </c>
      <c r="B983168" s="348" t="s">
        <v>569</v>
      </c>
      <c r="C983168" s="349">
        <v>4.9041109802463012E-2</v>
      </c>
      <c r="D983168" s="349">
        <f t="shared" si="61"/>
        <v>0.11083472718442829</v>
      </c>
      <c r="E983168" s="349">
        <v>6.5834727184428288E-2</v>
      </c>
      <c r="F983168" s="349">
        <v>0.32</v>
      </c>
    </row>
    <row r="983169" spans="1:6" ht="16">
      <c r="A983169" s="347" t="s">
        <v>312</v>
      </c>
      <c r="B983169" s="348" t="s">
        <v>574</v>
      </c>
      <c r="C983169" s="349">
        <v>0</v>
      </c>
      <c r="D983169" s="349">
        <f t="shared" si="61"/>
        <v>4.4999999999999998E-2</v>
      </c>
      <c r="E983169" s="349">
        <v>0</v>
      </c>
      <c r="F983169" s="349">
        <v>0.25800000000000001</v>
      </c>
    </row>
    <row r="983170" spans="1:6" ht="16">
      <c r="A983170" s="347" t="s">
        <v>861</v>
      </c>
      <c r="B983170" s="154" t="s">
        <v>687</v>
      </c>
      <c r="C983170" s="277">
        <v>0.1054310997313879</v>
      </c>
      <c r="D983170" s="349">
        <f t="shared" si="61"/>
        <v>0.23253488197001548</v>
      </c>
      <c r="E983170" s="277">
        <v>0.1875348819700155</v>
      </c>
      <c r="F983170" s="277">
        <v>0.2724561140242252</v>
      </c>
    </row>
    <row r="983171" spans="1:6" ht="16">
      <c r="A983171" s="347" t="s">
        <v>313</v>
      </c>
      <c r="B983171" s="348" t="s">
        <v>574</v>
      </c>
      <c r="C983171" s="349">
        <v>0</v>
      </c>
      <c r="D983171" s="349">
        <f t="shared" si="61"/>
        <v>4.4999999999999998E-2</v>
      </c>
      <c r="E983171" s="349">
        <v>0</v>
      </c>
      <c r="F983171" s="349">
        <v>0.28000000000000003</v>
      </c>
    </row>
    <row r="983172" spans="1:6" ht="16">
      <c r="A983172" s="347" t="s">
        <v>370</v>
      </c>
      <c r="B983172" s="348" t="s">
        <v>581</v>
      </c>
      <c r="C983172" s="349">
        <v>7.0808704231754685E-2</v>
      </c>
      <c r="D983172" s="349">
        <f t="shared" si="61"/>
        <v>0.14005640765793431</v>
      </c>
      <c r="E983172" s="349">
        <v>9.5056407657934314E-2</v>
      </c>
      <c r="F983172" s="349">
        <v>0.3</v>
      </c>
    </row>
    <row r="983173" spans="1:6" ht="16">
      <c r="A983173" s="347" t="s">
        <v>602</v>
      </c>
      <c r="B983173" s="348" t="s">
        <v>586</v>
      </c>
      <c r="C983173" s="349">
        <v>9.8082219604926024E-2</v>
      </c>
      <c r="D983173" s="349">
        <f t="shared" si="61"/>
        <v>0.17666945436885656</v>
      </c>
      <c r="E983173" s="349">
        <v>0.13166945436885658</v>
      </c>
      <c r="F983173" s="349">
        <v>0.26860000000000001</v>
      </c>
    </row>
    <row r="983174" spans="1:6" ht="16">
      <c r="A983174" s="347" t="s">
        <v>314</v>
      </c>
      <c r="B983174" s="348" t="s">
        <v>579</v>
      </c>
      <c r="C983174" s="349">
        <v>8.1692501446400528E-2</v>
      </c>
      <c r="D983174" s="349">
        <f t="shared" ref="D983174:D983235" si="62">$B$1+E983174</f>
        <v>0.15466724789468733</v>
      </c>
      <c r="E983174" s="349">
        <v>0.10966724789468733</v>
      </c>
      <c r="F983174" s="349">
        <v>0.3</v>
      </c>
    </row>
    <row r="983175" spans="1:6" ht="16">
      <c r="A983175" s="347" t="s">
        <v>315</v>
      </c>
      <c r="B983175" s="348" t="s">
        <v>574</v>
      </c>
      <c r="C983175" s="349">
        <v>0</v>
      </c>
      <c r="D983175" s="349">
        <f t="shared" si="62"/>
        <v>4.4999999999999998E-2</v>
      </c>
      <c r="E983175" s="349">
        <v>0</v>
      </c>
      <c r="F983175" s="349">
        <v>0.22</v>
      </c>
    </row>
    <row r="983176" spans="1:6" ht="16">
      <c r="A983176" s="347" t="s">
        <v>316</v>
      </c>
      <c r="B983176" s="348" t="s">
        <v>589</v>
      </c>
      <c r="C983176" s="349">
        <v>2.7273515373171343E-2</v>
      </c>
      <c r="D983176" s="349">
        <f t="shared" si="62"/>
        <v>8.161304671092226E-2</v>
      </c>
      <c r="E983176" s="349">
        <v>3.6613046710922262E-2</v>
      </c>
      <c r="F983176" s="349">
        <v>0.15</v>
      </c>
    </row>
    <row r="983177" spans="1:6" ht="16">
      <c r="A983177" s="347" t="s">
        <v>317</v>
      </c>
      <c r="B983177" s="348" t="s">
        <v>689</v>
      </c>
      <c r="C983177" s="349">
        <v>0.10896601681957188</v>
      </c>
      <c r="D983177" s="349">
        <f t="shared" si="62"/>
        <v>0.19128029460560964</v>
      </c>
      <c r="E983177" s="349">
        <v>0.14628029460560965</v>
      </c>
      <c r="F983177" s="349">
        <v>0.28999999999999998</v>
      </c>
    </row>
    <row r="983178" spans="1:6" ht="16">
      <c r="A983178" s="347" t="s">
        <v>862</v>
      </c>
      <c r="B983178" s="154" t="s">
        <v>687</v>
      </c>
      <c r="C983178" s="277">
        <v>1.6082653627874467E-2</v>
      </c>
      <c r="D983178" s="349">
        <f t="shared" si="62"/>
        <v>0.11258999089248985</v>
      </c>
      <c r="E983178" s="277">
        <v>6.7589990892489848E-2</v>
      </c>
      <c r="F983178" s="277">
        <v>0.18760152153615242</v>
      </c>
    </row>
    <row r="983179" spans="1:6" ht="16">
      <c r="A983179" s="347" t="s">
        <v>318</v>
      </c>
      <c r="B983179" s="348" t="s">
        <v>571</v>
      </c>
      <c r="C983179" s="349">
        <v>2.0743237044383835E-2</v>
      </c>
      <c r="D983179" s="349">
        <f t="shared" si="62"/>
        <v>7.2846542568870451E-2</v>
      </c>
      <c r="E983179" s="349">
        <v>2.7846542568870453E-2</v>
      </c>
      <c r="F983179" s="349">
        <v>0.25</v>
      </c>
    </row>
    <row r="983180" spans="1:6" ht="16">
      <c r="A983180" s="347" t="s">
        <v>319</v>
      </c>
      <c r="B983180" s="348" t="s">
        <v>572</v>
      </c>
      <c r="C983180" s="349">
        <v>5.9924907017108855E-2</v>
      </c>
      <c r="D983180" s="349">
        <f t="shared" si="62"/>
        <v>0.12544556742118129</v>
      </c>
      <c r="E983180" s="349">
        <v>8.0445567421181294E-2</v>
      </c>
      <c r="F983180" s="349">
        <v>0.3</v>
      </c>
    </row>
    <row r="983181" spans="1:6" ht="16">
      <c r="A983181" s="347" t="s">
        <v>320</v>
      </c>
      <c r="B983181" s="348" t="s">
        <v>589</v>
      </c>
      <c r="C983181" s="349">
        <v>2.7273515373171343E-2</v>
      </c>
      <c r="D983181" s="349">
        <f t="shared" si="62"/>
        <v>8.161304671092226E-2</v>
      </c>
      <c r="E983181" s="349">
        <v>3.6613046710922262E-2</v>
      </c>
      <c r="F983181" s="349">
        <v>0.1</v>
      </c>
    </row>
    <row r="983182" spans="1:6" ht="16">
      <c r="A983182" s="347" t="s">
        <v>321</v>
      </c>
      <c r="B983182" s="348" t="s">
        <v>573</v>
      </c>
      <c r="C983182" s="349">
        <v>1.7414075543433341E-2</v>
      </c>
      <c r="D983182" s="349">
        <f t="shared" si="62"/>
        <v>6.8377344378804827E-2</v>
      </c>
      <c r="E983182" s="349">
        <v>2.3377344378804829E-2</v>
      </c>
      <c r="F983182" s="349">
        <v>0.29499999999999998</v>
      </c>
    </row>
    <row r="983183" spans="1:6" ht="16">
      <c r="A983183" s="347" t="s">
        <v>322</v>
      </c>
      <c r="B983183" s="348" t="s">
        <v>571</v>
      </c>
      <c r="C983183" s="349">
        <v>2.0743237044383835E-2</v>
      </c>
      <c r="D983183" s="349">
        <f t="shared" si="62"/>
        <v>7.2846542568870451E-2</v>
      </c>
      <c r="E983183" s="349">
        <v>2.7846542568870453E-2</v>
      </c>
      <c r="F983183" s="349">
        <v>0.25</v>
      </c>
    </row>
    <row r="983184" spans="1:6" ht="16">
      <c r="A983184" s="347" t="s">
        <v>323</v>
      </c>
      <c r="B983184" s="348" t="s">
        <v>583</v>
      </c>
      <c r="C983184" s="349">
        <v>9.2192164641705932E-3</v>
      </c>
      <c r="D983184" s="349">
        <f t="shared" si="62"/>
        <v>5.73762411417202E-2</v>
      </c>
      <c r="E983184" s="349">
        <v>1.2376241141720201E-2</v>
      </c>
      <c r="F983184" s="349">
        <v>0.19</v>
      </c>
    </row>
    <row r="983185" spans="1:6" ht="16">
      <c r="A983185" s="347" t="s">
        <v>324</v>
      </c>
      <c r="B983185" s="348" t="s">
        <v>587</v>
      </c>
      <c r="C983185" s="349">
        <v>1.3060556657575006E-2</v>
      </c>
      <c r="D983185" s="349">
        <f t="shared" si="62"/>
        <v>6.2533008284103617E-2</v>
      </c>
      <c r="E983185" s="349">
        <v>1.7533008284103618E-2</v>
      </c>
      <c r="F983185" s="349">
        <v>0.21</v>
      </c>
    </row>
    <row r="983186" spans="1:6" ht="16">
      <c r="A983186" s="347" t="s">
        <v>325</v>
      </c>
      <c r="B983186" s="348" t="s">
        <v>580</v>
      </c>
      <c r="C983186" s="349">
        <v>6.5302783287875029E-3</v>
      </c>
      <c r="D983186" s="349">
        <f t="shared" si="62"/>
        <v>5.3766504142051808E-2</v>
      </c>
      <c r="E983186" s="349">
        <v>8.7665041420518092E-3</v>
      </c>
      <c r="F983186" s="349">
        <v>0.1</v>
      </c>
    </row>
    <row r="983187" spans="1:6" ht="16">
      <c r="A983187" s="347" t="s">
        <v>503</v>
      </c>
      <c r="B983187" s="348" t="s">
        <v>587</v>
      </c>
      <c r="C983187" s="349">
        <v>1.3060556657575006E-2</v>
      </c>
      <c r="D983187" s="349">
        <f t="shared" si="62"/>
        <v>6.2533008284103617E-2</v>
      </c>
      <c r="E983187" s="349">
        <v>1.7533008284103618E-2</v>
      </c>
      <c r="F983187" s="349">
        <v>0</v>
      </c>
    </row>
    <row r="983188" spans="1:6" ht="16">
      <c r="A983188" s="347" t="s">
        <v>863</v>
      </c>
      <c r="B983188" s="154" t="s">
        <v>687</v>
      </c>
      <c r="C983188" s="277">
        <v>1.2518555898193178E-2</v>
      </c>
      <c r="D983188" s="349">
        <f t="shared" si="62"/>
        <v>0.10780540500857855</v>
      </c>
      <c r="E983188" s="277">
        <v>6.2805405008578549E-2</v>
      </c>
      <c r="F983188" s="277">
        <v>0.2576437502455447</v>
      </c>
    </row>
    <row r="983189" spans="1:6" ht="16">
      <c r="A983189" s="347" t="s">
        <v>326</v>
      </c>
      <c r="B983189" s="348" t="s">
        <v>577</v>
      </c>
      <c r="C983189" s="349">
        <v>2.3944353872220846E-2</v>
      </c>
      <c r="D983189" s="349">
        <f t="shared" si="62"/>
        <v>7.7143848520856623E-2</v>
      </c>
      <c r="E983189" s="349">
        <v>3.2143848520856624E-2</v>
      </c>
      <c r="F983189" s="349">
        <v>0.16</v>
      </c>
    </row>
    <row r="983190" spans="1:6" ht="16">
      <c r="A983190" s="347" t="s">
        <v>327</v>
      </c>
      <c r="B983190" s="348" t="s">
        <v>687</v>
      </c>
      <c r="C983190" s="349">
        <v>4.9041109802463012E-2</v>
      </c>
      <c r="D983190" s="349">
        <f t="shared" si="62"/>
        <v>0.11083472718442829</v>
      </c>
      <c r="E983190" s="349">
        <v>6.5834727184428288E-2</v>
      </c>
      <c r="F983190" s="349">
        <v>0.25</v>
      </c>
    </row>
    <row r="983191" spans="1:6" ht="16">
      <c r="A983191" s="347" t="s">
        <v>490</v>
      </c>
      <c r="B983191" s="348" t="s">
        <v>572</v>
      </c>
      <c r="C983191" s="349">
        <v>5.9924907017108855E-2</v>
      </c>
      <c r="D983191" s="349">
        <f t="shared" si="62"/>
        <v>0.12544556742118129</v>
      </c>
      <c r="E983191" s="349">
        <v>8.0445567421181294E-2</v>
      </c>
      <c r="F983191" s="349">
        <v>0.3</v>
      </c>
    </row>
    <row r="983192" spans="1:6" ht="16">
      <c r="A983192" s="347" t="s">
        <v>864</v>
      </c>
      <c r="B983192" s="154" t="s">
        <v>687</v>
      </c>
      <c r="C983192" s="277">
        <v>0.1054310997313879</v>
      </c>
      <c r="D983192" s="349">
        <f t="shared" si="62"/>
        <v>0.23253488197001548</v>
      </c>
      <c r="E983192" s="277">
        <v>0.1875348819700155</v>
      </c>
      <c r="F983192" s="277">
        <v>0.2724561140242252</v>
      </c>
    </row>
    <row r="983193" spans="1:6" ht="16">
      <c r="A983193" s="347" t="s">
        <v>328</v>
      </c>
      <c r="B983193" s="348" t="s">
        <v>585</v>
      </c>
      <c r="C983193" s="349">
        <v>7.6826803868088279E-3</v>
      </c>
      <c r="D983193" s="349">
        <f t="shared" si="62"/>
        <v>5.5313534284766833E-2</v>
      </c>
      <c r="E983193" s="349">
        <v>1.0313534284766834E-2</v>
      </c>
      <c r="F983193" s="349">
        <v>0.2</v>
      </c>
    </row>
    <row r="983194" spans="1:6" ht="16">
      <c r="A983194" s="347" t="s">
        <v>371</v>
      </c>
      <c r="B983194" s="348" t="s">
        <v>578</v>
      </c>
      <c r="C983194" s="349">
        <v>3.9181669972725021E-2</v>
      </c>
      <c r="D983194" s="349">
        <f t="shared" si="62"/>
        <v>9.7599024852310853E-2</v>
      </c>
      <c r="E983194" s="349">
        <v>5.2599024852310855E-2</v>
      </c>
      <c r="F983194" s="349">
        <v>0.3</v>
      </c>
    </row>
    <row r="983195" spans="1:6" ht="16">
      <c r="A983195" s="347" t="s">
        <v>329</v>
      </c>
      <c r="B983195" s="348" t="s">
        <v>576</v>
      </c>
      <c r="C983195" s="349">
        <v>3.2779436317050999E-2</v>
      </c>
      <c r="D983195" s="349">
        <f t="shared" si="62"/>
        <v>8.9004412948338496E-2</v>
      </c>
      <c r="E983195" s="349">
        <v>4.4004412948338498E-2</v>
      </c>
      <c r="F983195" s="349">
        <v>0.15</v>
      </c>
    </row>
    <row r="983196" spans="1:6" ht="16">
      <c r="A983196" s="347" t="s">
        <v>504</v>
      </c>
      <c r="B983196" s="348" t="s">
        <v>589</v>
      </c>
      <c r="C983196" s="349">
        <v>2.7273515373171343E-2</v>
      </c>
      <c r="D983196" s="349">
        <f t="shared" si="62"/>
        <v>8.161304671092226E-2</v>
      </c>
      <c r="E983196" s="349">
        <v>3.6613046710922262E-2</v>
      </c>
      <c r="F983196" s="349">
        <v>0</v>
      </c>
    </row>
    <row r="983197" spans="1:6" ht="16">
      <c r="A983197" s="350" t="s">
        <v>603</v>
      </c>
      <c r="B983197" s="348" t="s">
        <v>687</v>
      </c>
      <c r="C983197" s="349">
        <v>0.10896601681957191</v>
      </c>
      <c r="D983197" s="349">
        <f t="shared" si="62"/>
        <v>0.19128029460560964</v>
      </c>
      <c r="E983197" s="349">
        <v>0.14628029460560965</v>
      </c>
      <c r="F983197" s="349">
        <v>0.3</v>
      </c>
    </row>
    <row r="983198" spans="1:6" ht="16">
      <c r="A983198" s="347" t="s">
        <v>330</v>
      </c>
      <c r="B983198" s="348" t="s">
        <v>574</v>
      </c>
      <c r="C983198" s="349">
        <v>0</v>
      </c>
      <c r="D983198" s="349">
        <f t="shared" si="62"/>
        <v>4.4999999999999998E-2</v>
      </c>
      <c r="E983198" s="349">
        <v>0</v>
      </c>
      <c r="F983198" s="349">
        <v>0.17</v>
      </c>
    </row>
    <row r="983199" spans="1:6" ht="16">
      <c r="A983199" s="347" t="s">
        <v>372</v>
      </c>
      <c r="B983199" s="348" t="s">
        <v>583</v>
      </c>
      <c r="C983199" s="349">
        <v>9.2192164641705932E-3</v>
      </c>
      <c r="D983199" s="349">
        <f t="shared" si="62"/>
        <v>5.73762411417202E-2</v>
      </c>
      <c r="E983199" s="349">
        <v>1.2376241141720201E-2</v>
      </c>
      <c r="F983199" s="349">
        <v>0.21</v>
      </c>
    </row>
    <row r="983200" spans="1:6" ht="16">
      <c r="A983200" s="347" t="s">
        <v>331</v>
      </c>
      <c r="B983200" s="348" t="s">
        <v>587</v>
      </c>
      <c r="C983200" s="349">
        <v>1.3060556657575006E-2</v>
      </c>
      <c r="D983200" s="349">
        <f t="shared" si="62"/>
        <v>6.2533008284103617E-2</v>
      </c>
      <c r="E983200" s="349">
        <v>1.7533008284103618E-2</v>
      </c>
      <c r="F983200" s="349">
        <v>0.19</v>
      </c>
    </row>
    <row r="983201" spans="1:6" ht="16">
      <c r="A983201" s="347" t="s">
        <v>604</v>
      </c>
      <c r="B983201" s="348" t="s">
        <v>579</v>
      </c>
      <c r="C983201" s="349">
        <v>8.1692501446400528E-2</v>
      </c>
      <c r="D983201" s="349">
        <f t="shared" si="62"/>
        <v>0.15466724789468733</v>
      </c>
      <c r="E983201" s="349">
        <v>0.10966724789468733</v>
      </c>
      <c r="F983201" s="349">
        <v>0.3</v>
      </c>
    </row>
    <row r="983202" spans="1:6" ht="16">
      <c r="A983202" s="351" t="s">
        <v>605</v>
      </c>
      <c r="B983202" s="348" t="s">
        <v>687</v>
      </c>
      <c r="C983202" s="349">
        <v>0.13073361124886354</v>
      </c>
      <c r="D983202" s="349">
        <f t="shared" si="62"/>
        <v>0.22050197507911562</v>
      </c>
      <c r="E983202" s="349">
        <v>0.17550197507911564</v>
      </c>
      <c r="F983202" s="349">
        <v>0.29149999999999998</v>
      </c>
    </row>
    <row r="983203" spans="1:6" ht="16">
      <c r="A983203" s="347" t="s">
        <v>332</v>
      </c>
      <c r="B983203" s="348" t="s">
        <v>576</v>
      </c>
      <c r="C983203" s="349">
        <v>3.2779436317050999E-2</v>
      </c>
      <c r="D983203" s="349">
        <f t="shared" si="62"/>
        <v>8.9004412948338496E-2</v>
      </c>
      <c r="E983203" s="349">
        <v>4.4004412948338498E-2</v>
      </c>
      <c r="F983203" s="349">
        <v>0.27</v>
      </c>
    </row>
    <row r="983204" spans="1:6" ht="16">
      <c r="A983204" s="347" t="s">
        <v>865</v>
      </c>
      <c r="B983204" s="348" t="s">
        <v>568</v>
      </c>
      <c r="C983204" s="349">
        <v>5.3778762707661788E-3</v>
      </c>
      <c r="D983204" s="349">
        <f t="shared" si="62"/>
        <v>5.2219473999336782E-2</v>
      </c>
      <c r="E983204" s="349">
        <v>7.219473999336784E-3</v>
      </c>
      <c r="F983204" s="349">
        <v>0.25</v>
      </c>
    </row>
    <row r="983205" spans="1:6" ht="16">
      <c r="A983205" s="347" t="s">
        <v>333</v>
      </c>
      <c r="B983205" s="348" t="s">
        <v>573</v>
      </c>
      <c r="C983205" s="349">
        <v>1.7414075543433341E-2</v>
      </c>
      <c r="D983205" s="349">
        <f t="shared" si="62"/>
        <v>6.8377344378804827E-2</v>
      </c>
      <c r="E983205" s="349">
        <v>2.3377344378804829E-2</v>
      </c>
      <c r="F983205" s="349">
        <v>0.25</v>
      </c>
    </row>
    <row r="983206" spans="1:6" ht="16">
      <c r="A983206" s="347" t="s">
        <v>334</v>
      </c>
      <c r="B983206" s="348" t="s">
        <v>688</v>
      </c>
      <c r="C983206" s="349">
        <v>0.13073361124886354</v>
      </c>
      <c r="D983206" s="349">
        <f t="shared" si="62"/>
        <v>0.22050197507911562</v>
      </c>
      <c r="E983206" s="349">
        <v>0.17550197507911564</v>
      </c>
      <c r="F983206" s="349">
        <v>0.24</v>
      </c>
    </row>
    <row r="983207" spans="1:6" ht="16">
      <c r="A983207" s="347" t="s">
        <v>430</v>
      </c>
      <c r="B983207" s="348" t="s">
        <v>576</v>
      </c>
      <c r="C983207" s="349">
        <v>3.2779436317050999E-2</v>
      </c>
      <c r="D983207" s="349">
        <f t="shared" si="62"/>
        <v>8.9004412948338496E-2</v>
      </c>
      <c r="E983207" s="349">
        <v>4.4004412948338498E-2</v>
      </c>
      <c r="F983207" s="349">
        <v>0.2853</v>
      </c>
    </row>
    <row r="983208" spans="1:6" ht="16">
      <c r="A983208" s="347" t="s">
        <v>373</v>
      </c>
      <c r="B983208" s="348" t="s">
        <v>581</v>
      </c>
      <c r="C983208" s="349">
        <v>7.0808704231754685E-2</v>
      </c>
      <c r="D983208" s="349">
        <f t="shared" si="62"/>
        <v>0.14005640765793431</v>
      </c>
      <c r="E983208" s="349">
        <v>9.5056407657934314E-2</v>
      </c>
      <c r="F983208" s="349">
        <v>0.2853</v>
      </c>
    </row>
    <row r="983209" spans="1:6" ht="16">
      <c r="A983209" s="350" t="s">
        <v>606</v>
      </c>
      <c r="B983209" s="348" t="s">
        <v>687</v>
      </c>
      <c r="C983209" s="349">
        <v>0.17499999999999999</v>
      </c>
      <c r="D983209" s="349">
        <f t="shared" si="62"/>
        <v>0.27992692770782934</v>
      </c>
      <c r="E983209" s="349">
        <v>0.23492692770782936</v>
      </c>
      <c r="F983209" s="349">
        <v>0.35</v>
      </c>
    </row>
    <row r="983210" spans="1:6" ht="16">
      <c r="A983210" s="347" t="s">
        <v>374</v>
      </c>
      <c r="B983210" s="348" t="s">
        <v>689</v>
      </c>
      <c r="C983210" s="349">
        <v>0.10896601681957188</v>
      </c>
      <c r="D983210" s="349">
        <f t="shared" si="62"/>
        <v>0.19128029460560964</v>
      </c>
      <c r="E983210" s="349">
        <v>0.14628029460560965</v>
      </c>
      <c r="F983210" s="349">
        <v>0.36</v>
      </c>
    </row>
    <row r="983211" spans="1:6" ht="16">
      <c r="A983211" s="347" t="s">
        <v>607</v>
      </c>
      <c r="B983211" s="348" t="s">
        <v>581</v>
      </c>
      <c r="C983211" s="349">
        <v>7.0808704231754685E-2</v>
      </c>
      <c r="D983211" s="349">
        <f t="shared" si="62"/>
        <v>0.14005640765793431</v>
      </c>
      <c r="E983211" s="349">
        <v>9.5056407657934314E-2</v>
      </c>
      <c r="F983211" s="349">
        <v>0.27500000000000002</v>
      </c>
    </row>
    <row r="983212" spans="1:6" ht="16">
      <c r="A983212" s="347" t="s">
        <v>335</v>
      </c>
      <c r="B983212" s="348" t="s">
        <v>574</v>
      </c>
      <c r="C983212" s="349">
        <v>0</v>
      </c>
      <c r="D983212" s="349">
        <f t="shared" si="62"/>
        <v>4.4999999999999998E-2</v>
      </c>
      <c r="E983212" s="349">
        <v>0</v>
      </c>
      <c r="F983212" s="349">
        <v>0.20600000000000002</v>
      </c>
    </row>
    <row r="983213" spans="1:6" ht="16">
      <c r="A983213" s="347" t="s">
        <v>336</v>
      </c>
      <c r="B983213" s="348" t="s">
        <v>574</v>
      </c>
      <c r="C983213" s="349">
        <v>0</v>
      </c>
      <c r="D983213" s="349">
        <f t="shared" si="62"/>
        <v>4.4999999999999998E-2</v>
      </c>
      <c r="E983213" s="349">
        <v>0</v>
      </c>
      <c r="F983213" s="349">
        <v>0.14599999999999999</v>
      </c>
    </row>
    <row r="983214" spans="1:6" ht="16">
      <c r="A983214" s="351" t="s">
        <v>608</v>
      </c>
      <c r="B983214" s="348" t="s">
        <v>687</v>
      </c>
      <c r="C983214" s="349">
        <v>0.17499999999999999</v>
      </c>
      <c r="D983214" s="349">
        <f t="shared" si="62"/>
        <v>0.27992692770782934</v>
      </c>
      <c r="E983214" s="349">
        <v>0.23492692770782936</v>
      </c>
      <c r="F983214" s="349">
        <v>0.28000000000000003</v>
      </c>
    </row>
    <row r="983215" spans="1:6" ht="16">
      <c r="A983215" s="347" t="s">
        <v>337</v>
      </c>
      <c r="B983215" s="348" t="s">
        <v>580</v>
      </c>
      <c r="C983215" s="349">
        <v>6.5302783287875029E-3</v>
      </c>
      <c r="D983215" s="349">
        <f t="shared" si="62"/>
        <v>5.3766504142051808E-2</v>
      </c>
      <c r="E983215" s="349">
        <v>8.7665041420518092E-3</v>
      </c>
      <c r="F983215" s="349">
        <v>0.2</v>
      </c>
    </row>
    <row r="983216" spans="1:6" ht="16">
      <c r="A983216" s="347" t="s">
        <v>609</v>
      </c>
      <c r="B983216" s="348" t="s">
        <v>581</v>
      </c>
      <c r="C983216" s="349">
        <v>7.0808704231754685E-2</v>
      </c>
      <c r="D983216" s="349">
        <f t="shared" si="62"/>
        <v>0.14005640765793431</v>
      </c>
      <c r="E983216" s="349">
        <v>9.5056407657934314E-2</v>
      </c>
      <c r="F983216" s="349">
        <v>0.18</v>
      </c>
    </row>
    <row r="983217" spans="1:6" ht="16">
      <c r="A983217" s="347" t="s">
        <v>610</v>
      </c>
      <c r="B983217" s="348" t="s">
        <v>572</v>
      </c>
      <c r="C983217" s="349">
        <v>5.9924907017108855E-2</v>
      </c>
      <c r="D983217" s="349">
        <f t="shared" si="62"/>
        <v>0.12544556742118129</v>
      </c>
      <c r="E983217" s="349">
        <v>8.0445567421181294E-2</v>
      </c>
      <c r="F983217" s="349">
        <v>0.3</v>
      </c>
    </row>
    <row r="983218" spans="1:6" ht="16">
      <c r="A983218" s="347" t="s">
        <v>338</v>
      </c>
      <c r="B983218" s="348" t="s">
        <v>573</v>
      </c>
      <c r="C983218" s="349">
        <v>1.7414075543433341E-2</v>
      </c>
      <c r="D983218" s="349">
        <f t="shared" si="62"/>
        <v>6.8377344378804827E-2</v>
      </c>
      <c r="E983218" s="349">
        <v>2.3377344378804829E-2</v>
      </c>
      <c r="F983218" s="349">
        <v>0.2</v>
      </c>
    </row>
    <row r="983219" spans="1:6" ht="16">
      <c r="A983219" s="347" t="s">
        <v>611</v>
      </c>
      <c r="B983219" s="348" t="s">
        <v>581</v>
      </c>
      <c r="C983219" s="349">
        <v>7.0808704231754685E-2</v>
      </c>
      <c r="D983219" s="349">
        <f t="shared" si="62"/>
        <v>0.14005640765793431</v>
      </c>
      <c r="E983219" s="349">
        <v>9.5056407657934314E-2</v>
      </c>
      <c r="F983219" s="349">
        <v>0.26860000000000001</v>
      </c>
    </row>
    <row r="983220" spans="1:6" ht="16">
      <c r="A983220" s="347" t="s">
        <v>866</v>
      </c>
      <c r="B983220" s="348" t="s">
        <v>576</v>
      </c>
      <c r="C983220" s="349">
        <v>3.2779436317050999E-2</v>
      </c>
      <c r="D983220" s="349">
        <f t="shared" si="62"/>
        <v>8.9004412948338496E-2</v>
      </c>
      <c r="E983220" s="349">
        <v>4.4004412948338498E-2</v>
      </c>
      <c r="F983220" s="349">
        <v>0.3</v>
      </c>
    </row>
    <row r="983221" spans="1:6" ht="16">
      <c r="A983221" s="347" t="s">
        <v>339</v>
      </c>
      <c r="B983221" s="348" t="s">
        <v>586</v>
      </c>
      <c r="C983221" s="349">
        <v>9.8082219604926024E-2</v>
      </c>
      <c r="D983221" s="349">
        <f t="shared" si="62"/>
        <v>0.17666945436885656</v>
      </c>
      <c r="E983221" s="349">
        <v>0.13166945436885658</v>
      </c>
      <c r="F983221" s="349">
        <v>0.15</v>
      </c>
    </row>
    <row r="983222" spans="1:6" ht="16">
      <c r="A983222" s="347" t="s">
        <v>340</v>
      </c>
      <c r="B983222" s="348" t="s">
        <v>581</v>
      </c>
      <c r="C983222" s="349">
        <v>7.0808704231754685E-2</v>
      </c>
      <c r="D983222" s="349">
        <f t="shared" si="62"/>
        <v>0.14005640765793431</v>
      </c>
      <c r="E983222" s="349">
        <v>9.5056407657934314E-2</v>
      </c>
      <c r="F983222" s="349">
        <v>0.25</v>
      </c>
    </row>
    <row r="983223" spans="1:6" ht="16">
      <c r="A983223" s="353" t="s">
        <v>867</v>
      </c>
      <c r="B983223" s="348" t="s">
        <v>573</v>
      </c>
      <c r="C983223" s="349">
        <v>1.7414075543433341E-2</v>
      </c>
      <c r="D983223" s="349">
        <f t="shared" si="62"/>
        <v>6.8377344378804827E-2</v>
      </c>
      <c r="E983223" s="349">
        <v>2.3377344378804829E-2</v>
      </c>
      <c r="F983223" s="349">
        <v>0</v>
      </c>
    </row>
    <row r="983224" spans="1:6" ht="16">
      <c r="A983224" s="347" t="s">
        <v>431</v>
      </c>
      <c r="B983224" s="348" t="s">
        <v>572</v>
      </c>
      <c r="C983224" s="349">
        <v>5.9924907017108855E-2</v>
      </c>
      <c r="D983224" s="349">
        <f t="shared" si="62"/>
        <v>0.12544556742118129</v>
      </c>
      <c r="E983224" s="349">
        <v>8.0445567421181294E-2</v>
      </c>
      <c r="F983224" s="349">
        <v>0.3</v>
      </c>
    </row>
    <row r="983225" spans="1:6" ht="16">
      <c r="A983225" s="347" t="s">
        <v>341</v>
      </c>
      <c r="B983225" s="348" t="s">
        <v>688</v>
      </c>
      <c r="C983225" s="349">
        <v>0.13073361124886354</v>
      </c>
      <c r="D983225" s="349">
        <f t="shared" si="62"/>
        <v>0.22050197507911562</v>
      </c>
      <c r="E983225" s="349">
        <v>0.17550197507911564</v>
      </c>
      <c r="F983225" s="349">
        <v>0.18</v>
      </c>
    </row>
    <row r="983226" spans="1:6" ht="16">
      <c r="A983226" s="347" t="s">
        <v>342</v>
      </c>
      <c r="B983226" s="348" t="s">
        <v>568</v>
      </c>
      <c r="C983226" s="349">
        <v>5.3778762707661788E-3</v>
      </c>
      <c r="D983226" s="349">
        <f t="shared" si="62"/>
        <v>5.2219473999336782E-2</v>
      </c>
      <c r="E983226" s="349">
        <v>7.219473999336784E-3</v>
      </c>
      <c r="F983226" s="349">
        <v>0.25</v>
      </c>
    </row>
    <row r="983227" spans="1:6" ht="16">
      <c r="A983227" s="347" t="s">
        <v>343</v>
      </c>
      <c r="B983227" s="348" t="s">
        <v>580</v>
      </c>
      <c r="C983227" s="349">
        <v>6.5302783287875029E-3</v>
      </c>
      <c r="D983227" s="349">
        <f t="shared" si="62"/>
        <v>5.3766504142051808E-2</v>
      </c>
      <c r="E983227" s="349">
        <v>8.7665041420518092E-3</v>
      </c>
      <c r="F983227" s="349">
        <v>0.25</v>
      </c>
    </row>
    <row r="983228" spans="1:6" ht="16">
      <c r="A983228" s="347" t="s">
        <v>344</v>
      </c>
      <c r="B983228" s="348" t="s">
        <v>574</v>
      </c>
      <c r="C983228" s="349">
        <v>0</v>
      </c>
      <c r="D983228" s="349">
        <f t="shared" si="62"/>
        <v>4.4999999999999998E-2</v>
      </c>
      <c r="E983228" s="349">
        <v>0</v>
      </c>
      <c r="F983228" s="349">
        <v>0.25</v>
      </c>
    </row>
    <row r="983229" spans="1:6" ht="16">
      <c r="A983229" s="347" t="s">
        <v>345</v>
      </c>
      <c r="B983229" s="348" t="s">
        <v>571</v>
      </c>
      <c r="C983229" s="349">
        <v>2.0743237044383835E-2</v>
      </c>
      <c r="D983229" s="349">
        <f t="shared" si="62"/>
        <v>7.2846542568870451E-2</v>
      </c>
      <c r="E983229" s="349">
        <v>2.7846542568870453E-2</v>
      </c>
      <c r="F983229" s="349">
        <v>0.25</v>
      </c>
    </row>
    <row r="983230" spans="1:6" ht="16">
      <c r="A983230" s="347" t="s">
        <v>693</v>
      </c>
      <c r="B983230" s="348" t="s">
        <v>578</v>
      </c>
      <c r="C983230" s="349">
        <v>3.9181669972725021E-2</v>
      </c>
      <c r="D983230" s="349">
        <f t="shared" si="62"/>
        <v>9.7599024852310853E-2</v>
      </c>
      <c r="E983230" s="349">
        <v>5.2599024852310855E-2</v>
      </c>
      <c r="F983230" s="349">
        <v>0.15</v>
      </c>
    </row>
    <row r="983231" spans="1:6" ht="16">
      <c r="A983231" s="347" t="s">
        <v>346</v>
      </c>
      <c r="B983231" s="348" t="s">
        <v>615</v>
      </c>
      <c r="C983231" s="349">
        <v>0.17499999999999999</v>
      </c>
      <c r="D983231" s="349">
        <f t="shared" si="62"/>
        <v>0.27992692770782934</v>
      </c>
      <c r="E983231" s="349">
        <v>0.23492692770782936</v>
      </c>
      <c r="F983231" s="349">
        <v>0.34</v>
      </c>
    </row>
    <row r="983232" spans="1:6" ht="16">
      <c r="A983232" s="347" t="s">
        <v>347</v>
      </c>
      <c r="B983232" s="348" t="s">
        <v>576</v>
      </c>
      <c r="C983232" s="349">
        <v>3.2779436317050999E-2</v>
      </c>
      <c r="D983232" s="349">
        <f t="shared" si="62"/>
        <v>8.9004412948338496E-2</v>
      </c>
      <c r="E983232" s="349">
        <v>4.4004412948338498E-2</v>
      </c>
      <c r="F983232" s="349">
        <v>0.2</v>
      </c>
    </row>
    <row r="983233" spans="1:6" ht="16">
      <c r="A983233" s="350" t="s">
        <v>868</v>
      </c>
      <c r="B983233" s="348" t="s">
        <v>687</v>
      </c>
      <c r="C983233" s="349">
        <v>0.10896601681957191</v>
      </c>
      <c r="D983233" s="349">
        <f t="shared" si="62"/>
        <v>0.19128029460560964</v>
      </c>
      <c r="E983233" s="349">
        <v>0.14628029460560965</v>
      </c>
      <c r="F983233" s="349">
        <v>0.2</v>
      </c>
    </row>
    <row r="983234" spans="1:6" ht="16">
      <c r="A983234" s="347" t="s">
        <v>348</v>
      </c>
      <c r="B983234" s="348" t="s">
        <v>689</v>
      </c>
      <c r="C983234" s="349">
        <v>0.10896601681957188</v>
      </c>
      <c r="D983234" s="349">
        <f t="shared" si="62"/>
        <v>0.19128029460560964</v>
      </c>
      <c r="E983234" s="349">
        <v>0.14628029460560965</v>
      </c>
      <c r="F983234" s="349">
        <v>0.35</v>
      </c>
    </row>
    <row r="983235" spans="1:6" ht="16">
      <c r="A983235" s="351" t="s">
        <v>612</v>
      </c>
      <c r="B983235" s="348" t="s">
        <v>687</v>
      </c>
      <c r="C983235" s="349">
        <v>9.8082219604926024E-2</v>
      </c>
      <c r="D983235" s="349">
        <f t="shared" si="62"/>
        <v>0.17666945436885656</v>
      </c>
      <c r="E983235" s="349">
        <v>0.13166945436885658</v>
      </c>
      <c r="F983235" s="349">
        <v>0.25</v>
      </c>
    </row>
    <row r="983240" spans="1:6">
      <c r="A983240" s="354" t="s">
        <v>352</v>
      </c>
      <c r="B983240" s="355" t="s">
        <v>376</v>
      </c>
      <c r="C983240" s="355" t="s">
        <v>869</v>
      </c>
      <c r="D983240" s="355" t="s">
        <v>694</v>
      </c>
      <c r="E983240" s="355" t="s">
        <v>870</v>
      </c>
    </row>
    <row r="983241" spans="1:6">
      <c r="A983241" s="356" t="s">
        <v>355</v>
      </c>
      <c r="B983241" s="357">
        <f>$B$1+E983241</f>
        <v>0.13663852306889546</v>
      </c>
      <c r="C983241" s="357">
        <v>6.8262679351091926E-2</v>
      </c>
      <c r="D983241" s="357">
        <v>0.27302836489005694</v>
      </c>
      <c r="E983241" s="357">
        <v>9.1638523068895444E-2</v>
      </c>
    </row>
    <row r="983242" spans="1:6">
      <c r="A983242" s="356" t="s">
        <v>428</v>
      </c>
      <c r="B983242" s="357">
        <f t="shared" ref="B983242:B983250" si="63">$B$1+E983242</f>
        <v>6.1805405008578562E-2</v>
      </c>
      <c r="C983242" s="357">
        <v>1.2518555898193178E-2</v>
      </c>
      <c r="D983242" s="357">
        <v>0.2576437502455447</v>
      </c>
      <c r="E983242" s="357">
        <v>1.6805405008578567E-2</v>
      </c>
    </row>
    <row r="983243" spans="1:6">
      <c r="A983243" s="356" t="s">
        <v>357</v>
      </c>
      <c r="B983243" s="357">
        <f t="shared" si="63"/>
        <v>4.5047923618641933E-2</v>
      </c>
      <c r="C983243" s="357">
        <v>3.5698901544265913E-5</v>
      </c>
      <c r="D983243" s="357">
        <v>0.29744361328762281</v>
      </c>
      <c r="E983243" s="357">
        <v>4.7923618641935289E-5</v>
      </c>
    </row>
    <row r="983244" spans="1:6">
      <c r="A983244" s="356" t="s">
        <v>359</v>
      </c>
      <c r="B983244" s="357">
        <f t="shared" si="63"/>
        <v>0.1865348819700155</v>
      </c>
      <c r="C983244" s="357">
        <v>0.1054310997313879</v>
      </c>
      <c r="D983244" s="357">
        <v>0.2724561140242252</v>
      </c>
      <c r="E983244" s="357">
        <v>0.14153488197001549</v>
      </c>
    </row>
    <row r="983245" spans="1:6">
      <c r="A983245" s="356" t="s">
        <v>356</v>
      </c>
      <c r="B983245" s="357">
        <f t="shared" si="63"/>
        <v>0.10261091058162494</v>
      </c>
      <c r="C983245" s="357">
        <v>4.2915086193622262E-2</v>
      </c>
      <c r="D983245" s="357">
        <v>0.31595749426030023</v>
      </c>
      <c r="E983245" s="357">
        <v>5.7610910581624951E-2</v>
      </c>
    </row>
    <row r="983246" spans="1:6">
      <c r="A983246" s="356" t="s">
        <v>354</v>
      </c>
      <c r="B983246" s="357">
        <f t="shared" si="63"/>
        <v>9.5579383477192262E-2</v>
      </c>
      <c r="C983246" s="357">
        <v>3.7670398345457844E-2</v>
      </c>
      <c r="D983246" s="357">
        <v>0.18485819102180306</v>
      </c>
      <c r="E983246" s="357">
        <v>5.0579383477192263E-2</v>
      </c>
    </row>
    <row r="983247" spans="1:6">
      <c r="A983247" s="356" t="s">
        <v>360</v>
      </c>
      <c r="B983247" s="357">
        <f t="shared" si="63"/>
        <v>6.6589990892489848E-2</v>
      </c>
      <c r="C983247" s="357">
        <v>1.6082653627874467E-2</v>
      </c>
      <c r="D983247" s="357">
        <v>0.18760152153615242</v>
      </c>
      <c r="E983247" s="357">
        <v>2.1589990892489853E-2</v>
      </c>
    </row>
    <row r="983248" spans="1:6">
      <c r="A983248" s="356" t="s">
        <v>362</v>
      </c>
      <c r="B983248" s="357">
        <f t="shared" si="63"/>
        <v>4.4999999999999998E-2</v>
      </c>
      <c r="C983248" s="357">
        <v>0</v>
      </c>
      <c r="D983248" s="357">
        <v>0.25116286561170831</v>
      </c>
      <c r="E983248" s="357">
        <v>0</v>
      </c>
    </row>
    <row r="983249" spans="1:5">
      <c r="A983249" s="356" t="s">
        <v>353</v>
      </c>
      <c r="B983249" s="357">
        <f t="shared" si="63"/>
        <v>5.7871606293643366E-2</v>
      </c>
      <c r="C983249" s="357">
        <v>9.5882201472833571E-3</v>
      </c>
      <c r="D983249" s="357">
        <v>0.24707349543413576</v>
      </c>
      <c r="E983249" s="357">
        <v>1.2871606293643371E-2</v>
      </c>
    </row>
    <row r="983250" spans="1:5">
      <c r="A983250" s="356" t="s">
        <v>491</v>
      </c>
      <c r="B983250" s="357">
        <f t="shared" si="63"/>
        <v>6.3100000000000003E-2</v>
      </c>
      <c r="C983250" s="357">
        <v>1.35E-2</v>
      </c>
      <c r="D983250" s="357">
        <v>0.25225942509764748</v>
      </c>
      <c r="E983250" s="357">
        <v>1.8100000000000002E-2</v>
      </c>
    </row>
  </sheetData>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5"/>
  <sheetViews>
    <sheetView workbookViewId="0">
      <pane xSplit="1" ySplit="1" topLeftCell="B2" activePane="bottomRight" state="frozen"/>
      <selection pane="topRight" activeCell="B1" sqref="B1"/>
      <selection pane="bottomLeft" activeCell="A2" sqref="A2"/>
      <selection pane="bottomRight" sqref="A1:AA65536"/>
    </sheetView>
  </sheetViews>
  <sheetFormatPr baseColWidth="10" defaultColWidth="11.5" defaultRowHeight="13"/>
  <cols>
    <col min="1" max="1" width="33.6640625"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7" s="241" customFormat="1" ht="84">
      <c r="A1" s="358" t="s">
        <v>94</v>
      </c>
      <c r="B1" s="278" t="s">
        <v>171</v>
      </c>
      <c r="C1" s="359" t="s">
        <v>159</v>
      </c>
      <c r="D1" s="359" t="s">
        <v>616</v>
      </c>
      <c r="E1" s="359" t="s">
        <v>178</v>
      </c>
      <c r="F1" s="278" t="s">
        <v>160</v>
      </c>
      <c r="G1" s="278" t="s">
        <v>208</v>
      </c>
      <c r="H1" s="278" t="s">
        <v>161</v>
      </c>
      <c r="I1" s="278" t="s">
        <v>162</v>
      </c>
      <c r="J1" s="278" t="s">
        <v>163</v>
      </c>
      <c r="K1" s="278" t="s">
        <v>164</v>
      </c>
      <c r="L1" s="278" t="s">
        <v>165</v>
      </c>
      <c r="M1" s="278" t="s">
        <v>144</v>
      </c>
      <c r="N1" s="360" t="s">
        <v>97</v>
      </c>
      <c r="O1" s="278" t="s">
        <v>166</v>
      </c>
      <c r="P1" s="278" t="s">
        <v>167</v>
      </c>
      <c r="Q1" s="278" t="s">
        <v>168</v>
      </c>
      <c r="R1" s="278" t="s">
        <v>169</v>
      </c>
      <c r="S1" s="278" t="s">
        <v>170</v>
      </c>
      <c r="T1" s="278" t="s">
        <v>493</v>
      </c>
      <c r="U1" s="278" t="s">
        <v>494</v>
      </c>
      <c r="V1" s="278" t="s">
        <v>495</v>
      </c>
      <c r="W1" s="278" t="s">
        <v>496</v>
      </c>
      <c r="X1" s="358" t="s">
        <v>480</v>
      </c>
      <c r="Y1" s="358" t="s">
        <v>497</v>
      </c>
      <c r="Z1" s="358" t="s">
        <v>498</v>
      </c>
      <c r="AA1" s="278" t="s">
        <v>623</v>
      </c>
    </row>
    <row r="2" spans="1:27" ht="14">
      <c r="A2" s="244" t="s">
        <v>95</v>
      </c>
      <c r="B2" s="122">
        <v>57</v>
      </c>
      <c r="C2" s="245">
        <v>0.11568399999999998</v>
      </c>
      <c r="D2" s="245">
        <v>9.6130213372469048E-2</v>
      </c>
      <c r="E2" s="245">
        <v>0.31515111490453068</v>
      </c>
      <c r="F2" s="245">
        <v>0.20554353210253967</v>
      </c>
      <c r="G2" s="246">
        <v>1.1806104386629273</v>
      </c>
      <c r="H2" s="246">
        <v>1.3723256229214125</v>
      </c>
      <c r="I2" s="245">
        <v>0.10192697865438498</v>
      </c>
      <c r="J2" s="245">
        <v>0.56414425301504312</v>
      </c>
      <c r="K2" s="245">
        <v>5.3524000000000002E-2</v>
      </c>
      <c r="L2" s="245">
        <v>0.25241808479709577</v>
      </c>
      <c r="M2" s="245">
        <v>8.633158509130047E-2</v>
      </c>
      <c r="N2" s="246">
        <v>3.2834030413330759</v>
      </c>
      <c r="O2" s="246">
        <v>2.2595129005604955</v>
      </c>
      <c r="P2" s="246">
        <v>12.940312997421533</v>
      </c>
      <c r="Q2" s="246">
        <v>22.238594038328291</v>
      </c>
      <c r="R2" s="246">
        <v>5.7632981253415299</v>
      </c>
      <c r="S2" s="246">
        <v>175.73470187151344</v>
      </c>
      <c r="T2" s="245">
        <v>1.2534141364144605E-2</v>
      </c>
      <c r="U2" s="245">
        <v>1.8346746746974021E-2</v>
      </c>
      <c r="V2" s="245">
        <v>-1.6886086216883787E-2</v>
      </c>
      <c r="W2" s="245">
        <v>-9.9340600189793196E-3</v>
      </c>
      <c r="X2" s="245">
        <v>3.2541006196152036E-2</v>
      </c>
      <c r="Y2" s="245">
        <v>2.828444643801165</v>
      </c>
      <c r="Z2" s="245">
        <v>2.828444643801165</v>
      </c>
      <c r="AA2" s="247">
        <v>0.10140072310597556</v>
      </c>
    </row>
    <row r="3" spans="1:27" ht="14">
      <c r="A3" s="244" t="s">
        <v>695</v>
      </c>
      <c r="B3" s="122">
        <v>70</v>
      </c>
      <c r="C3" s="245">
        <v>7.5882564102564082E-2</v>
      </c>
      <c r="D3" s="245">
        <v>8.5393846789115893E-2</v>
      </c>
      <c r="E3" s="245">
        <v>0.16167717664340658</v>
      </c>
      <c r="F3" s="245">
        <v>0.15449878451886198</v>
      </c>
      <c r="G3" s="246">
        <v>0.93085354059484426</v>
      </c>
      <c r="H3" s="246">
        <v>1.0764050153356324</v>
      </c>
      <c r="I3" s="245">
        <v>8.8314630705439087E-2</v>
      </c>
      <c r="J3" s="245">
        <v>0.36402149671230677</v>
      </c>
      <c r="K3" s="245">
        <v>5.0854999999999997E-2</v>
      </c>
      <c r="L3" s="245">
        <v>0.20291777620162876</v>
      </c>
      <c r="M3" s="245">
        <v>7.8133559868173677E-2</v>
      </c>
      <c r="N3" s="246">
        <v>1.9843395804666923</v>
      </c>
      <c r="O3" s="246">
        <v>2.478314246749687</v>
      </c>
      <c r="P3" s="246">
        <v>18.488711603269998</v>
      </c>
      <c r="Q3" s="246">
        <v>28.310279485536824</v>
      </c>
      <c r="R3" s="246">
        <v>5.0771568796832156</v>
      </c>
      <c r="S3" s="246">
        <v>32.517250905909876</v>
      </c>
      <c r="T3" s="245">
        <v>0.45042764203965496</v>
      </c>
      <c r="U3" s="245">
        <v>2.8342846696895605E-2</v>
      </c>
      <c r="V3" s="245">
        <v>2.282923210385782E-2</v>
      </c>
      <c r="W3" s="245">
        <v>0.39247743028218712</v>
      </c>
      <c r="X3" s="245">
        <v>0.13191483651952815</v>
      </c>
      <c r="Y3" s="245">
        <v>0.53694697197206931</v>
      </c>
      <c r="Z3" s="245">
        <v>0.53694697197206931</v>
      </c>
      <c r="AA3" s="247">
        <v>8.7701154266332376E-2</v>
      </c>
    </row>
    <row r="4" spans="1:27" ht="14">
      <c r="A4" s="244" t="s">
        <v>696</v>
      </c>
      <c r="B4" s="122">
        <v>25</v>
      </c>
      <c r="C4" s="245">
        <v>2.9028333333333337E-2</v>
      </c>
      <c r="D4" s="245">
        <v>6.8956114823073109E-2</v>
      </c>
      <c r="E4" s="245">
        <v>0.1092325173386668</v>
      </c>
      <c r="F4" s="245">
        <v>0.23528767545229368</v>
      </c>
      <c r="G4" s="246">
        <v>0.64018804683047448</v>
      </c>
      <c r="H4" s="246">
        <v>1.2668401714816373</v>
      </c>
      <c r="I4" s="245">
        <v>9.7074647888155313E-2</v>
      </c>
      <c r="J4" s="245">
        <v>0.44650998921901031</v>
      </c>
      <c r="K4" s="245">
        <v>5.0854999999999997E-2</v>
      </c>
      <c r="L4" s="245">
        <v>0.61854039037606257</v>
      </c>
      <c r="M4" s="245">
        <v>6.062196095222791E-2</v>
      </c>
      <c r="N4" s="246">
        <v>1.7773199625336142</v>
      </c>
      <c r="O4" s="246">
        <v>0.90579180310273899</v>
      </c>
      <c r="P4" s="246">
        <v>6.1674965255190735</v>
      </c>
      <c r="Q4" s="246">
        <v>13.024537501330959</v>
      </c>
      <c r="R4" s="246">
        <v>2.2359420389310194</v>
      </c>
      <c r="S4" s="246">
        <v>12.658954105086503</v>
      </c>
      <c r="T4" s="245">
        <v>1.0944385248270856E-2</v>
      </c>
      <c r="U4" s="245">
        <v>0.11159925638117965</v>
      </c>
      <c r="V4" s="245">
        <v>6.7202754627620362E-2</v>
      </c>
      <c r="W4" s="245">
        <v>1.1858967293486484</v>
      </c>
      <c r="X4" s="245">
        <v>0.219363538879951</v>
      </c>
      <c r="Y4" s="245">
        <v>7.8632719088479394E-2</v>
      </c>
      <c r="Z4" s="245">
        <v>7.8632719088479353E-2</v>
      </c>
      <c r="AA4" s="247">
        <v>6.7227109104728219E-2</v>
      </c>
    </row>
    <row r="5" spans="1:27" ht="14">
      <c r="A5" s="244" t="s">
        <v>697</v>
      </c>
      <c r="B5" s="122">
        <v>38</v>
      </c>
      <c r="C5" s="245">
        <v>5.7186000000000001E-2</v>
      </c>
      <c r="D5" s="245">
        <v>8.7577811977779155E-2</v>
      </c>
      <c r="E5" s="245">
        <v>0.15293487788906657</v>
      </c>
      <c r="F5" s="245">
        <v>0.32165919331897802</v>
      </c>
      <c r="G5" s="246">
        <v>0.92957565005501674</v>
      </c>
      <c r="H5" s="246">
        <v>1.1946998769689117</v>
      </c>
      <c r="I5" s="245">
        <v>9.3756194340569934E-2</v>
      </c>
      <c r="J5" s="245">
        <v>0.37035509904588476</v>
      </c>
      <c r="K5" s="245">
        <v>5.0854999999999997E-2</v>
      </c>
      <c r="L5" s="245">
        <v>0.3277875013609528</v>
      </c>
      <c r="M5" s="245">
        <v>7.5526310696846052E-2</v>
      </c>
      <c r="N5" s="246">
        <v>1.7730762352050577</v>
      </c>
      <c r="O5" s="246">
        <v>1.2013803591525696</v>
      </c>
      <c r="P5" s="246">
        <v>7.9181161902182877</v>
      </c>
      <c r="Q5" s="246">
        <v>12.388401308447197</v>
      </c>
      <c r="R5" s="246">
        <v>2.5581525508953336</v>
      </c>
      <c r="S5" s="246">
        <v>18.688545427356651</v>
      </c>
      <c r="T5" s="245">
        <v>0.24650261726088157</v>
      </c>
      <c r="U5" s="245">
        <v>2.41727298617933E-2</v>
      </c>
      <c r="V5" s="245">
        <v>5.3650838666078442E-3</v>
      </c>
      <c r="W5" s="245">
        <v>-7.2858762711417155E-2</v>
      </c>
      <c r="X5" s="245">
        <v>9.204171598277805E-2</v>
      </c>
      <c r="Y5" s="245">
        <v>0.74982998278991408</v>
      </c>
      <c r="Z5" s="245">
        <v>0.74982998278991408</v>
      </c>
      <c r="AA5" s="247">
        <v>9.6042064560311724E-2</v>
      </c>
    </row>
    <row r="6" spans="1:27" ht="14">
      <c r="A6" s="244" t="s">
        <v>505</v>
      </c>
      <c r="B6" s="122">
        <v>34</v>
      </c>
      <c r="C6" s="245">
        <v>0.21942111111111109</v>
      </c>
      <c r="D6" s="245">
        <v>4.8197319767260507E-2</v>
      </c>
      <c r="E6" s="245">
        <v>5.1866325086608607E-2</v>
      </c>
      <c r="F6" s="245">
        <v>0.13206977576521484</v>
      </c>
      <c r="G6" s="246">
        <v>1.3040309184380587</v>
      </c>
      <c r="H6" s="246">
        <v>1.5223779065768546</v>
      </c>
      <c r="I6" s="245">
        <v>0.10882938370253531</v>
      </c>
      <c r="J6" s="245">
        <v>0.59698514250325996</v>
      </c>
      <c r="K6" s="245">
        <v>5.3524000000000002E-2</v>
      </c>
      <c r="L6" s="245">
        <v>0.23675434053330363</v>
      </c>
      <c r="M6" s="245">
        <v>9.2567584225424104E-2</v>
      </c>
      <c r="N6" s="246">
        <v>1.0487316786221139</v>
      </c>
      <c r="O6" s="246">
        <v>2.4924481910179397</v>
      </c>
      <c r="P6" s="246">
        <v>21.649291457975476</v>
      </c>
      <c r="Q6" s="246">
        <v>49.578165599480705</v>
      </c>
      <c r="R6" s="246">
        <v>4.5988812443196219</v>
      </c>
      <c r="S6" s="246">
        <v>21.120152874872904</v>
      </c>
      <c r="T6" s="245">
        <v>-2.1993841210595461E-2</v>
      </c>
      <c r="U6" s="245">
        <v>6.409275484587712E-2</v>
      </c>
      <c r="V6" s="245">
        <v>2.6576673289955756E-2</v>
      </c>
      <c r="W6" s="245">
        <v>0.81471031512595593</v>
      </c>
      <c r="X6" s="245">
        <v>9.3709081086337465E-2</v>
      </c>
      <c r="Y6" s="245">
        <v>0.35459224927693617</v>
      </c>
      <c r="Z6" s="245">
        <v>0.35459224927693622</v>
      </c>
      <c r="AA6" s="247">
        <v>5.097954162021133E-2</v>
      </c>
    </row>
    <row r="7" spans="1:27" ht="14">
      <c r="A7" s="244" t="s">
        <v>698</v>
      </c>
      <c r="B7" s="122">
        <v>39</v>
      </c>
      <c r="C7" s="245">
        <v>6.2846956521739161E-2</v>
      </c>
      <c r="D7" s="245">
        <v>5.3068985394390568E-2</v>
      </c>
      <c r="E7" s="245">
        <v>0.10156047044070848</v>
      </c>
      <c r="F7" s="245">
        <v>0.2795040993246159</v>
      </c>
      <c r="G7" s="246">
        <v>1.1211038704345888</v>
      </c>
      <c r="H7" s="246">
        <v>1.3444265903808044</v>
      </c>
      <c r="I7" s="245">
        <v>0.100643623157517</v>
      </c>
      <c r="J7" s="245">
        <v>0.37071964001600449</v>
      </c>
      <c r="K7" s="245">
        <v>5.0854999999999997E-2</v>
      </c>
      <c r="L7" s="245">
        <v>0.2776627158727018</v>
      </c>
      <c r="M7" s="245">
        <v>8.3289044478111765E-2</v>
      </c>
      <c r="N7" s="246">
        <v>2.0047909637588615</v>
      </c>
      <c r="O7" s="246">
        <v>0.81660915840074455</v>
      </c>
      <c r="P7" s="246">
        <v>7.0555269605485504</v>
      </c>
      <c r="Q7" s="246">
        <v>14.11643631329104</v>
      </c>
      <c r="R7" s="246">
        <v>1.9975303469056522</v>
      </c>
      <c r="S7" s="246">
        <v>39.033424628609531</v>
      </c>
      <c r="T7" s="245">
        <v>0.15450924675978886</v>
      </c>
      <c r="U7" s="245">
        <v>3.7078148075236982E-2</v>
      </c>
      <c r="V7" s="245">
        <v>3.1693603646353471E-2</v>
      </c>
      <c r="W7" s="245">
        <v>0.95183324795159374</v>
      </c>
      <c r="X7" s="245">
        <v>5.7236136729090913E-2</v>
      </c>
      <c r="Y7" s="245">
        <v>0.4536555295436519</v>
      </c>
      <c r="Z7" s="245">
        <v>0.45365552954365196</v>
      </c>
      <c r="AA7" s="247">
        <v>5.8520548536996245E-2</v>
      </c>
    </row>
    <row r="8" spans="1:27" ht="14">
      <c r="A8" s="244" t="s">
        <v>699</v>
      </c>
      <c r="B8" s="122">
        <v>15</v>
      </c>
      <c r="C8" s="245">
        <v>7.2753846153846155E-2</v>
      </c>
      <c r="D8" s="245">
        <v>0</v>
      </c>
      <c r="E8" s="245">
        <v>1.7809965864835952E-4</v>
      </c>
      <c r="F8" s="245">
        <v>0.15860164261163576</v>
      </c>
      <c r="G8" s="246">
        <v>0.64400511784529801</v>
      </c>
      <c r="H8" s="246">
        <v>1.0613761697933088</v>
      </c>
      <c r="I8" s="245">
        <v>8.7623303810492215E-2</v>
      </c>
      <c r="J8" s="245">
        <v>0.22510527234137442</v>
      </c>
      <c r="K8" s="245">
        <v>4.5043E-2</v>
      </c>
      <c r="L8" s="245">
        <v>0.68370660862510779</v>
      </c>
      <c r="M8" s="245">
        <v>5.0811819504918643E-2</v>
      </c>
      <c r="N8" s="246">
        <v>0.26645699933051714</v>
      </c>
      <c r="O8" s="246">
        <v>5.265879881670676</v>
      </c>
      <c r="P8" s="246" t="s">
        <v>96</v>
      </c>
      <c r="Q8" s="246" t="s">
        <v>96</v>
      </c>
      <c r="R8" s="246">
        <v>1.0492601893677032</v>
      </c>
      <c r="S8" s="246">
        <v>8.547358658097874</v>
      </c>
      <c r="T8" s="245" t="s">
        <v>96</v>
      </c>
      <c r="U8" s="245">
        <v>1.9731137380717412E-2</v>
      </c>
      <c r="V8" s="245">
        <v>1.2953142452475423E-2</v>
      </c>
      <c r="W8" s="245">
        <v>55.728776313853096</v>
      </c>
      <c r="X8" s="245">
        <v>0.14874034732315899</v>
      </c>
      <c r="Y8" s="245">
        <v>0.24337970298838549</v>
      </c>
      <c r="Z8" s="245">
        <v>0.24337970298838552</v>
      </c>
      <c r="AA8" s="247">
        <v>8.1200893217945561E-4</v>
      </c>
    </row>
    <row r="9" spans="1:27" ht="14">
      <c r="A9" s="244" t="s">
        <v>700</v>
      </c>
      <c r="B9" s="122">
        <v>625</v>
      </c>
      <c r="C9" s="245">
        <v>9.2156242299794702E-2</v>
      </c>
      <c r="D9" s="245">
        <v>3.6415348617892096E-8</v>
      </c>
      <c r="E9" s="245">
        <v>-5.3374958145126011E-4</v>
      </c>
      <c r="F9" s="245">
        <v>0.20724129233055669</v>
      </c>
      <c r="G9" s="246">
        <v>0.33336660673496787</v>
      </c>
      <c r="H9" s="246">
        <v>0.46115813409367462</v>
      </c>
      <c r="I9" s="245">
        <v>6.0013274168309032E-2</v>
      </c>
      <c r="J9" s="245">
        <v>0.1867735328629955</v>
      </c>
      <c r="K9" s="245">
        <v>4.5043E-2</v>
      </c>
      <c r="L9" s="245">
        <v>0.50481828844665777</v>
      </c>
      <c r="M9" s="245">
        <v>4.677137344346035E-2</v>
      </c>
      <c r="N9" s="246">
        <v>0.3671924593155293</v>
      </c>
      <c r="O9" s="246">
        <v>4.4737564903858402</v>
      </c>
      <c r="P9" s="246" t="s">
        <v>96</v>
      </c>
      <c r="Q9" s="246" t="s">
        <v>96</v>
      </c>
      <c r="R9" s="246">
        <v>1.0188589222331499</v>
      </c>
      <c r="S9" s="246">
        <v>35.966292420385749</v>
      </c>
      <c r="T9" s="245" t="s">
        <v>96</v>
      </c>
      <c r="U9" s="245">
        <v>2.7336820130708508E-2</v>
      </c>
      <c r="V9" s="245">
        <v>-0.10087904726752299</v>
      </c>
      <c r="W9" s="245" t="s">
        <v>96</v>
      </c>
      <c r="X9" s="245">
        <v>0.12142592116953591</v>
      </c>
      <c r="Y9" s="245">
        <v>0.32014617865318346</v>
      </c>
      <c r="Z9" s="245">
        <v>0.3201461786531834</v>
      </c>
      <c r="AA9" s="247">
        <v>-1.7660881241903206E-3</v>
      </c>
    </row>
    <row r="10" spans="1:27" ht="14">
      <c r="A10" s="244" t="s">
        <v>701</v>
      </c>
      <c r="B10" s="122">
        <v>19</v>
      </c>
      <c r="C10" s="245">
        <v>0.12062222222222224</v>
      </c>
      <c r="D10" s="245">
        <v>0.20626605729454345</v>
      </c>
      <c r="E10" s="245">
        <v>0.16670846804136458</v>
      </c>
      <c r="F10" s="245">
        <v>0.25595531935006144</v>
      </c>
      <c r="G10" s="246">
        <v>0.97026335212736425</v>
      </c>
      <c r="H10" s="246">
        <v>1.1318349126688121</v>
      </c>
      <c r="I10" s="245">
        <v>9.0864405982765351E-2</v>
      </c>
      <c r="J10" s="245">
        <v>0.4970414041193621</v>
      </c>
      <c r="K10" s="245">
        <v>5.0854999999999997E-2</v>
      </c>
      <c r="L10" s="245">
        <v>0.19656022020066688</v>
      </c>
      <c r="M10" s="245">
        <v>8.0501130833118884E-2</v>
      </c>
      <c r="N10" s="246">
        <v>0.89682311533521308</v>
      </c>
      <c r="O10" s="246">
        <v>3.8916686876869191</v>
      </c>
      <c r="P10" s="246">
        <v>14.843529532980639</v>
      </c>
      <c r="Q10" s="246">
        <v>18.678840886226705</v>
      </c>
      <c r="R10" s="246">
        <v>3.0993348768756093</v>
      </c>
      <c r="S10" s="246">
        <v>35.375901073895371</v>
      </c>
      <c r="T10" s="245">
        <v>0.17116248155736727</v>
      </c>
      <c r="U10" s="245">
        <v>7.6631776152694453E-2</v>
      </c>
      <c r="V10" s="245">
        <v>9.390305849002889E-2</v>
      </c>
      <c r="W10" s="245">
        <v>0.90812968595804455</v>
      </c>
      <c r="X10" s="245">
        <v>8.69908980857384E-2</v>
      </c>
      <c r="Y10" s="245">
        <v>0.54634665208152333</v>
      </c>
      <c r="Z10" s="245">
        <v>0.54634665208152333</v>
      </c>
      <c r="AA10" s="247">
        <v>0.20751043151831927</v>
      </c>
    </row>
    <row r="11" spans="1:27" ht="14">
      <c r="A11" s="244" t="s">
        <v>702</v>
      </c>
      <c r="B11" s="122">
        <v>29</v>
      </c>
      <c r="C11" s="245">
        <v>0.28579076923076918</v>
      </c>
      <c r="D11" s="245">
        <v>0.19303402977387185</v>
      </c>
      <c r="E11" s="245">
        <v>0.3065163030779624</v>
      </c>
      <c r="F11" s="245">
        <v>0.18728623048491203</v>
      </c>
      <c r="G11" s="246">
        <v>0.70183334721111912</v>
      </c>
      <c r="H11" s="246">
        <v>0.76414587542458534</v>
      </c>
      <c r="I11" s="245">
        <v>7.3950710269530928E-2</v>
      </c>
      <c r="J11" s="245">
        <v>0.42961071148670704</v>
      </c>
      <c r="K11" s="245">
        <v>5.0854999999999997E-2</v>
      </c>
      <c r="L11" s="245">
        <v>0.14615787524295451</v>
      </c>
      <c r="M11" s="245">
        <v>6.8716875642939296E-2</v>
      </c>
      <c r="N11" s="246">
        <v>1.6931990505110932</v>
      </c>
      <c r="O11" s="246">
        <v>4.164625625009446</v>
      </c>
      <c r="P11" s="246">
        <v>18.067516918352702</v>
      </c>
      <c r="Q11" s="246">
        <v>21.467253635523878</v>
      </c>
      <c r="R11" s="246">
        <v>7.4226028259444998</v>
      </c>
      <c r="S11" s="246">
        <v>33.673065255533182</v>
      </c>
      <c r="T11" s="245">
        <v>-7.1416168745672318E-2</v>
      </c>
      <c r="U11" s="245">
        <v>4.6538312568521902E-2</v>
      </c>
      <c r="V11" s="245">
        <v>2.386992815326883E-2</v>
      </c>
      <c r="W11" s="245">
        <v>0.25676455571759477</v>
      </c>
      <c r="X11" s="245">
        <v>0.30557353679830446</v>
      </c>
      <c r="Y11" s="245">
        <v>0.6638966866591276</v>
      </c>
      <c r="Z11" s="245">
        <v>0.6638966866591276</v>
      </c>
      <c r="AA11" s="247">
        <v>0.19397268289715019</v>
      </c>
    </row>
    <row r="12" spans="1:27" ht="14">
      <c r="A12" s="244" t="s">
        <v>703</v>
      </c>
      <c r="B12" s="122">
        <v>22</v>
      </c>
      <c r="C12" s="245">
        <v>5.4847058823529415E-2</v>
      </c>
      <c r="D12" s="245">
        <v>0.11778498155713862</v>
      </c>
      <c r="E12" s="245">
        <v>0.12063888924002568</v>
      </c>
      <c r="F12" s="245">
        <v>0.26271149782887182</v>
      </c>
      <c r="G12" s="246">
        <v>0.49975667452480371</v>
      </c>
      <c r="H12" s="246">
        <v>1.0609243999049403</v>
      </c>
      <c r="I12" s="245">
        <v>8.7602522395627255E-2</v>
      </c>
      <c r="J12" s="245">
        <v>0.38457133667076027</v>
      </c>
      <c r="K12" s="245">
        <v>5.0854999999999997E-2</v>
      </c>
      <c r="L12" s="245">
        <v>0.63820798682921376</v>
      </c>
      <c r="M12" s="245">
        <v>5.603594331400262E-2</v>
      </c>
      <c r="N12" s="246">
        <v>1.1159893806472496</v>
      </c>
      <c r="O12" s="246">
        <v>1.2533019633843616</v>
      </c>
      <c r="P12" s="246">
        <v>7.3098296438361263</v>
      </c>
      <c r="Q12" s="246">
        <v>10.673057550494407</v>
      </c>
      <c r="R12" s="246">
        <v>0.80101351287155709</v>
      </c>
      <c r="S12" s="246">
        <v>7.8167811735331334</v>
      </c>
      <c r="T12" s="245">
        <v>0.10922957427443249</v>
      </c>
      <c r="U12" s="245">
        <v>2.5150013344556445E-2</v>
      </c>
      <c r="V12" s="245">
        <v>-2.0612152442738167E-2</v>
      </c>
      <c r="W12" s="245">
        <v>2.1143668601085928</v>
      </c>
      <c r="X12" s="245">
        <v>-2.1565149058570276E-2</v>
      </c>
      <c r="Y12" s="245">
        <v>2.1958759739129407E-3</v>
      </c>
      <c r="Z12" s="245">
        <v>2.1958759739129086E-3</v>
      </c>
      <c r="AA12" s="247">
        <v>0.11731512451023196</v>
      </c>
    </row>
    <row r="13" spans="1:27" ht="14">
      <c r="A13" s="244" t="s">
        <v>704</v>
      </c>
      <c r="B13" s="122">
        <v>27</v>
      </c>
      <c r="C13" s="245">
        <v>0.12787473684210526</v>
      </c>
      <c r="D13" s="245">
        <v>7.7058531092326328E-3</v>
      </c>
      <c r="E13" s="245">
        <v>1.307446941021954E-3</v>
      </c>
      <c r="F13" s="245">
        <v>0.21046665127451775</v>
      </c>
      <c r="G13" s="246">
        <v>0.55077822149952105</v>
      </c>
      <c r="H13" s="246">
        <v>1.120326193984736</v>
      </c>
      <c r="I13" s="245">
        <v>9.0335004923297851E-2</v>
      </c>
      <c r="J13" s="245">
        <v>0.25213732428210645</v>
      </c>
      <c r="K13" s="245">
        <v>5.0854999999999997E-2</v>
      </c>
      <c r="L13" s="245">
        <v>0.69330765887708945</v>
      </c>
      <c r="M13" s="245">
        <v>5.4148674889421655E-2</v>
      </c>
      <c r="N13" s="246">
        <v>0.27949922437037333</v>
      </c>
      <c r="O13" s="246">
        <v>5.6097535469357611</v>
      </c>
      <c r="P13" s="246" t="s">
        <v>96</v>
      </c>
      <c r="Q13" s="246" t="s">
        <v>96</v>
      </c>
      <c r="R13" s="246">
        <v>1.6565413108416178</v>
      </c>
      <c r="S13" s="246">
        <v>222.18514648652769</v>
      </c>
      <c r="T13" s="245" t="s">
        <v>96</v>
      </c>
      <c r="U13" s="245">
        <v>3.4125847634679171E-2</v>
      </c>
      <c r="V13" s="245">
        <v>1.6766162791348155E-2</v>
      </c>
      <c r="W13" s="245">
        <v>56.433655889964861</v>
      </c>
      <c r="X13" s="245">
        <v>0.10413110832014963</v>
      </c>
      <c r="Y13" s="245">
        <v>0.4352511082051424</v>
      </c>
      <c r="Z13" s="245">
        <v>0.43525110820514246</v>
      </c>
      <c r="AA13" s="247">
        <v>5.7932474418426055E-3</v>
      </c>
    </row>
    <row r="14" spans="1:27" ht="14">
      <c r="A14" s="244" t="s">
        <v>705</v>
      </c>
      <c r="B14" s="122">
        <v>44</v>
      </c>
      <c r="C14" s="245">
        <v>6.4077647058823517E-2</v>
      </c>
      <c r="D14" s="245">
        <v>0.13549668839875367</v>
      </c>
      <c r="E14" s="245">
        <v>0.25267057444947799</v>
      </c>
      <c r="F14" s="245">
        <v>0.24749103744997217</v>
      </c>
      <c r="G14" s="246">
        <v>1.2090471865786552</v>
      </c>
      <c r="H14" s="246">
        <v>1.3177985305249351</v>
      </c>
      <c r="I14" s="245">
        <v>9.9418732404147017E-2</v>
      </c>
      <c r="J14" s="245">
        <v>0.28715879840268466</v>
      </c>
      <c r="K14" s="245">
        <v>5.0854999999999997E-2</v>
      </c>
      <c r="L14" s="245">
        <v>0.15361123144803443</v>
      </c>
      <c r="M14" s="245">
        <v>9.0005822872010727E-2</v>
      </c>
      <c r="N14" s="246">
        <v>2.2882186586804418</v>
      </c>
      <c r="O14" s="246">
        <v>2.1109365215921261</v>
      </c>
      <c r="P14" s="246">
        <v>12.010468803767779</v>
      </c>
      <c r="Q14" s="246">
        <v>15.394243623712891</v>
      </c>
      <c r="R14" s="246">
        <v>4.735200284670956</v>
      </c>
      <c r="S14" s="246">
        <v>24.847889315631068</v>
      </c>
      <c r="T14" s="245">
        <v>0.18356211311341869</v>
      </c>
      <c r="U14" s="245">
        <v>3.2512733848203627E-2</v>
      </c>
      <c r="V14" s="245">
        <v>2.4513125773923429E-2</v>
      </c>
      <c r="W14" s="245">
        <v>-7.6166544925225102E-3</v>
      </c>
      <c r="X14" s="245">
        <v>0.21354650605206582</v>
      </c>
      <c r="Y14" s="245">
        <v>0.29019405797616848</v>
      </c>
      <c r="Z14" s="245">
        <v>0.29019405797616848</v>
      </c>
      <c r="AA14" s="247">
        <v>0.13773258950466172</v>
      </c>
    </row>
    <row r="15" spans="1:27" ht="14">
      <c r="A15" s="244" t="s">
        <v>706</v>
      </c>
      <c r="B15" s="122">
        <v>162</v>
      </c>
      <c r="C15" s="245">
        <v>6.6924269662921379E-2</v>
      </c>
      <c r="D15" s="245">
        <v>0.11098788170854047</v>
      </c>
      <c r="E15" s="245">
        <v>0.27452359974428153</v>
      </c>
      <c r="F15" s="245">
        <v>0.24242512766060723</v>
      </c>
      <c r="G15" s="246">
        <v>0.92964265743301178</v>
      </c>
      <c r="H15" s="246">
        <v>1.0221017216409709</v>
      </c>
      <c r="I15" s="245">
        <v>8.5816679195484663E-2</v>
      </c>
      <c r="J15" s="245">
        <v>0.41290054994468384</v>
      </c>
      <c r="K15" s="245">
        <v>5.0854999999999997E-2</v>
      </c>
      <c r="L15" s="245">
        <v>0.15210606535531057</v>
      </c>
      <c r="M15" s="245">
        <v>7.8564957246433781E-2</v>
      </c>
      <c r="N15" s="246">
        <v>2.7218927299604339</v>
      </c>
      <c r="O15" s="246">
        <v>2.6819987829385279</v>
      </c>
      <c r="P15" s="246">
        <v>16.123377912677118</v>
      </c>
      <c r="Q15" s="246">
        <v>23.493439699858502</v>
      </c>
      <c r="R15" s="246">
        <v>5.5355120575616938</v>
      </c>
      <c r="S15" s="246">
        <v>86.899382361961813</v>
      </c>
      <c r="T15" s="245">
        <v>0.13484425179191181</v>
      </c>
      <c r="U15" s="245">
        <v>2.9848449272908677E-2</v>
      </c>
      <c r="V15" s="245">
        <v>1.6940121240038436E-2</v>
      </c>
      <c r="W15" s="245">
        <v>0.25446821033167139</v>
      </c>
      <c r="X15" s="245">
        <v>0.1399754737551486</v>
      </c>
      <c r="Y15" s="245">
        <v>0.59783007780719277</v>
      </c>
      <c r="Z15" s="245">
        <v>0.59783007780719277</v>
      </c>
      <c r="AA15" s="247">
        <v>0.11307358791595411</v>
      </c>
    </row>
    <row r="16" spans="1:27" ht="14">
      <c r="A16" s="244" t="s">
        <v>707</v>
      </c>
      <c r="B16" s="122">
        <v>10</v>
      </c>
      <c r="C16" s="245">
        <v>0.16231666666666669</v>
      </c>
      <c r="D16" s="245">
        <v>0.19465081924755748</v>
      </c>
      <c r="E16" s="245">
        <v>0.11311872163563386</v>
      </c>
      <c r="F16" s="245">
        <v>0.25555176669754759</v>
      </c>
      <c r="G16" s="246">
        <v>0.73562954032076278</v>
      </c>
      <c r="H16" s="246">
        <v>1.2767983158980267</v>
      </c>
      <c r="I16" s="245">
        <v>9.7532722531309235E-2</v>
      </c>
      <c r="J16" s="245">
        <v>0.3300530419558696</v>
      </c>
      <c r="K16" s="245">
        <v>5.0854999999999997E-2</v>
      </c>
      <c r="L16" s="245">
        <v>0.50426003463258229</v>
      </c>
      <c r="M16" s="245">
        <v>6.7583976535791179E-2</v>
      </c>
      <c r="N16" s="246">
        <v>0.77672236932259209</v>
      </c>
      <c r="O16" s="246">
        <v>2.5465853835816081</v>
      </c>
      <c r="P16" s="246">
        <v>7.8008723610498603</v>
      </c>
      <c r="Q16" s="246">
        <v>13.348955942597875</v>
      </c>
      <c r="R16" s="246">
        <v>2.063094529414669</v>
      </c>
      <c r="S16" s="246">
        <v>16.12065991866249</v>
      </c>
      <c r="T16" s="245">
        <v>-9.7741192310436191E-4</v>
      </c>
      <c r="U16" s="245">
        <v>0.14079353806475833</v>
      </c>
      <c r="V16" s="245">
        <v>1.6512641327761278E-2</v>
      </c>
      <c r="W16" s="245">
        <v>0.15767366778442643</v>
      </c>
      <c r="X16" s="245">
        <v>0.19466771140821634</v>
      </c>
      <c r="Y16" s="245">
        <v>0.21927067291667543</v>
      </c>
      <c r="Z16" s="245">
        <v>0.21927067291667546</v>
      </c>
      <c r="AA16" s="247">
        <v>0.19087795085663556</v>
      </c>
    </row>
    <row r="17" spans="1:27" ht="14">
      <c r="A17" s="244" t="s">
        <v>708</v>
      </c>
      <c r="B17" s="122">
        <v>32</v>
      </c>
      <c r="C17" s="245">
        <v>0.11316100000000001</v>
      </c>
      <c r="D17" s="245">
        <v>7.8809382448858323E-2</v>
      </c>
      <c r="E17" s="245">
        <v>0.11808931523559212</v>
      </c>
      <c r="F17" s="245">
        <v>0.23971308008564993</v>
      </c>
      <c r="G17" s="246">
        <v>0.87469078478798268</v>
      </c>
      <c r="H17" s="246">
        <v>1.096267077331708</v>
      </c>
      <c r="I17" s="245">
        <v>8.9228285557258563E-2</v>
      </c>
      <c r="J17" s="245">
        <v>0.38924523542650602</v>
      </c>
      <c r="K17" s="245">
        <v>5.0854999999999997E-2</v>
      </c>
      <c r="L17" s="245">
        <v>0.31354657676699077</v>
      </c>
      <c r="M17" s="245">
        <v>7.3210120441106613E-2</v>
      </c>
      <c r="N17" s="246">
        <v>1.6175128141587387</v>
      </c>
      <c r="O17" s="246">
        <v>1.1499985705299101</v>
      </c>
      <c r="P17" s="246">
        <v>8.0995322699832801</v>
      </c>
      <c r="Q17" s="246">
        <v>14.05606834124257</v>
      </c>
      <c r="R17" s="246">
        <v>1.9757813391316583</v>
      </c>
      <c r="S17" s="246">
        <v>12.407994201775024</v>
      </c>
      <c r="T17" s="245">
        <v>0.14739172149447363</v>
      </c>
      <c r="U17" s="245">
        <v>5.5075323588956941E-2</v>
      </c>
      <c r="V17" s="245">
        <v>3.0793498175279994E-2</v>
      </c>
      <c r="W17" s="245">
        <v>0.17366700473212501</v>
      </c>
      <c r="X17" s="245">
        <v>8.8946041576985921E-2</v>
      </c>
      <c r="Y17" s="245">
        <v>1.3126657214952435</v>
      </c>
      <c r="Z17" s="245">
        <v>1.3126657214952435</v>
      </c>
      <c r="AA17" s="247">
        <v>8.0172535926678418E-2</v>
      </c>
    </row>
    <row r="18" spans="1:27" ht="14">
      <c r="A18" s="244" t="s">
        <v>709</v>
      </c>
      <c r="B18" s="122">
        <v>4</v>
      </c>
      <c r="C18" s="245">
        <v>-7.5500000000000038E-3</v>
      </c>
      <c r="D18" s="245">
        <v>1.5232688891083214E-2</v>
      </c>
      <c r="E18" s="245">
        <v>1.5720852535763625E-2</v>
      </c>
      <c r="F18" s="245">
        <v>0.44293366295838488</v>
      </c>
      <c r="G18" s="246">
        <v>0.81346085769352849</v>
      </c>
      <c r="H18" s="246">
        <v>1.1332797311390761</v>
      </c>
      <c r="I18" s="245">
        <v>9.0930867632397494E-2</v>
      </c>
      <c r="J18" s="245">
        <v>0.37242278384437877</v>
      </c>
      <c r="K18" s="245">
        <v>5.0854999999999997E-2</v>
      </c>
      <c r="L18" s="245">
        <v>0.41012862019663632</v>
      </c>
      <c r="M18" s="245">
        <v>6.9280334592114287E-2</v>
      </c>
      <c r="N18" s="246">
        <v>1.2786447256557913</v>
      </c>
      <c r="O18" s="246">
        <v>1.1597139266470613</v>
      </c>
      <c r="P18" s="246">
        <v>15.396063877133198</v>
      </c>
      <c r="Q18" s="246">
        <v>73.615159171578384</v>
      </c>
      <c r="R18" s="246">
        <v>1.9746042510627253</v>
      </c>
      <c r="S18" s="246">
        <v>30.527729815250837</v>
      </c>
      <c r="T18" s="245">
        <v>0.17621388838495999</v>
      </c>
      <c r="U18" s="245">
        <v>4.511777011805717E-2</v>
      </c>
      <c r="V18" s="245">
        <v>-5.7903354329949218E-3</v>
      </c>
      <c r="W18" s="245">
        <v>-5.556514170837235</v>
      </c>
      <c r="X18" s="245">
        <v>-2.3605004225089869E-2</v>
      </c>
      <c r="Y18" s="245">
        <v>1.037037037037037E-2</v>
      </c>
      <c r="Z18" s="245">
        <v>1.0370370370370363E-2</v>
      </c>
      <c r="AA18" s="247">
        <v>1.4639496833568348E-2</v>
      </c>
    </row>
    <row r="19" spans="1:27" ht="14">
      <c r="A19" s="244" t="s">
        <v>710</v>
      </c>
      <c r="B19" s="122">
        <v>68</v>
      </c>
      <c r="C19" s="245">
        <v>7.3318750000000016E-2</v>
      </c>
      <c r="D19" s="245">
        <v>0.13090390749762712</v>
      </c>
      <c r="E19" s="245">
        <v>0.13505275648152232</v>
      </c>
      <c r="F19" s="245">
        <v>0.18266700211687126</v>
      </c>
      <c r="G19" s="246">
        <v>0.93813574342911976</v>
      </c>
      <c r="H19" s="246">
        <v>1.0873832852797658</v>
      </c>
      <c r="I19" s="245">
        <v>8.8819631122869225E-2</v>
      </c>
      <c r="J19" s="245">
        <v>0.36600539277751015</v>
      </c>
      <c r="K19" s="245">
        <v>5.0854999999999997E-2</v>
      </c>
      <c r="L19" s="245">
        <v>0.21148852013848732</v>
      </c>
      <c r="M19" s="245">
        <v>7.8101735296179364E-2</v>
      </c>
      <c r="N19" s="246">
        <v>1.15732408251221</v>
      </c>
      <c r="O19" s="246">
        <v>2.6791416225374163</v>
      </c>
      <c r="P19" s="246">
        <v>12.849678147864511</v>
      </c>
      <c r="Q19" s="246">
        <v>19.995555424351952</v>
      </c>
      <c r="R19" s="246">
        <v>2.67276074057165</v>
      </c>
      <c r="S19" s="246">
        <v>60.901134435897625</v>
      </c>
      <c r="T19" s="245">
        <v>0.22747765886505658</v>
      </c>
      <c r="U19" s="245">
        <v>8.4587824919642812E-2</v>
      </c>
      <c r="V19" s="245">
        <v>9.8115172777548026E-2</v>
      </c>
      <c r="W19" s="245">
        <v>1.0348496791866486</v>
      </c>
      <c r="X19" s="245">
        <v>0.14943273384769459</v>
      </c>
      <c r="Y19" s="245">
        <v>0.33249927210754887</v>
      </c>
      <c r="Z19" s="245">
        <v>0.33249927210754882</v>
      </c>
      <c r="AA19" s="247">
        <v>0.1304736636407548</v>
      </c>
    </row>
    <row r="20" spans="1:27" ht="14">
      <c r="A20" s="244" t="s">
        <v>711</v>
      </c>
      <c r="B20" s="122">
        <v>18</v>
      </c>
      <c r="C20" s="245">
        <v>5.559999999999999E-2</v>
      </c>
      <c r="D20" s="245">
        <v>0.20509759118732937</v>
      </c>
      <c r="E20" s="245">
        <v>0.29497550992564786</v>
      </c>
      <c r="F20" s="245">
        <v>0.13126063867339174</v>
      </c>
      <c r="G20" s="246">
        <v>1.2427250283125129</v>
      </c>
      <c r="H20" s="246">
        <v>1.2707580825145446</v>
      </c>
      <c r="I20" s="245">
        <v>9.7254871795669051E-2</v>
      </c>
      <c r="J20" s="245">
        <v>0.55692259899700314</v>
      </c>
      <c r="K20" s="245">
        <v>5.3524000000000002E-2</v>
      </c>
      <c r="L20" s="245">
        <v>0.18396815851589854</v>
      </c>
      <c r="M20" s="245">
        <v>8.6748105912023726E-2</v>
      </c>
      <c r="N20" s="246">
        <v>1.4739520943470472</v>
      </c>
      <c r="O20" s="246">
        <v>1.329263856564374</v>
      </c>
      <c r="P20" s="246">
        <v>2.7528990930238861</v>
      </c>
      <c r="Q20" s="246">
        <v>4.0368281544460292</v>
      </c>
      <c r="R20" s="246">
        <v>1.7901440274639588</v>
      </c>
      <c r="S20" s="246">
        <v>91.912422983759726</v>
      </c>
      <c r="T20" s="245">
        <v>6.1300782894183045E-2</v>
      </c>
      <c r="U20" s="245">
        <v>9.3046119803254237E-2</v>
      </c>
      <c r="V20" s="245">
        <v>1.5940120019722653E-2</v>
      </c>
      <c r="W20" s="245">
        <v>0.13283664539899678</v>
      </c>
      <c r="X20" s="245">
        <v>0.29069215958320355</v>
      </c>
      <c r="Y20" s="245">
        <v>0.15155665948302102</v>
      </c>
      <c r="Z20" s="245">
        <v>0.15155665948302099</v>
      </c>
      <c r="AA20" s="247">
        <v>0.20552884089594509</v>
      </c>
    </row>
    <row r="21" spans="1:27" ht="14">
      <c r="A21" s="244" t="s">
        <v>712</v>
      </c>
      <c r="B21" s="122">
        <v>72</v>
      </c>
      <c r="C21" s="245">
        <v>0.10926473684210528</v>
      </c>
      <c r="D21" s="245">
        <v>6.9781750755169278E-2</v>
      </c>
      <c r="E21" s="245">
        <v>0.24167411086330845</v>
      </c>
      <c r="F21" s="245">
        <v>0.18859681218443272</v>
      </c>
      <c r="G21" s="246">
        <v>0.85869750711737747</v>
      </c>
      <c r="H21" s="246">
        <v>0.99732353782806837</v>
      </c>
      <c r="I21" s="245">
        <v>8.4676882740091136E-2</v>
      </c>
      <c r="J21" s="245">
        <v>0.49612772702274627</v>
      </c>
      <c r="K21" s="245">
        <v>5.0854999999999997E-2</v>
      </c>
      <c r="L21" s="245">
        <v>0.22566035729965525</v>
      </c>
      <c r="M21" s="245">
        <v>7.4175635228796638E-2</v>
      </c>
      <c r="N21" s="246">
        <v>3.5867521403435378</v>
      </c>
      <c r="O21" s="246">
        <v>1.3742206681743261</v>
      </c>
      <c r="P21" s="246">
        <v>12.610910959671749</v>
      </c>
      <c r="Q21" s="246">
        <v>18.862943171557092</v>
      </c>
      <c r="R21" s="246">
        <v>4.3745780390573517</v>
      </c>
      <c r="S21" s="246">
        <v>76.132199815532758</v>
      </c>
      <c r="T21" s="245">
        <v>0.13853121727988529</v>
      </c>
      <c r="U21" s="245">
        <v>1.2325750009423415E-2</v>
      </c>
      <c r="V21" s="245">
        <v>8.2343910033029176E-3</v>
      </c>
      <c r="W21" s="245">
        <v>0.23795588571918946</v>
      </c>
      <c r="X21" s="245">
        <v>0.18772570752648005</v>
      </c>
      <c r="Y21" s="245">
        <v>0.57072644434029085</v>
      </c>
      <c r="Z21" s="245">
        <v>0.57072644434029085</v>
      </c>
      <c r="AA21" s="247">
        <v>7.303438673884674E-2</v>
      </c>
    </row>
    <row r="22" spans="1:27" ht="14">
      <c r="A22" s="244" t="s">
        <v>713</v>
      </c>
      <c r="B22" s="122">
        <v>36</v>
      </c>
      <c r="C22" s="245">
        <v>2.3118148148148145E-2</v>
      </c>
      <c r="D22" s="245">
        <v>0.21063899949335566</v>
      </c>
      <c r="E22" s="245">
        <v>0.37798197124632166</v>
      </c>
      <c r="F22" s="245">
        <v>0.146118607992441</v>
      </c>
      <c r="G22" s="246">
        <v>1.1003543807483607</v>
      </c>
      <c r="H22" s="246">
        <v>1.1329223650294353</v>
      </c>
      <c r="I22" s="245">
        <v>9.0914428791354029E-2</v>
      </c>
      <c r="J22" s="245">
        <v>0.38898164531276785</v>
      </c>
      <c r="K22" s="245">
        <v>5.0854999999999997E-2</v>
      </c>
      <c r="L22" s="245">
        <v>5.7417446747048767E-2</v>
      </c>
      <c r="M22" s="245">
        <v>8.7884327608428986E-2</v>
      </c>
      <c r="N22" s="246">
        <v>1.9227871093142761</v>
      </c>
      <c r="O22" s="246">
        <v>5.5117305732812101</v>
      </c>
      <c r="P22" s="246">
        <v>21.831632280697495</v>
      </c>
      <c r="Q22" s="246">
        <v>25.971419409717786</v>
      </c>
      <c r="R22" s="246">
        <v>30.982880033408666</v>
      </c>
      <c r="S22" s="246">
        <v>31.833390779893396</v>
      </c>
      <c r="T22" s="245">
        <v>-9.8693444874868835E-2</v>
      </c>
      <c r="U22" s="245">
        <v>3.0597659642645401E-2</v>
      </c>
      <c r="V22" s="245">
        <v>9.0047013395217704E-3</v>
      </c>
      <c r="W22" s="245">
        <v>9.2441186690531002E-2</v>
      </c>
      <c r="X22" s="245">
        <v>-1.2342890084991339E-5</v>
      </c>
      <c r="Y22" s="245">
        <v>0.17443899392066986</v>
      </c>
      <c r="Z22" s="245">
        <v>0.17443899392066986</v>
      </c>
      <c r="AA22" s="247">
        <v>0.21483117342726249</v>
      </c>
    </row>
    <row r="23" spans="1:27" ht="14">
      <c r="A23" s="244" t="s">
        <v>714</v>
      </c>
      <c r="B23" s="122">
        <v>11</v>
      </c>
      <c r="C23" s="245">
        <v>9.3214285714285708E-2</v>
      </c>
      <c r="D23" s="245">
        <v>0.19042805922763226</v>
      </c>
      <c r="E23" s="245">
        <v>0.16917184600449708</v>
      </c>
      <c r="F23" s="245">
        <v>0.20587654716037279</v>
      </c>
      <c r="G23" s="246">
        <v>0.85045702070612572</v>
      </c>
      <c r="H23" s="246">
        <v>0.93781621828777395</v>
      </c>
      <c r="I23" s="245">
        <v>8.1939546041237599E-2</v>
      </c>
      <c r="J23" s="245">
        <v>0.30297083677405678</v>
      </c>
      <c r="K23" s="245">
        <v>5.0854999999999997E-2</v>
      </c>
      <c r="L23" s="245">
        <v>0.13984162501138236</v>
      </c>
      <c r="M23" s="245">
        <v>7.5814721150101336E-2</v>
      </c>
      <c r="N23" s="246">
        <v>1.0504344600135633</v>
      </c>
      <c r="O23" s="246">
        <v>4.0960651964189765</v>
      </c>
      <c r="P23" s="246">
        <v>14.937131868626217</v>
      </c>
      <c r="Q23" s="246">
        <v>21.867430131104488</v>
      </c>
      <c r="R23" s="246">
        <v>3.7678129120418093</v>
      </c>
      <c r="S23" s="246">
        <v>63.097848899177691</v>
      </c>
      <c r="T23" s="245">
        <v>0.22904316172646905</v>
      </c>
      <c r="U23" s="245">
        <v>9.466841831568E-2</v>
      </c>
      <c r="V23" s="245">
        <v>3.4544525640674763E-2</v>
      </c>
      <c r="W23" s="245">
        <v>0.39648111433244615</v>
      </c>
      <c r="X23" s="245">
        <v>0.1720397075859865</v>
      </c>
      <c r="Y23" s="245">
        <v>0.15193309779614278</v>
      </c>
      <c r="Z23" s="245">
        <v>0.15193309779614284</v>
      </c>
      <c r="AA23" s="247">
        <v>0.18714102189619572</v>
      </c>
    </row>
    <row r="24" spans="1:27" ht="14">
      <c r="A24" s="244" t="s">
        <v>715</v>
      </c>
      <c r="B24" s="122">
        <v>23</v>
      </c>
      <c r="C24" s="245">
        <v>6.9406363636363641E-2</v>
      </c>
      <c r="D24" s="245">
        <v>0.22931748516386233</v>
      </c>
      <c r="E24" s="245">
        <v>0.20395197737613438</v>
      </c>
      <c r="F24" s="245">
        <v>0.17651836241260768</v>
      </c>
      <c r="G24" s="246">
        <v>1.0923486152033832</v>
      </c>
      <c r="H24" s="246">
        <v>1.1948544445210565</v>
      </c>
      <c r="I24" s="245">
        <v>9.3763304447968598E-2</v>
      </c>
      <c r="J24" s="245">
        <v>0.5225050340018127</v>
      </c>
      <c r="K24" s="245">
        <v>5.3524000000000002E-2</v>
      </c>
      <c r="L24" s="245">
        <v>0.1607420785589129</v>
      </c>
      <c r="M24" s="245">
        <v>8.5144265258040405E-2</v>
      </c>
      <c r="N24" s="246">
        <v>0.93313862274715875</v>
      </c>
      <c r="O24" s="246">
        <v>2.4285333531334716</v>
      </c>
      <c r="P24" s="246">
        <v>8.9346371681963657</v>
      </c>
      <c r="Q24" s="246">
        <v>10.510496860016763</v>
      </c>
      <c r="R24" s="246">
        <v>1.8732585871718974</v>
      </c>
      <c r="S24" s="246">
        <v>13.800008820068092</v>
      </c>
      <c r="T24" s="245">
        <v>5.0020771018464777E-2</v>
      </c>
      <c r="U24" s="245">
        <v>4.4830248929640291E-2</v>
      </c>
      <c r="V24" s="245">
        <v>4.6101030377602686E-2</v>
      </c>
      <c r="W24" s="245">
        <v>0.25080420620828026</v>
      </c>
      <c r="X24" s="245">
        <v>0.15867710900985088</v>
      </c>
      <c r="Y24" s="245">
        <v>8.1605407127575316E-2</v>
      </c>
      <c r="Z24" s="245">
        <v>8.1605407127575358E-2</v>
      </c>
      <c r="AA24" s="247">
        <v>0.23068357288812125</v>
      </c>
    </row>
    <row r="25" spans="1:27" ht="14">
      <c r="A25" s="244" t="s">
        <v>716</v>
      </c>
      <c r="B25" s="122">
        <v>572</v>
      </c>
      <c r="C25" s="245">
        <v>0.18950851190476192</v>
      </c>
      <c r="D25" s="245">
        <v>1.0772125793898567E-2</v>
      </c>
      <c r="E25" s="245">
        <v>1.5551579144381567E-2</v>
      </c>
      <c r="F25" s="245">
        <v>0.16414119075344816</v>
      </c>
      <c r="G25" s="246">
        <v>1.0890964696256169</v>
      </c>
      <c r="H25" s="246">
        <v>1.1233547439492362</v>
      </c>
      <c r="I25" s="245">
        <v>9.0474318221664865E-2</v>
      </c>
      <c r="J25" s="245">
        <v>0.6198094773831897</v>
      </c>
      <c r="K25" s="245">
        <v>5.3524000000000002E-2</v>
      </c>
      <c r="L25" s="245">
        <v>0.14082267604024337</v>
      </c>
      <c r="M25" s="245">
        <v>8.3386527301056959E-2</v>
      </c>
      <c r="N25" s="246">
        <v>0.40681193428310364</v>
      </c>
      <c r="O25" s="246">
        <v>6.8880470352138108</v>
      </c>
      <c r="P25" s="246">
        <v>13.519816800069261</v>
      </c>
      <c r="Q25" s="246" t="s">
        <v>96</v>
      </c>
      <c r="R25" s="246">
        <v>6.135291677851848</v>
      </c>
      <c r="S25" s="246">
        <v>30.391605386786914</v>
      </c>
      <c r="T25" s="245">
        <v>9.9810417479148511E-2</v>
      </c>
      <c r="U25" s="245">
        <v>3.8231005472018041E-2</v>
      </c>
      <c r="V25" s="245">
        <v>3.468871974612317E-2</v>
      </c>
      <c r="W25" s="245" t="s">
        <v>96</v>
      </c>
      <c r="X25" s="245">
        <v>-0.11590040227481527</v>
      </c>
      <c r="Y25" s="245">
        <v>8.849667367975925E-4</v>
      </c>
      <c r="Z25" s="245">
        <v>8.8496673679760995E-4</v>
      </c>
      <c r="AA25" s="247">
        <v>3.8302994165288748E-2</v>
      </c>
    </row>
    <row r="26" spans="1:27" ht="14">
      <c r="A26" s="244" t="s">
        <v>717</v>
      </c>
      <c r="B26" s="122">
        <v>245</v>
      </c>
      <c r="C26" s="245">
        <v>0.41537666666666667</v>
      </c>
      <c r="D26" s="245">
        <v>0.1816047184019137</v>
      </c>
      <c r="E26" s="245">
        <v>0.13375270622156929</v>
      </c>
      <c r="F26" s="245">
        <v>0.14924679402968208</v>
      </c>
      <c r="G26" s="246">
        <v>0.94399768677855111</v>
      </c>
      <c r="H26" s="246">
        <v>1.0269619624933468</v>
      </c>
      <c r="I26" s="245">
        <v>8.6040250274693947E-2</v>
      </c>
      <c r="J26" s="245">
        <v>0.6530341383257241</v>
      </c>
      <c r="K26" s="245">
        <v>6.0879000000000003E-2</v>
      </c>
      <c r="L26" s="245">
        <v>0.13828827500212321</v>
      </c>
      <c r="M26" s="245">
        <v>8.0456031403846245E-2</v>
      </c>
      <c r="N26" s="246">
        <v>0.64296181942943686</v>
      </c>
      <c r="O26" s="246">
        <v>5.0792398099384464</v>
      </c>
      <c r="P26" s="246">
        <v>16.617974116905632</v>
      </c>
      <c r="Q26" s="246">
        <v>27.428480363585575</v>
      </c>
      <c r="R26" s="246">
        <v>5.1951082931130115</v>
      </c>
      <c r="S26" s="246">
        <v>57.625877349549583</v>
      </c>
      <c r="T26" s="245">
        <v>0.22369121415285234</v>
      </c>
      <c r="U26" s="245">
        <v>5.3053463594413347E-2</v>
      </c>
      <c r="V26" s="245">
        <v>0.1297351632612678</v>
      </c>
      <c r="W26" s="245">
        <v>0.85392631754367632</v>
      </c>
      <c r="X26" s="245">
        <v>0.17320808107952249</v>
      </c>
      <c r="Y26" s="245">
        <v>0.69958361802549229</v>
      </c>
      <c r="Z26" s="245">
        <v>0.69958361802549229</v>
      </c>
      <c r="AA26" s="247">
        <v>0.21327300590991013</v>
      </c>
    </row>
    <row r="27" spans="1:27" ht="14">
      <c r="A27" s="244" t="s">
        <v>718</v>
      </c>
      <c r="B27" s="122">
        <v>31</v>
      </c>
      <c r="C27" s="245">
        <v>4.1181874999999993E-2</v>
      </c>
      <c r="D27" s="245">
        <v>5.8152137730714419E-2</v>
      </c>
      <c r="E27" s="245">
        <v>5.9280308281626143E-2</v>
      </c>
      <c r="F27" s="245">
        <v>0.32156187378758871</v>
      </c>
      <c r="G27" s="246">
        <v>1.1467394309363781</v>
      </c>
      <c r="H27" s="246">
        <v>1.2251855531141391</v>
      </c>
      <c r="I27" s="245">
        <v>9.5158535443250397E-2</v>
      </c>
      <c r="J27" s="245">
        <v>0.43781301036597053</v>
      </c>
      <c r="K27" s="245">
        <v>5.0854999999999997E-2</v>
      </c>
      <c r="L27" s="245">
        <v>0.16383109786985448</v>
      </c>
      <c r="M27" s="245">
        <v>8.5817330971523803E-2</v>
      </c>
      <c r="N27" s="246">
        <v>1.2894168928698895</v>
      </c>
      <c r="O27" s="246">
        <v>2.3038717172014334</v>
      </c>
      <c r="P27" s="246">
        <v>10.79885515422891</v>
      </c>
      <c r="Q27" s="246">
        <v>31.741208061314889</v>
      </c>
      <c r="R27" s="246">
        <v>2.7160288491807298</v>
      </c>
      <c r="S27" s="246">
        <v>34.573469860937713</v>
      </c>
      <c r="T27" s="245">
        <v>9.0768336455339341E-2</v>
      </c>
      <c r="U27" s="245">
        <v>2.9240501681576912E-2</v>
      </c>
      <c r="V27" s="245">
        <v>3.3245288819538331E-3</v>
      </c>
      <c r="W27" s="245">
        <v>0.97503980207358554</v>
      </c>
      <c r="X27" s="245">
        <v>1.6746880536467494E-2</v>
      </c>
      <c r="Y27" s="245">
        <v>0.38078808076847676</v>
      </c>
      <c r="Z27" s="245">
        <v>0.3807880807684767</v>
      </c>
      <c r="AA27" s="247">
        <v>5.1629989846851708E-2</v>
      </c>
    </row>
    <row r="28" spans="1:27" ht="14">
      <c r="A28" s="244" t="s">
        <v>719</v>
      </c>
      <c r="B28" s="122">
        <v>103</v>
      </c>
      <c r="C28" s="245">
        <v>0.14907829787234042</v>
      </c>
      <c r="D28" s="245">
        <v>9.0010627576211533E-2</v>
      </c>
      <c r="E28" s="245">
        <v>0.13265964322266596</v>
      </c>
      <c r="F28" s="245">
        <v>0.21670554463683422</v>
      </c>
      <c r="G28" s="246">
        <v>1.145843471951508</v>
      </c>
      <c r="H28" s="246">
        <v>1.2410543592858396</v>
      </c>
      <c r="I28" s="245">
        <v>9.5888500527148618E-2</v>
      </c>
      <c r="J28" s="245">
        <v>0.54423898938240323</v>
      </c>
      <c r="K28" s="245">
        <v>5.3524000000000002E-2</v>
      </c>
      <c r="L28" s="245">
        <v>0.17619594793469248</v>
      </c>
      <c r="M28" s="245">
        <v>8.6066369218673763E-2</v>
      </c>
      <c r="N28" s="246">
        <v>1.4659763013390332</v>
      </c>
      <c r="O28" s="246">
        <v>2.9757179784329062</v>
      </c>
      <c r="P28" s="246">
        <v>14.654554784871266</v>
      </c>
      <c r="Q28" s="246">
        <v>28.89201617695047</v>
      </c>
      <c r="R28" s="246">
        <v>2.9236490003601276</v>
      </c>
      <c r="S28" s="246">
        <v>24.688706144324069</v>
      </c>
      <c r="T28" s="245">
        <v>0.28273149237542999</v>
      </c>
      <c r="U28" s="245">
        <v>6.1632530290405142E-2</v>
      </c>
      <c r="V28" s="245">
        <v>9.8179239343670066E-2</v>
      </c>
      <c r="W28" s="245">
        <v>2.1463997544763114</v>
      </c>
      <c r="X28" s="245">
        <v>0.23703235618633814</v>
      </c>
      <c r="Y28" s="245">
        <v>0.17177866341194353</v>
      </c>
      <c r="Z28" s="245">
        <v>0.17177866341194359</v>
      </c>
      <c r="AA28" s="247">
        <v>9.5714676405284388E-2</v>
      </c>
    </row>
    <row r="29" spans="1:27" ht="14">
      <c r="A29" s="244" t="s">
        <v>720</v>
      </c>
      <c r="B29" s="122">
        <v>13</v>
      </c>
      <c r="C29" s="245">
        <v>-6.3210000000000002E-2</v>
      </c>
      <c r="D29" s="245">
        <v>-7.643401586021315E-4</v>
      </c>
      <c r="E29" s="245">
        <v>9.5426355462240233E-3</v>
      </c>
      <c r="F29" s="245">
        <v>0.6944234404536862</v>
      </c>
      <c r="G29" s="246">
        <v>1.3029636093516688</v>
      </c>
      <c r="H29" s="246">
        <v>1.2951787766557901</v>
      </c>
      <c r="I29" s="245">
        <v>9.8378223726166336E-2</v>
      </c>
      <c r="J29" s="245">
        <v>0.39424154982087117</v>
      </c>
      <c r="K29" s="245">
        <v>5.0854999999999997E-2</v>
      </c>
      <c r="L29" s="245">
        <v>0.15486981955971799</v>
      </c>
      <c r="M29" s="245">
        <v>8.904933447437148E-2</v>
      </c>
      <c r="N29" s="246">
        <v>1.6732153737167332</v>
      </c>
      <c r="O29" s="246">
        <v>0.84607344479761215</v>
      </c>
      <c r="P29" s="246">
        <v>19.143941698748328</v>
      </c>
      <c r="Q29" s="246" t="s">
        <v>96</v>
      </c>
      <c r="R29" s="246">
        <v>1.9031490452094928</v>
      </c>
      <c r="S29" s="246">
        <v>38.632883209912393</v>
      </c>
      <c r="T29" s="245">
        <v>0.15533542696520905</v>
      </c>
      <c r="U29" s="245">
        <v>1.5568092728386464E-2</v>
      </c>
      <c r="V29" s="245">
        <v>-2.2079528200980025E-3</v>
      </c>
      <c r="W29" s="245" t="s">
        <v>96</v>
      </c>
      <c r="X29" s="245">
        <v>-6.6268001387247435E-2</v>
      </c>
      <c r="Y29" s="245">
        <v>0</v>
      </c>
      <c r="Z29" s="245">
        <v>0</v>
      </c>
      <c r="AA29" s="247">
        <v>5.6724354829463522E-3</v>
      </c>
    </row>
    <row r="30" spans="1:27" ht="14">
      <c r="A30" s="244" t="s">
        <v>721</v>
      </c>
      <c r="B30" s="122">
        <v>129</v>
      </c>
      <c r="C30" s="245">
        <v>0.15823965116279071</v>
      </c>
      <c r="D30" s="245">
        <v>9.4816605584407423E-2</v>
      </c>
      <c r="E30" s="245">
        <v>0.15114383953059968</v>
      </c>
      <c r="F30" s="245">
        <v>0.22613287894821063</v>
      </c>
      <c r="G30" s="246">
        <v>0.8772051743933108</v>
      </c>
      <c r="H30" s="246">
        <v>0.93395459906726541</v>
      </c>
      <c r="I30" s="245">
        <v>8.1761911557094211E-2</v>
      </c>
      <c r="J30" s="245">
        <v>0.42942643620556031</v>
      </c>
      <c r="K30" s="245">
        <v>5.0854999999999997E-2</v>
      </c>
      <c r="L30" s="245">
        <v>0.14673840734826454</v>
      </c>
      <c r="M30" s="245">
        <v>7.5361085152728532E-2</v>
      </c>
      <c r="N30" s="246">
        <v>1.6768879249052682</v>
      </c>
      <c r="O30" s="246">
        <v>2.1770119295764263</v>
      </c>
      <c r="P30" s="246">
        <v>13.589599841576854</v>
      </c>
      <c r="Q30" s="246">
        <v>22.109356359942485</v>
      </c>
      <c r="R30" s="246">
        <v>3.2790176756415139</v>
      </c>
      <c r="S30" s="246">
        <v>102.2602762874735</v>
      </c>
      <c r="T30" s="245">
        <v>0.24013986599713918</v>
      </c>
      <c r="U30" s="245">
        <v>4.0634673225505777E-2</v>
      </c>
      <c r="V30" s="245">
        <v>4.116813973531535E-2</v>
      </c>
      <c r="W30" s="245">
        <v>0.70431641073104712</v>
      </c>
      <c r="X30" s="245">
        <v>8.797660106927524E-2</v>
      </c>
      <c r="Y30" s="245">
        <v>0.28526884031561212</v>
      </c>
      <c r="Z30" s="245">
        <v>0.28526884031561206</v>
      </c>
      <c r="AA30" s="247">
        <v>9.7970185070913832E-2</v>
      </c>
    </row>
    <row r="31" spans="1:27" ht="14">
      <c r="A31" s="244" t="s">
        <v>722</v>
      </c>
      <c r="B31" s="122">
        <v>77</v>
      </c>
      <c r="C31" s="245">
        <v>6.5536666666666632E-2</v>
      </c>
      <c r="D31" s="245">
        <v>0.10360185076313747</v>
      </c>
      <c r="E31" s="245">
        <v>0.18528356431084828</v>
      </c>
      <c r="F31" s="245">
        <v>0.2368733194672781</v>
      </c>
      <c r="G31" s="246">
        <v>0.92403959370273336</v>
      </c>
      <c r="H31" s="246">
        <v>1.0580761393416174</v>
      </c>
      <c r="I31" s="245">
        <v>8.7471502409714408E-2</v>
      </c>
      <c r="J31" s="245">
        <v>0.36589093646977811</v>
      </c>
      <c r="K31" s="245">
        <v>5.0854999999999997E-2</v>
      </c>
      <c r="L31" s="245">
        <v>0.21102553579017477</v>
      </c>
      <c r="M31" s="245">
        <v>7.7061559464289858E-2</v>
      </c>
      <c r="N31" s="246">
        <v>2.037850068990315</v>
      </c>
      <c r="O31" s="246">
        <v>1.5719288338742232</v>
      </c>
      <c r="P31" s="246">
        <v>11.036891379802853</v>
      </c>
      <c r="Q31" s="246">
        <v>14.820564347673916</v>
      </c>
      <c r="R31" s="246">
        <v>3.7460429418716128</v>
      </c>
      <c r="S31" s="246">
        <v>36.142452668814599</v>
      </c>
      <c r="T31" s="245">
        <v>0.1894488945698595</v>
      </c>
      <c r="U31" s="245">
        <v>3.7420769095906761E-2</v>
      </c>
      <c r="V31" s="245">
        <v>2.8433401793941292E-2</v>
      </c>
      <c r="W31" s="245">
        <v>0.66623551016856597</v>
      </c>
      <c r="X31" s="245">
        <v>0.21241763392703947</v>
      </c>
      <c r="Y31" s="245">
        <v>0.2474936008483172</v>
      </c>
      <c r="Z31" s="245">
        <v>0.24749360084831717</v>
      </c>
      <c r="AA31" s="247">
        <v>0.10638181139347136</v>
      </c>
    </row>
    <row r="32" spans="1:27" ht="14">
      <c r="A32" s="244" t="s">
        <v>723</v>
      </c>
      <c r="B32" s="122">
        <v>98</v>
      </c>
      <c r="C32" s="245">
        <v>0.15469137931034482</v>
      </c>
      <c r="D32" s="245">
        <v>7.0067935835321643E-2</v>
      </c>
      <c r="E32" s="245">
        <v>7.5578911739182089E-2</v>
      </c>
      <c r="F32" s="245">
        <v>0.19997160037162454</v>
      </c>
      <c r="G32" s="246">
        <v>0.86571919280395593</v>
      </c>
      <c r="H32" s="246">
        <v>0.99455942915170392</v>
      </c>
      <c r="I32" s="245">
        <v>8.4549733740978378E-2</v>
      </c>
      <c r="J32" s="245">
        <v>0.61185830172417144</v>
      </c>
      <c r="K32" s="245">
        <v>5.3524000000000002E-2</v>
      </c>
      <c r="L32" s="245">
        <v>0.22327359258810395</v>
      </c>
      <c r="M32" s="245">
        <v>7.4634882763526755E-2</v>
      </c>
      <c r="N32" s="246">
        <v>1.105934104413193</v>
      </c>
      <c r="O32" s="246">
        <v>3.0674272548861663</v>
      </c>
      <c r="P32" s="246">
        <v>16.372327269203399</v>
      </c>
      <c r="Q32" s="246">
        <v>42.533399418877075</v>
      </c>
      <c r="R32" s="246">
        <v>2.5929691561863222</v>
      </c>
      <c r="S32" s="246">
        <v>31.168325364687774</v>
      </c>
      <c r="T32" s="245">
        <v>3.8054347095575536E-2</v>
      </c>
      <c r="U32" s="245">
        <v>4.3745016460205635E-2</v>
      </c>
      <c r="V32" s="245">
        <v>-2.2575917320574641E-2</v>
      </c>
      <c r="W32" s="245">
        <v>-0.20650613209517016</v>
      </c>
      <c r="X32" s="245">
        <v>-2.7275543810870717E-3</v>
      </c>
      <c r="Y32" s="245">
        <v>3.4346522556140007E-3</v>
      </c>
      <c r="Z32" s="245">
        <v>3.4346522556140124E-3</v>
      </c>
      <c r="AA32" s="247">
        <v>7.0525654364218135E-2</v>
      </c>
    </row>
    <row r="33" spans="1:27" ht="14">
      <c r="A33" s="244" t="s">
        <v>724</v>
      </c>
      <c r="B33" s="122">
        <v>57</v>
      </c>
      <c r="C33" s="245">
        <v>0.13381230769230767</v>
      </c>
      <c r="D33" s="245">
        <v>0.13553472241576553</v>
      </c>
      <c r="E33" s="245">
        <v>0.29942483961191058</v>
      </c>
      <c r="F33" s="245">
        <v>0.24029481031347999</v>
      </c>
      <c r="G33" s="246">
        <v>0.78573019548056033</v>
      </c>
      <c r="H33" s="246">
        <v>0.90699903446977015</v>
      </c>
      <c r="I33" s="245">
        <v>8.0521955585609428E-2</v>
      </c>
      <c r="J33" s="245">
        <v>0.4606641855124769</v>
      </c>
      <c r="K33" s="245">
        <v>5.0854999999999997E-2</v>
      </c>
      <c r="L33" s="245">
        <v>0.17996903176435833</v>
      </c>
      <c r="M33" s="245">
        <v>7.2894741035876967E-2</v>
      </c>
      <c r="N33" s="246">
        <v>2.2902044972728537</v>
      </c>
      <c r="O33" s="246">
        <v>3.3833883540504326</v>
      </c>
      <c r="P33" s="246">
        <v>15.00034560192311</v>
      </c>
      <c r="Q33" s="246">
        <v>24.256339038064446</v>
      </c>
      <c r="R33" s="246">
        <v>6.2476402280431014</v>
      </c>
      <c r="S33" s="246">
        <v>31.275191037772736</v>
      </c>
      <c r="T33" s="245">
        <v>0.10180591590590521</v>
      </c>
      <c r="U33" s="245">
        <v>7.8381742161797524E-2</v>
      </c>
      <c r="V33" s="245">
        <v>6.4845913725881957E-2</v>
      </c>
      <c r="W33" s="245">
        <v>0.70099824399013422</v>
      </c>
      <c r="X33" s="245">
        <v>0.2101163487107984</v>
      </c>
      <c r="Y33" s="245">
        <v>0.3634221878468773</v>
      </c>
      <c r="Z33" s="245">
        <v>0.3634221878468773</v>
      </c>
      <c r="AA33" s="247">
        <v>0.13822317401919318</v>
      </c>
    </row>
    <row r="34" spans="1:27" ht="14">
      <c r="A34" s="244" t="s">
        <v>725</v>
      </c>
      <c r="B34" s="122">
        <v>42</v>
      </c>
      <c r="C34" s="245">
        <v>0.21383809523809522</v>
      </c>
      <c r="D34" s="245">
        <v>0.1017867183533354</v>
      </c>
      <c r="E34" s="245">
        <v>0.17930588293067248</v>
      </c>
      <c r="F34" s="245">
        <v>0.20906218860773967</v>
      </c>
      <c r="G34" s="246">
        <v>0.76921333535098557</v>
      </c>
      <c r="H34" s="246">
        <v>0.99162450807266023</v>
      </c>
      <c r="I34" s="245">
        <v>8.4414727371342368E-2</v>
      </c>
      <c r="J34" s="245">
        <v>0.54139722238781107</v>
      </c>
      <c r="K34" s="245">
        <v>5.3524000000000002E-2</v>
      </c>
      <c r="L34" s="245">
        <v>0.31178335075736729</v>
      </c>
      <c r="M34" s="245">
        <v>7.0611539867688589E-2</v>
      </c>
      <c r="N34" s="246">
        <v>1.8306605351728302</v>
      </c>
      <c r="O34" s="246">
        <v>1.1055363962241</v>
      </c>
      <c r="P34" s="246">
        <v>8.9728445584552468</v>
      </c>
      <c r="Q34" s="246">
        <v>10.564710180101258</v>
      </c>
      <c r="R34" s="246">
        <v>2.7330367548600969</v>
      </c>
      <c r="S34" s="246">
        <v>21.611875005333811</v>
      </c>
      <c r="T34" s="245">
        <v>0.14722500458801463</v>
      </c>
      <c r="U34" s="245">
        <v>3.3959385963758186E-2</v>
      </c>
      <c r="V34" s="245">
        <v>2.6989790167118995E-2</v>
      </c>
      <c r="W34" s="245">
        <v>0.53012035842397032</v>
      </c>
      <c r="X34" s="245">
        <v>0.27512096983755308</v>
      </c>
      <c r="Y34" s="245">
        <v>0.17330466660689933</v>
      </c>
      <c r="Z34" s="245">
        <v>0.17330466660689936</v>
      </c>
      <c r="AA34" s="247">
        <v>0.10487455135329483</v>
      </c>
    </row>
    <row r="35" spans="1:27" ht="14">
      <c r="A35" s="244" t="s">
        <v>726</v>
      </c>
      <c r="B35" s="122">
        <v>192</v>
      </c>
      <c r="C35" s="245">
        <v>0.19123907563025216</v>
      </c>
      <c r="D35" s="245">
        <v>0.15992933926673833</v>
      </c>
      <c r="E35" s="245">
        <v>9.6330086209587031E-3</v>
      </c>
      <c r="F35" s="245">
        <v>0.18997827291193156</v>
      </c>
      <c r="G35" s="246">
        <v>0.32851469580529807</v>
      </c>
      <c r="H35" s="246">
        <v>1.1400490933846248</v>
      </c>
      <c r="I35" s="245">
        <v>9.1242258295692741E-2</v>
      </c>
      <c r="J35" s="245">
        <v>0.3810213497605191</v>
      </c>
      <c r="K35" s="245">
        <v>5.0854999999999997E-2</v>
      </c>
      <c r="L35" s="245">
        <v>0.77415085291115138</v>
      </c>
      <c r="M35" s="245">
        <v>5.0134067433140084E-2</v>
      </c>
      <c r="N35" s="246">
        <v>6.7119149808869766E-2</v>
      </c>
      <c r="O35" s="246">
        <v>18.642987157381903</v>
      </c>
      <c r="P35" s="246">
        <v>57.680538877058737</v>
      </c>
      <c r="Q35" s="246">
        <v>77.49458222836256</v>
      </c>
      <c r="R35" s="246">
        <v>3.380815208699703</v>
      </c>
      <c r="S35" s="246">
        <v>25.806044221433432</v>
      </c>
      <c r="T35" s="245">
        <v>12.604428612688091</v>
      </c>
      <c r="U35" s="245">
        <v>2.8409763229394477E-2</v>
      </c>
      <c r="V35" s="245">
        <v>2.7841238176068952E-2</v>
      </c>
      <c r="W35" s="245">
        <v>0.20105976764142242</v>
      </c>
      <c r="X35" s="245">
        <v>0.21311643829434393</v>
      </c>
      <c r="Y35" s="245">
        <v>0.31700384210797466</v>
      </c>
      <c r="Z35" s="245">
        <v>0.31700384210797461</v>
      </c>
      <c r="AA35" s="247">
        <v>0.16014177442862765</v>
      </c>
    </row>
    <row r="36" spans="1:27" ht="14">
      <c r="A36" s="244" t="s">
        <v>727</v>
      </c>
      <c r="B36" s="122">
        <v>93</v>
      </c>
      <c r="C36" s="245">
        <v>6.4526666666666663E-2</v>
      </c>
      <c r="D36" s="245">
        <v>0.10491049844080848</v>
      </c>
      <c r="E36" s="245">
        <v>0.16632787981640612</v>
      </c>
      <c r="F36" s="245">
        <v>0.22335961513857117</v>
      </c>
      <c r="G36" s="246">
        <v>0.56908998002411471</v>
      </c>
      <c r="H36" s="246">
        <v>0.70750533667560889</v>
      </c>
      <c r="I36" s="245">
        <v>7.1345245487078018E-2</v>
      </c>
      <c r="J36" s="245">
        <v>0.35521016825252899</v>
      </c>
      <c r="K36" s="245">
        <v>5.0854999999999997E-2</v>
      </c>
      <c r="L36" s="245">
        <v>0.2689285723195291</v>
      </c>
      <c r="M36" s="245">
        <v>6.2415742385434035E-2</v>
      </c>
      <c r="N36" s="246">
        <v>1.7135538990520314</v>
      </c>
      <c r="O36" s="246">
        <v>1.7282134371080651</v>
      </c>
      <c r="P36" s="246">
        <v>11.437949138986205</v>
      </c>
      <c r="Q36" s="246">
        <v>16.118698126776067</v>
      </c>
      <c r="R36" s="246">
        <v>2.3044996770005595</v>
      </c>
      <c r="S36" s="246">
        <v>30.03172173237634</v>
      </c>
      <c r="T36" s="245">
        <v>7.7500137053759716E-2</v>
      </c>
      <c r="U36" s="245">
        <v>4.469492651895738E-2</v>
      </c>
      <c r="V36" s="245">
        <v>3.3044851127673275E-2</v>
      </c>
      <c r="W36" s="245">
        <v>0.46455600027816707</v>
      </c>
      <c r="X36" s="245">
        <v>8.9774903428867805E-2</v>
      </c>
      <c r="Y36" s="245">
        <v>0.76422137793570577</v>
      </c>
      <c r="Z36" s="245">
        <v>0.76422137793570577</v>
      </c>
      <c r="AA36" s="247">
        <v>0.10671025642607875</v>
      </c>
    </row>
    <row r="37" spans="1:27" ht="14">
      <c r="A37" s="244" t="s">
        <v>728</v>
      </c>
      <c r="B37" s="122">
        <v>14</v>
      </c>
      <c r="C37" s="245">
        <v>0.18654000000000004</v>
      </c>
      <c r="D37" s="245">
        <v>2.2317777961135557E-2</v>
      </c>
      <c r="E37" s="245">
        <v>0.14961754390226162</v>
      </c>
      <c r="F37" s="245">
        <v>0.2440190000210877</v>
      </c>
      <c r="G37" s="246">
        <v>0.73507044655838505</v>
      </c>
      <c r="H37" s="246">
        <v>0.96571097077283663</v>
      </c>
      <c r="I37" s="245">
        <v>8.3222704655550483E-2</v>
      </c>
      <c r="J37" s="245">
        <v>0.27303412055804871</v>
      </c>
      <c r="K37" s="245">
        <v>5.0854999999999997E-2</v>
      </c>
      <c r="L37" s="245">
        <v>0.30860321409511282</v>
      </c>
      <c r="M37" s="245">
        <v>6.9310422852764508E-2</v>
      </c>
      <c r="N37" s="246">
        <v>8.0191460013825839</v>
      </c>
      <c r="O37" s="246">
        <v>0.40048850227638738</v>
      </c>
      <c r="P37" s="246">
        <v>11.256367425384894</v>
      </c>
      <c r="Q37" s="246">
        <v>18.0515417386402</v>
      </c>
      <c r="R37" s="246">
        <v>4.1027570359655128</v>
      </c>
      <c r="S37" s="246">
        <v>26.104224353465391</v>
      </c>
      <c r="T37" s="245">
        <v>5.7756762830022068E-2</v>
      </c>
      <c r="U37" s="245">
        <v>9.3056479659282213E-3</v>
      </c>
      <c r="V37" s="245">
        <v>8.9900828796691135E-3</v>
      </c>
      <c r="W37" s="245">
        <v>0.47194525861898456</v>
      </c>
      <c r="X37" s="245">
        <v>0.21114375328629606</v>
      </c>
      <c r="Y37" s="245">
        <v>0.38161390503630449</v>
      </c>
      <c r="Z37" s="245">
        <v>0.38161390503630455</v>
      </c>
      <c r="AA37" s="247">
        <v>2.2183644509181345E-2</v>
      </c>
    </row>
    <row r="38" spans="1:27" ht="14">
      <c r="A38" s="244" t="s">
        <v>729</v>
      </c>
      <c r="B38" s="122">
        <v>31</v>
      </c>
      <c r="C38" s="245">
        <v>3.1330476190476186E-2</v>
      </c>
      <c r="D38" s="245">
        <v>5.8633420949189427E-2</v>
      </c>
      <c r="E38" s="245">
        <v>0.1031461588962982</v>
      </c>
      <c r="F38" s="245">
        <v>0.34491477746639632</v>
      </c>
      <c r="G38" s="246">
        <v>0.86118748521761213</v>
      </c>
      <c r="H38" s="246">
        <v>1.1071062452097284</v>
      </c>
      <c r="I38" s="245">
        <v>8.9726887279647505E-2</v>
      </c>
      <c r="J38" s="245">
        <v>0.46652480430214993</v>
      </c>
      <c r="K38" s="245">
        <v>5.0854999999999997E-2</v>
      </c>
      <c r="L38" s="245">
        <v>0.32226061623577029</v>
      </c>
      <c r="M38" s="245">
        <v>7.3102868020993375E-2</v>
      </c>
      <c r="N38" s="246">
        <v>1.9608741359470769</v>
      </c>
      <c r="O38" s="246">
        <v>1.0479459257763848</v>
      </c>
      <c r="P38" s="246">
        <v>9.3651533150560073</v>
      </c>
      <c r="Q38" s="246">
        <v>16.699225224322326</v>
      </c>
      <c r="R38" s="246">
        <v>2.2525462393242712</v>
      </c>
      <c r="S38" s="246">
        <v>19.580017118656851</v>
      </c>
      <c r="T38" s="245">
        <v>0.13973769506770378</v>
      </c>
      <c r="U38" s="245">
        <v>3.2449167583192058E-2</v>
      </c>
      <c r="V38" s="245">
        <v>7.2155187930717318E-2</v>
      </c>
      <c r="W38" s="245">
        <v>0.97314551193468091</v>
      </c>
      <c r="X38" s="245">
        <v>-6.5262790801996332E-2</v>
      </c>
      <c r="Y38" s="245">
        <v>8.5617107786026027E-3</v>
      </c>
      <c r="Z38" s="245">
        <v>8.5617107786025715E-3</v>
      </c>
      <c r="AA38" s="247">
        <v>6.1113859297196843E-2</v>
      </c>
    </row>
    <row r="39" spans="1:27" ht="14">
      <c r="A39" s="244" t="s">
        <v>506</v>
      </c>
      <c r="B39" s="122">
        <v>17</v>
      </c>
      <c r="C39" s="245">
        <v>3.7350000000000001E-2</v>
      </c>
      <c r="D39" s="245">
        <v>0.23439691972396948</v>
      </c>
      <c r="E39" s="245">
        <v>4.1502730750869E-2</v>
      </c>
      <c r="F39" s="245">
        <v>7.0572558077555192E-2</v>
      </c>
      <c r="G39" s="246">
        <v>0.55608601915516875</v>
      </c>
      <c r="H39" s="246">
        <v>1.1067077196296322</v>
      </c>
      <c r="I39" s="245">
        <v>8.9708555102963078E-2</v>
      </c>
      <c r="J39" s="245">
        <v>0.5733620520250774</v>
      </c>
      <c r="K39" s="245">
        <v>5.3524000000000002E-2</v>
      </c>
      <c r="L39" s="245">
        <v>0.58576061978789462</v>
      </c>
      <c r="M39" s="245">
        <v>6.0675004825720386E-2</v>
      </c>
      <c r="N39" s="246">
        <v>0.19933188854202233</v>
      </c>
      <c r="O39" s="246">
        <v>7.4719645715662937</v>
      </c>
      <c r="P39" s="246">
        <v>12.631994561427968</v>
      </c>
      <c r="Q39" s="246">
        <v>33.578774668897871</v>
      </c>
      <c r="R39" s="246">
        <v>0.85442228941416143</v>
      </c>
      <c r="S39" s="246">
        <v>39.872418108542938</v>
      </c>
      <c r="T39" s="245">
        <v>-0.27981625458988918</v>
      </c>
      <c r="U39" s="245">
        <v>0.44316771676285083</v>
      </c>
      <c r="V39" s="245">
        <v>0.20460875674779533</v>
      </c>
      <c r="W39" s="245">
        <v>1.1590198207962661</v>
      </c>
      <c r="X39" s="245">
        <v>0.10675101428653834</v>
      </c>
      <c r="Y39" s="245">
        <v>0.2559530242443892</v>
      </c>
      <c r="Z39" s="245">
        <v>0.25595302424438926</v>
      </c>
      <c r="AA39" s="247">
        <v>0.21775570853782217</v>
      </c>
    </row>
    <row r="40" spans="1:27" ht="14">
      <c r="A40" s="244" t="s">
        <v>730</v>
      </c>
      <c r="B40" s="122">
        <v>230</v>
      </c>
      <c r="C40" s="245">
        <v>0.17948400000000009</v>
      </c>
      <c r="D40" s="245">
        <v>0.13294967540797936</v>
      </c>
      <c r="E40" s="245">
        <v>0.13081181602888342</v>
      </c>
      <c r="F40" s="245">
        <v>0.20580162761975571</v>
      </c>
      <c r="G40" s="246">
        <v>1.0054180718910262</v>
      </c>
      <c r="H40" s="246">
        <v>1.0620798954428441</v>
      </c>
      <c r="I40" s="245">
        <v>8.7655675190370819E-2</v>
      </c>
      <c r="J40" s="245">
        <v>0.52205534504314732</v>
      </c>
      <c r="K40" s="245">
        <v>5.3524000000000002E-2</v>
      </c>
      <c r="L40" s="245">
        <v>0.11239729750559911</v>
      </c>
      <c r="M40" s="245">
        <v>8.2315378901711811E-2</v>
      </c>
      <c r="N40" s="246">
        <v>0.9916960692418304</v>
      </c>
      <c r="O40" s="246">
        <v>5.1610656647278397</v>
      </c>
      <c r="P40" s="246">
        <v>21.511372797591477</v>
      </c>
      <c r="Q40" s="246">
        <v>36.992220884124826</v>
      </c>
      <c r="R40" s="246">
        <v>4.6291469613257821</v>
      </c>
      <c r="S40" s="246">
        <v>61.891562138745677</v>
      </c>
      <c r="T40" s="245">
        <v>0.25574201971953897</v>
      </c>
      <c r="U40" s="245">
        <v>4.9018238448480196E-2</v>
      </c>
      <c r="V40" s="245">
        <v>2.0771729298397056E-2</v>
      </c>
      <c r="W40" s="245">
        <v>0.49512455251752285</v>
      </c>
      <c r="X40" s="245">
        <v>8.305797928561881E-2</v>
      </c>
      <c r="Y40" s="245">
        <v>0.41765478553209229</v>
      </c>
      <c r="Z40" s="245">
        <v>0.41765478553209223</v>
      </c>
      <c r="AA40" s="247">
        <v>0.13835739605834813</v>
      </c>
    </row>
    <row r="41" spans="1:27" ht="14">
      <c r="A41" s="244" t="s">
        <v>731</v>
      </c>
      <c r="B41" s="122">
        <v>119</v>
      </c>
      <c r="C41" s="245">
        <v>0.12421877192982453</v>
      </c>
      <c r="D41" s="245">
        <v>3.9183419890367124E-2</v>
      </c>
      <c r="E41" s="245">
        <v>0.45741028306204884</v>
      </c>
      <c r="F41" s="245">
        <v>0.22529394737980976</v>
      </c>
      <c r="G41" s="246">
        <v>0.94030624894969284</v>
      </c>
      <c r="H41" s="246">
        <v>1.0326229061406076</v>
      </c>
      <c r="I41" s="245">
        <v>8.6300653682467948E-2</v>
      </c>
      <c r="J41" s="245">
        <v>0.49525733448964099</v>
      </c>
      <c r="K41" s="245">
        <v>5.0854999999999997E-2</v>
      </c>
      <c r="L41" s="245">
        <v>0.2117523051840508</v>
      </c>
      <c r="M41" s="245">
        <v>7.6102788936416088E-2</v>
      </c>
      <c r="N41" s="246">
        <v>12.880997802478152</v>
      </c>
      <c r="O41" s="246">
        <v>0.6094709713815003</v>
      </c>
      <c r="P41" s="246">
        <v>11.292454334901061</v>
      </c>
      <c r="Q41" s="246">
        <v>15.455594645482641</v>
      </c>
      <c r="R41" s="246">
        <v>3.3377128034800818</v>
      </c>
      <c r="S41" s="246">
        <v>80.168287304864251</v>
      </c>
      <c r="T41" s="245">
        <v>-6.5254137415651933E-2</v>
      </c>
      <c r="U41" s="245">
        <v>7.0548223798331212E-3</v>
      </c>
      <c r="V41" s="245">
        <v>1.9151402871181444E-2</v>
      </c>
      <c r="W41" s="245">
        <v>0.6275372045055494</v>
      </c>
      <c r="X41" s="245">
        <v>0.15620310034184115</v>
      </c>
      <c r="Y41" s="245">
        <v>0.29625921121923621</v>
      </c>
      <c r="Z41" s="245">
        <v>0.29625921121923615</v>
      </c>
      <c r="AA41" s="247">
        <v>3.8635101743000333E-2</v>
      </c>
    </row>
    <row r="42" spans="1:27" ht="14">
      <c r="A42" s="244" t="s">
        <v>732</v>
      </c>
      <c r="B42" s="122">
        <v>128</v>
      </c>
      <c r="C42" s="245">
        <v>0.19666706896551731</v>
      </c>
      <c r="D42" s="245">
        <v>0.14008066391084326</v>
      </c>
      <c r="E42" s="245">
        <v>0.14281217248637942</v>
      </c>
      <c r="F42" s="245">
        <v>0.11691985958691149</v>
      </c>
      <c r="G42" s="246">
        <v>1.1875339477983193</v>
      </c>
      <c r="H42" s="246">
        <v>1.2747542568245518</v>
      </c>
      <c r="I42" s="245">
        <v>9.7438695813929388E-2</v>
      </c>
      <c r="J42" s="245">
        <v>0.54153165246921775</v>
      </c>
      <c r="K42" s="245">
        <v>5.3524000000000002E-2</v>
      </c>
      <c r="L42" s="245">
        <v>0.13845034763183783</v>
      </c>
      <c r="M42" s="245">
        <v>8.9506086810682825E-2</v>
      </c>
      <c r="N42" s="246">
        <v>1.0414718449585996</v>
      </c>
      <c r="O42" s="246">
        <v>5.2888957340712599</v>
      </c>
      <c r="P42" s="246">
        <v>21.435576546426841</v>
      </c>
      <c r="Q42" s="246">
        <v>36.529531221176818</v>
      </c>
      <c r="R42" s="246">
        <v>4.0887278277055206</v>
      </c>
      <c r="S42" s="246">
        <v>44.436443878627578</v>
      </c>
      <c r="T42" s="245">
        <v>0.22945875273735597</v>
      </c>
      <c r="U42" s="245">
        <v>4.5108188895623375E-2</v>
      </c>
      <c r="V42" s="245">
        <v>2.6677271844225636E-2</v>
      </c>
      <c r="W42" s="245">
        <v>0.31339455513224623</v>
      </c>
      <c r="X42" s="245">
        <v>5.17765805634577E-2</v>
      </c>
      <c r="Y42" s="245">
        <v>0.19727330771004128</v>
      </c>
      <c r="Z42" s="245">
        <v>0.19727330771004126</v>
      </c>
      <c r="AA42" s="247">
        <v>0.14149228552648924</v>
      </c>
    </row>
    <row r="43" spans="1:27" ht="14">
      <c r="A43" s="244" t="s">
        <v>733</v>
      </c>
      <c r="B43" s="122">
        <v>32</v>
      </c>
      <c r="C43" s="245">
        <v>0.11040782608695648</v>
      </c>
      <c r="D43" s="245">
        <v>0.16243511385197026</v>
      </c>
      <c r="E43" s="245">
        <v>0.20906182388989658</v>
      </c>
      <c r="F43" s="245">
        <v>0.23441748751073238</v>
      </c>
      <c r="G43" s="246">
        <v>1.3535915929813263</v>
      </c>
      <c r="H43" s="246">
        <v>1.3695349346617718</v>
      </c>
      <c r="I43" s="245">
        <v>0.1017986069944415</v>
      </c>
      <c r="J43" s="245">
        <v>0.32313883781178943</v>
      </c>
      <c r="K43" s="245">
        <v>5.0854999999999997E-2</v>
      </c>
      <c r="L43" s="245">
        <v>0.14104057563334713</v>
      </c>
      <c r="M43" s="245">
        <v>9.2820336720647989E-2</v>
      </c>
      <c r="N43" s="246">
        <v>1.5490492448976174</v>
      </c>
      <c r="O43" s="246">
        <v>1.3227511565241321</v>
      </c>
      <c r="P43" s="246">
        <v>7.7926513257951306</v>
      </c>
      <c r="Q43" s="246">
        <v>8.1068864527413051</v>
      </c>
      <c r="R43" s="246">
        <v>2.0034988997912557</v>
      </c>
      <c r="S43" s="246">
        <v>10.663226208304753</v>
      </c>
      <c r="T43" s="245">
        <v>0.58510809678996634</v>
      </c>
      <c r="U43" s="245">
        <v>5.1362234787959054E-3</v>
      </c>
      <c r="V43" s="245">
        <v>3.6279568408271621E-3</v>
      </c>
      <c r="W43" s="245">
        <v>-4.9962200704110622E-2</v>
      </c>
      <c r="X43" s="245">
        <v>0.2288315257494398</v>
      </c>
      <c r="Y43" s="245">
        <v>6.4331005164984509E-2</v>
      </c>
      <c r="Z43" s="245">
        <v>6.4331005164984467E-2</v>
      </c>
      <c r="AA43" s="247">
        <v>0.16303748138534604</v>
      </c>
    </row>
    <row r="44" spans="1:27" ht="14">
      <c r="A44" s="244" t="s">
        <v>734</v>
      </c>
      <c r="B44" s="122">
        <v>32</v>
      </c>
      <c r="C44" s="245">
        <v>0.18106894736842105</v>
      </c>
      <c r="D44" s="245">
        <v>0.11569354150132667</v>
      </c>
      <c r="E44" s="245">
        <v>0.20156640226109454</v>
      </c>
      <c r="F44" s="245">
        <v>0.20295530643789431</v>
      </c>
      <c r="G44" s="246">
        <v>0.55999610695192847</v>
      </c>
      <c r="H44" s="246">
        <v>0.87957632490356097</v>
      </c>
      <c r="I44" s="245">
        <v>7.92605109455638E-2</v>
      </c>
      <c r="J44" s="245">
        <v>0.46328064944317854</v>
      </c>
      <c r="K44" s="245">
        <v>5.0854999999999997E-2</v>
      </c>
      <c r="L44" s="245">
        <v>0.44365037194401546</v>
      </c>
      <c r="M44" s="245">
        <v>6.1017935533001388E-2</v>
      </c>
      <c r="N44" s="246">
        <v>1.8739472690562888</v>
      </c>
      <c r="O44" s="246">
        <v>1.5597693131250068</v>
      </c>
      <c r="P44" s="246">
        <v>8.7526157560373488</v>
      </c>
      <c r="Q44" s="246">
        <v>13.412731417361721</v>
      </c>
      <c r="R44" s="246">
        <v>5.1168203803504957</v>
      </c>
      <c r="S44" s="246">
        <v>22.866077429053238</v>
      </c>
      <c r="T44" s="245">
        <v>0.11173413334158254</v>
      </c>
      <c r="U44" s="245">
        <v>6.2482428184781058E-2</v>
      </c>
      <c r="V44" s="245">
        <v>2.2041129079390705E-2</v>
      </c>
      <c r="W44" s="245">
        <v>0.34919798188250589</v>
      </c>
      <c r="X44" s="245">
        <v>0.61965679511239247</v>
      </c>
      <c r="Y44" s="245">
        <v>0.12781126030710444</v>
      </c>
      <c r="Z44" s="245">
        <v>0.12781126030710444</v>
      </c>
      <c r="AA44" s="247">
        <v>0.11548052103864387</v>
      </c>
    </row>
    <row r="45" spans="1:27" ht="14">
      <c r="A45" s="244" t="s">
        <v>735</v>
      </c>
      <c r="B45" s="122">
        <v>68</v>
      </c>
      <c r="C45" s="245">
        <v>0.10244649999999998</v>
      </c>
      <c r="D45" s="245">
        <v>0.17139569325713905</v>
      </c>
      <c r="E45" s="245">
        <v>9.9886217562338883E-2</v>
      </c>
      <c r="F45" s="245">
        <v>0.19265003883365289</v>
      </c>
      <c r="G45" s="246">
        <v>1.0481897733536769</v>
      </c>
      <c r="H45" s="246">
        <v>1.3434280675321946</v>
      </c>
      <c r="I45" s="245">
        <v>0.10059769110648095</v>
      </c>
      <c r="J45" s="245">
        <v>0.40799721064073169</v>
      </c>
      <c r="K45" s="245">
        <v>5.0854999999999997E-2</v>
      </c>
      <c r="L45" s="245">
        <v>0.32736720549245807</v>
      </c>
      <c r="M45" s="245">
        <v>8.0151500516447996E-2</v>
      </c>
      <c r="N45" s="246">
        <v>0.80682265774953521</v>
      </c>
      <c r="O45" s="246">
        <v>4.2252788004104538</v>
      </c>
      <c r="P45" s="246">
        <v>14.975440441167427</v>
      </c>
      <c r="Q45" s="246">
        <v>30.72977186409063</v>
      </c>
      <c r="R45" s="246">
        <v>11.056315096413167</v>
      </c>
      <c r="S45" s="246">
        <v>32.221437920653571</v>
      </c>
      <c r="T45" s="245">
        <v>2.9915132671853681E-2</v>
      </c>
      <c r="U45" s="245">
        <v>6.7121787001380398E-2</v>
      </c>
      <c r="V45" s="245">
        <v>1.1171667233667715E-2</v>
      </c>
      <c r="W45" s="245">
        <v>0.21810072641597461</v>
      </c>
      <c r="X45" s="245">
        <v>0.35869098916068981</v>
      </c>
      <c r="Y45" s="245">
        <v>8.4312715869453519E-2</v>
      </c>
      <c r="Z45" s="245">
        <v>8.4312715869453547E-2</v>
      </c>
      <c r="AA45" s="247">
        <v>0.13535100750457585</v>
      </c>
    </row>
    <row r="46" spans="1:27" ht="14">
      <c r="A46" s="244" t="s">
        <v>736</v>
      </c>
      <c r="B46" s="122">
        <v>19</v>
      </c>
      <c r="C46" s="245">
        <v>1.2966000000000004E-2</v>
      </c>
      <c r="D46" s="245">
        <v>0.18741354888420905</v>
      </c>
      <c r="E46" s="245">
        <v>0.34643044644482202</v>
      </c>
      <c r="F46" s="245">
        <v>0.21275453790671961</v>
      </c>
      <c r="G46" s="246">
        <v>0.72017362703721888</v>
      </c>
      <c r="H46" s="246">
        <v>0.78003056940732951</v>
      </c>
      <c r="I46" s="245">
        <v>7.4681406192737165E-2</v>
      </c>
      <c r="J46" s="245">
        <v>0.30174609465978208</v>
      </c>
      <c r="K46" s="245">
        <v>5.0854999999999997E-2</v>
      </c>
      <c r="L46" s="245">
        <v>0.12885250541972054</v>
      </c>
      <c r="M46" s="245">
        <v>6.9973115518875056E-2</v>
      </c>
      <c r="N46" s="246">
        <v>2.0853364698894605</v>
      </c>
      <c r="O46" s="246">
        <v>3.5947530981601123</v>
      </c>
      <c r="P46" s="246">
        <v>15.882966794732814</v>
      </c>
      <c r="Q46" s="246">
        <v>19.029316891424514</v>
      </c>
      <c r="R46" s="246">
        <v>8.1778697175979076</v>
      </c>
      <c r="S46" s="246">
        <v>42.516743245220731</v>
      </c>
      <c r="T46" s="245">
        <v>5.1144494166001073E-2</v>
      </c>
      <c r="U46" s="245">
        <v>3.5230919372632036E-2</v>
      </c>
      <c r="V46" s="245">
        <v>1.1090429343845635E-2</v>
      </c>
      <c r="W46" s="245">
        <v>2.0432115095575496E-2</v>
      </c>
      <c r="X46" s="245">
        <v>0.3641117785082732</v>
      </c>
      <c r="Y46" s="245">
        <v>0.66555865382705948</v>
      </c>
      <c r="Z46" s="245">
        <v>0.66555865382705948</v>
      </c>
      <c r="AA46" s="247">
        <v>0.18897485799818362</v>
      </c>
    </row>
    <row r="47" spans="1:27" ht="14">
      <c r="A47" s="244" t="s">
        <v>737</v>
      </c>
      <c r="B47" s="122">
        <v>18</v>
      </c>
      <c r="C47" s="245">
        <v>4.7169999999999997E-2</v>
      </c>
      <c r="D47" s="245">
        <v>0.11632760029506121</v>
      </c>
      <c r="E47" s="245">
        <v>0.22740740434639165</v>
      </c>
      <c r="F47" s="245">
        <v>0.25775980471928395</v>
      </c>
      <c r="G47" s="246">
        <v>0.77238249143783833</v>
      </c>
      <c r="H47" s="246">
        <v>0.93074336988492989</v>
      </c>
      <c r="I47" s="245">
        <v>8.1614195014706778E-2</v>
      </c>
      <c r="J47" s="245">
        <v>0.33828737962659511</v>
      </c>
      <c r="K47" s="245">
        <v>5.0854999999999997E-2</v>
      </c>
      <c r="L47" s="245">
        <v>0.26289829475513876</v>
      </c>
      <c r="M47" s="245">
        <v>7.0185231902356454E-2</v>
      </c>
      <c r="N47" s="246">
        <v>2.1851130805639345</v>
      </c>
      <c r="O47" s="246">
        <v>2.3329330913412769</v>
      </c>
      <c r="P47" s="246">
        <v>12.153718575448424</v>
      </c>
      <c r="Q47" s="246">
        <v>19.061250080564882</v>
      </c>
      <c r="R47" s="246">
        <v>4.0576322144266381</v>
      </c>
      <c r="S47" s="246">
        <v>24.757228147387533</v>
      </c>
      <c r="T47" s="245">
        <v>0.15732336315134232</v>
      </c>
      <c r="U47" s="245">
        <v>1.9033801691390826E-2</v>
      </c>
      <c r="V47" s="245">
        <v>-3.6251195768292693E-2</v>
      </c>
      <c r="W47" s="245">
        <v>-0.26314035240567679</v>
      </c>
      <c r="X47" s="245">
        <v>8.4289167807033175E-2</v>
      </c>
      <c r="Y47" s="245">
        <v>0.60703971407145041</v>
      </c>
      <c r="Z47" s="245">
        <v>0.60703971407145041</v>
      </c>
      <c r="AA47" s="247">
        <v>0.1233982054939375</v>
      </c>
    </row>
    <row r="48" spans="1:27" ht="14">
      <c r="A48" s="244" t="s">
        <v>738</v>
      </c>
      <c r="B48" s="122">
        <v>21</v>
      </c>
      <c r="C48" s="245">
        <v>7.7637272727272721E-2</v>
      </c>
      <c r="D48" s="245">
        <v>0.15227330392370475</v>
      </c>
      <c r="E48" s="245">
        <v>0.15653546538570912</v>
      </c>
      <c r="F48" s="245">
        <v>0.20671990280364713</v>
      </c>
      <c r="G48" s="246">
        <v>0.8946178159376359</v>
      </c>
      <c r="H48" s="246">
        <v>1.0331486323510635</v>
      </c>
      <c r="I48" s="245">
        <v>8.632483708814892E-2</v>
      </c>
      <c r="J48" s="245">
        <v>0.40381703602170393</v>
      </c>
      <c r="K48" s="245">
        <v>5.0854999999999997E-2</v>
      </c>
      <c r="L48" s="245">
        <v>0.20592429100406523</v>
      </c>
      <c r="M48" s="245">
        <v>7.6402666078989212E-2</v>
      </c>
      <c r="N48" s="246">
        <v>1.187979918303592</v>
      </c>
      <c r="O48" s="246">
        <v>2.6563933238175803</v>
      </c>
      <c r="P48" s="246">
        <v>11.479314259662191</v>
      </c>
      <c r="Q48" s="246">
        <v>17.340883842855348</v>
      </c>
      <c r="R48" s="246">
        <v>2.855054505130747</v>
      </c>
      <c r="S48" s="246">
        <v>92.17728773965159</v>
      </c>
      <c r="T48" s="245">
        <v>-9.3256253318981707E-5</v>
      </c>
      <c r="U48" s="245">
        <v>9.2788698704108791E-3</v>
      </c>
      <c r="V48" s="245">
        <v>-2.5998498392279908E-2</v>
      </c>
      <c r="W48" s="245">
        <v>0.3789687523388437</v>
      </c>
      <c r="X48" s="245">
        <v>0.13524697097521135</v>
      </c>
      <c r="Y48" s="245">
        <v>0.32753059692538994</v>
      </c>
      <c r="Z48" s="245">
        <v>0.32753059692538988</v>
      </c>
      <c r="AA48" s="247">
        <v>0.15267058429114069</v>
      </c>
    </row>
    <row r="49" spans="1:27" ht="14">
      <c r="A49" s="244" t="s">
        <v>739</v>
      </c>
      <c r="B49" s="122">
        <v>23</v>
      </c>
      <c r="C49" s="245">
        <v>-6.2500000000000121E-4</v>
      </c>
      <c r="D49" s="245">
        <v>6.5616738438321659E-4</v>
      </c>
      <c r="E49" s="245">
        <v>1.0816809572142688E-3</v>
      </c>
      <c r="F49" s="245">
        <v>0.17734932983816021</v>
      </c>
      <c r="G49" s="246">
        <v>0.53983111888386293</v>
      </c>
      <c r="H49" s="246">
        <v>0.76576086532748944</v>
      </c>
      <c r="I49" s="245">
        <v>7.4024999805064523E-2</v>
      </c>
      <c r="J49" s="245">
        <v>0.30849684925039994</v>
      </c>
      <c r="K49" s="245">
        <v>5.0854999999999997E-2</v>
      </c>
      <c r="L49" s="245">
        <v>0.47983380623416055</v>
      </c>
      <c r="M49" s="245">
        <v>5.68067635541461E-2</v>
      </c>
      <c r="N49" s="246">
        <v>0.93697128407023411</v>
      </c>
      <c r="O49" s="246">
        <v>1.5653336469693586</v>
      </c>
      <c r="P49" s="246">
        <v>17.24492070332478</v>
      </c>
      <c r="Q49" s="246" t="s">
        <v>96</v>
      </c>
      <c r="R49" s="246">
        <v>1.6173451473258358</v>
      </c>
      <c r="S49" s="246">
        <v>176.37863200216751</v>
      </c>
      <c r="T49" s="245">
        <v>0.28615881247116098</v>
      </c>
      <c r="U49" s="245">
        <v>1.8122427617276609E-3</v>
      </c>
      <c r="V49" s="245">
        <v>-2.5614435950617652E-2</v>
      </c>
      <c r="W49" s="245" t="s">
        <v>96</v>
      </c>
      <c r="X49" s="245">
        <v>1.3240127450855269E-2</v>
      </c>
      <c r="Y49" s="245">
        <v>3.812072472103254</v>
      </c>
      <c r="Z49" s="245">
        <v>3.812072472103254</v>
      </c>
      <c r="AA49" s="247">
        <v>1.2852923105425914E-3</v>
      </c>
    </row>
    <row r="50" spans="1:27" ht="14">
      <c r="A50" s="244" t="s">
        <v>740</v>
      </c>
      <c r="B50" s="122">
        <v>50</v>
      </c>
      <c r="C50" s="245">
        <v>6.1676590909090896E-2</v>
      </c>
      <c r="D50" s="245">
        <v>7.4121043407829504E-2</v>
      </c>
      <c r="E50" s="245">
        <v>0.11118635097908262</v>
      </c>
      <c r="F50" s="245">
        <v>0.18944213157737264</v>
      </c>
      <c r="G50" s="246">
        <v>0.67520761727476519</v>
      </c>
      <c r="H50" s="246">
        <v>0.73875776033737084</v>
      </c>
      <c r="I50" s="245">
        <v>7.2782856975519061E-2</v>
      </c>
      <c r="J50" s="245">
        <v>0.27404177841998512</v>
      </c>
      <c r="K50" s="245">
        <v>5.0854999999999997E-2</v>
      </c>
      <c r="L50" s="245">
        <v>0.16235416986823059</v>
      </c>
      <c r="M50" s="245">
        <v>6.715864763210716E-2</v>
      </c>
      <c r="N50" s="246">
        <v>1.6945936593477595</v>
      </c>
      <c r="O50" s="246">
        <v>1.3577625752259637</v>
      </c>
      <c r="P50" s="246">
        <v>11.773604889791214</v>
      </c>
      <c r="Q50" s="246">
        <v>15.658885816047809</v>
      </c>
      <c r="R50" s="246">
        <v>2.2989008715036703</v>
      </c>
      <c r="S50" s="246">
        <v>20.722521356503638</v>
      </c>
      <c r="T50" s="245">
        <v>-0.40937489754024503</v>
      </c>
      <c r="U50" s="245">
        <v>7.7982820927461833E-3</v>
      </c>
      <c r="V50" s="245">
        <v>-1.3016926116446899E-3</v>
      </c>
      <c r="W50" s="245">
        <v>0.28662293809310668</v>
      </c>
      <c r="X50" s="245">
        <v>0.10356883343367865</v>
      </c>
      <c r="Y50" s="245">
        <v>0.35133432350759741</v>
      </c>
      <c r="Z50" s="245">
        <v>0.35133432350759741</v>
      </c>
      <c r="AA50" s="247">
        <v>7.4917280524282939E-2</v>
      </c>
    </row>
    <row r="51" spans="1:27" ht="14">
      <c r="A51" s="244" t="s">
        <v>741</v>
      </c>
      <c r="B51" s="122">
        <v>334</v>
      </c>
      <c r="C51" s="245">
        <v>4.6036862745098023E-2</v>
      </c>
      <c r="D51" s="245">
        <v>0.14999164034895529</v>
      </c>
      <c r="E51" s="245">
        <v>6.1639717527291187E-2</v>
      </c>
      <c r="F51" s="245">
        <v>0.18978292304498715</v>
      </c>
      <c r="G51" s="246">
        <v>0.39129392968006665</v>
      </c>
      <c r="H51" s="246">
        <v>0.45700546948270204</v>
      </c>
      <c r="I51" s="245">
        <v>5.9822251596204294E-2</v>
      </c>
      <c r="J51" s="245">
        <v>0.15150889761067693</v>
      </c>
      <c r="K51" s="245">
        <v>4.5043E-2</v>
      </c>
      <c r="L51" s="245">
        <v>0.28742573556682555</v>
      </c>
      <c r="M51" s="245">
        <v>5.2337684983253967E-2</v>
      </c>
      <c r="N51" s="246">
        <v>0.47398717524974837</v>
      </c>
      <c r="O51" s="246">
        <v>5.415454683531844</v>
      </c>
      <c r="P51" s="246">
        <v>34.845251313805413</v>
      </c>
      <c r="Q51" s="246">
        <v>34.896040662166058</v>
      </c>
      <c r="R51" s="246">
        <v>2.0039088032674184</v>
      </c>
      <c r="S51" s="246">
        <v>69.378833078564355</v>
      </c>
      <c r="T51" s="245" t="s">
        <v>96</v>
      </c>
      <c r="U51" s="245">
        <v>2.9725746882996038E-2</v>
      </c>
      <c r="V51" s="245">
        <v>6.1361471889236401E-2</v>
      </c>
      <c r="W51" s="245">
        <v>0.54669683230965871</v>
      </c>
      <c r="X51" s="245">
        <v>0.13783634813168708</v>
      </c>
      <c r="Y51" s="245">
        <v>0.42105650684678592</v>
      </c>
      <c r="Z51" s="245">
        <v>0.42105650684678597</v>
      </c>
      <c r="AA51" s="247">
        <v>0.14670723243602463</v>
      </c>
    </row>
    <row r="52" spans="1:27" ht="14">
      <c r="A52" s="244" t="s">
        <v>742</v>
      </c>
      <c r="B52" s="122">
        <v>103</v>
      </c>
      <c r="C52" s="245">
        <v>4.712599999999998E-2</v>
      </c>
      <c r="D52" s="245">
        <v>0.14779213072591901</v>
      </c>
      <c r="E52" s="245">
        <v>0.24909385325604075</v>
      </c>
      <c r="F52" s="245">
        <v>0.21716795174857764</v>
      </c>
      <c r="G52" s="246">
        <v>0.9376095544061418</v>
      </c>
      <c r="H52" s="246">
        <v>1.0260564286029479</v>
      </c>
      <c r="I52" s="245">
        <v>8.5998595715735593E-2</v>
      </c>
      <c r="J52" s="245">
        <v>0.33444214078623241</v>
      </c>
      <c r="K52" s="245">
        <v>5.0854999999999997E-2</v>
      </c>
      <c r="L52" s="245">
        <v>0.14430985657050793</v>
      </c>
      <c r="M52" s="245">
        <v>7.9092309019652585E-2</v>
      </c>
      <c r="N52" s="246">
        <v>1.8716132403381998</v>
      </c>
      <c r="O52" s="246">
        <v>3.0699195050801884</v>
      </c>
      <c r="P52" s="246">
        <v>15.461408447841649</v>
      </c>
      <c r="Q52" s="246">
        <v>20.31238382156512</v>
      </c>
      <c r="R52" s="246">
        <v>4.3438247500417724</v>
      </c>
      <c r="S52" s="246">
        <v>26.951754964203868</v>
      </c>
      <c r="T52" s="245">
        <v>0.25173396431408457</v>
      </c>
      <c r="U52" s="245">
        <v>2.4425884717957834E-2</v>
      </c>
      <c r="V52" s="245">
        <v>6.4279580722076277E-2</v>
      </c>
      <c r="W52" s="245">
        <v>0.66768064881451694</v>
      </c>
      <c r="X52" s="245">
        <v>0.19022656097823037</v>
      </c>
      <c r="Y52" s="245">
        <v>0.3626998107382271</v>
      </c>
      <c r="Z52" s="245">
        <v>0.3626998107382271</v>
      </c>
      <c r="AA52" s="247">
        <v>0.15061465678939701</v>
      </c>
    </row>
    <row r="53" spans="1:27" ht="14">
      <c r="A53" s="244" t="s">
        <v>743</v>
      </c>
      <c r="B53" s="122">
        <v>68</v>
      </c>
      <c r="C53" s="245">
        <v>-1.3133333333333325E-2</v>
      </c>
      <c r="D53" s="245">
        <v>0.19621084093017843</v>
      </c>
      <c r="E53" s="245">
        <v>0.2402669710602103</v>
      </c>
      <c r="F53" s="245">
        <v>0.35286412829106101</v>
      </c>
      <c r="G53" s="246">
        <v>0.91212435483261867</v>
      </c>
      <c r="H53" s="246">
        <v>0.96247840953991504</v>
      </c>
      <c r="I53" s="245">
        <v>8.307400683883609E-2</v>
      </c>
      <c r="J53" s="245">
        <v>0.605593652790272</v>
      </c>
      <c r="K53" s="245">
        <v>5.3524000000000002E-2</v>
      </c>
      <c r="L53" s="245">
        <v>0.13659352614226641</v>
      </c>
      <c r="M53" s="245">
        <v>7.7209909233881727E-2</v>
      </c>
      <c r="N53" s="246">
        <v>1.2535014116480827</v>
      </c>
      <c r="O53" s="246">
        <v>2.937914549631262</v>
      </c>
      <c r="P53" s="246">
        <v>10.355846578641355</v>
      </c>
      <c r="Q53" s="246">
        <v>14.873774197012049</v>
      </c>
      <c r="R53" s="246">
        <v>3.2224919928098128</v>
      </c>
      <c r="S53" s="246">
        <v>33.132597557421676</v>
      </c>
      <c r="T53" s="245">
        <v>0.1532155838029568</v>
      </c>
      <c r="U53" s="245">
        <v>0.13030144622632117</v>
      </c>
      <c r="V53" s="245">
        <v>5.9114049217197283E-2</v>
      </c>
      <c r="W53" s="245">
        <v>0.63149629307441901</v>
      </c>
      <c r="X53" s="245">
        <v>0.12165895420384185</v>
      </c>
      <c r="Y53" s="245">
        <v>0.95470595148672233</v>
      </c>
      <c r="Z53" s="245">
        <v>0.95470595148672233</v>
      </c>
      <c r="AA53" s="247">
        <v>0.19557867619586258</v>
      </c>
    </row>
    <row r="54" spans="1:27" ht="14">
      <c r="A54" s="244" t="s">
        <v>744</v>
      </c>
      <c r="B54" s="122">
        <v>17</v>
      </c>
      <c r="C54" s="245">
        <v>0.15850384615384616</v>
      </c>
      <c r="D54" s="245">
        <v>7.2923117575051641E-2</v>
      </c>
      <c r="E54" s="245">
        <v>0.12926389341779917</v>
      </c>
      <c r="F54" s="245">
        <v>0.44322557458970102</v>
      </c>
      <c r="G54" s="246">
        <v>0.87643280799530487</v>
      </c>
      <c r="H54" s="246">
        <v>1.1394185236914496</v>
      </c>
      <c r="I54" s="245">
        <v>9.1213252089806685E-2</v>
      </c>
      <c r="J54" s="245">
        <v>0.30280062793938978</v>
      </c>
      <c r="K54" s="245">
        <v>5.0854999999999997E-2</v>
      </c>
      <c r="L54" s="245">
        <v>0.34456840647253745</v>
      </c>
      <c r="M54" s="245">
        <v>7.2926316901414823E-2</v>
      </c>
      <c r="N54" s="246">
        <v>2.0704085648273138</v>
      </c>
      <c r="O54" s="246">
        <v>1.1711022809028628</v>
      </c>
      <c r="P54" s="246">
        <v>9.3426486012209295</v>
      </c>
      <c r="Q54" s="246">
        <v>15.610563143808655</v>
      </c>
      <c r="R54" s="246">
        <v>2.5364199127790323</v>
      </c>
      <c r="S54" s="246">
        <v>249.15655023807091</v>
      </c>
      <c r="T54" s="245">
        <v>9.126079195854167E-2</v>
      </c>
      <c r="U54" s="245">
        <v>2.2936760875543978E-2</v>
      </c>
      <c r="V54" s="245">
        <v>1.9833530163557829E-2</v>
      </c>
      <c r="W54" s="245">
        <v>0.16580160140452149</v>
      </c>
      <c r="X54" s="245">
        <v>2.6638000470444002E-2</v>
      </c>
      <c r="Y54" s="245">
        <v>2.2516908050975011</v>
      </c>
      <c r="Z54" s="245">
        <v>2.2516908050975011</v>
      </c>
      <c r="AA54" s="247">
        <v>7.5269931494080691E-2</v>
      </c>
    </row>
    <row r="55" spans="1:27" ht="14">
      <c r="A55" s="244" t="s">
        <v>745</v>
      </c>
      <c r="B55" s="122">
        <v>4</v>
      </c>
      <c r="C55" s="245">
        <v>1.7600000000000001E-2</v>
      </c>
      <c r="D55" s="245">
        <v>0.15595793751029599</v>
      </c>
      <c r="E55" s="245">
        <v>0.17039770081786265</v>
      </c>
      <c r="F55" s="245">
        <v>0.29512418516063021</v>
      </c>
      <c r="G55" s="246">
        <v>0.64404501383935209</v>
      </c>
      <c r="H55" s="246">
        <v>0.67065158444684592</v>
      </c>
      <c r="I55" s="245">
        <v>6.9649972884554906E-2</v>
      </c>
      <c r="J55" s="245">
        <v>0.26444809223182186</v>
      </c>
      <c r="K55" s="245">
        <v>5.0854999999999997E-2</v>
      </c>
      <c r="L55" s="245">
        <v>0.11113222576377609</v>
      </c>
      <c r="M55" s="245">
        <v>6.6148338379420288E-2</v>
      </c>
      <c r="N55" s="246">
        <v>1.3700896826288935</v>
      </c>
      <c r="O55" s="246">
        <v>1.3474820849008362</v>
      </c>
      <c r="P55" s="246">
        <v>6.2381265148709089</v>
      </c>
      <c r="Q55" s="246">
        <v>8.5388407205521357</v>
      </c>
      <c r="R55" s="246">
        <v>1.816944677335053</v>
      </c>
      <c r="S55" s="246">
        <v>8.0182128970163014</v>
      </c>
      <c r="T55" s="245">
        <v>3.3696495250123547E-2</v>
      </c>
      <c r="U55" s="245">
        <v>7.3867785953544554E-2</v>
      </c>
      <c r="V55" s="245">
        <v>-2.148426775026158E-4</v>
      </c>
      <c r="W55" s="245">
        <v>-1.671215236463339E-2</v>
      </c>
      <c r="X55" s="245">
        <v>0.19851813516763073</v>
      </c>
      <c r="Y55" s="245">
        <v>0.37142296537371583</v>
      </c>
      <c r="Z55" s="245">
        <v>0.37142296537371577</v>
      </c>
      <c r="AA55" s="247">
        <v>0.15779316761156298</v>
      </c>
    </row>
    <row r="56" spans="1:27" ht="14">
      <c r="A56" s="244" t="s">
        <v>746</v>
      </c>
      <c r="B56" s="122">
        <v>166</v>
      </c>
      <c r="C56" s="245">
        <v>0.2328005882352942</v>
      </c>
      <c r="D56" s="245">
        <v>0.37265839691067637</v>
      </c>
      <c r="E56" s="245">
        <v>0.28405709355869363</v>
      </c>
      <c r="F56" s="245">
        <v>0.20342463510697406</v>
      </c>
      <c r="G56" s="246">
        <v>0.82142049675943762</v>
      </c>
      <c r="H56" s="246">
        <v>0.92989873869595874</v>
      </c>
      <c r="I56" s="245">
        <v>8.1575341980014093E-2</v>
      </c>
      <c r="J56" s="245">
        <v>0.46310335310672146</v>
      </c>
      <c r="K56" s="245">
        <v>5.0854999999999997E-2</v>
      </c>
      <c r="L56" s="245">
        <v>0.18884246603997282</v>
      </c>
      <c r="M56" s="245">
        <v>7.3373140940301229E-2</v>
      </c>
      <c r="N56" s="246">
        <v>0.79856329783464552</v>
      </c>
      <c r="O56" s="246">
        <v>2.6500043086455731</v>
      </c>
      <c r="P56" s="246">
        <v>4.6683778175149708</v>
      </c>
      <c r="Q56" s="246">
        <v>6.9825673409011877</v>
      </c>
      <c r="R56" s="246">
        <v>1.9431230096211636</v>
      </c>
      <c r="S56" s="246">
        <v>16.325943214833998</v>
      </c>
      <c r="T56" s="245">
        <v>9.9951288617362785E-3</v>
      </c>
      <c r="U56" s="245">
        <v>0.30047596852821296</v>
      </c>
      <c r="V56" s="245">
        <v>0.16046402665504775</v>
      </c>
      <c r="W56" s="245">
        <v>0.50395048936072928</v>
      </c>
      <c r="X56" s="245">
        <v>0.31094799857184063</v>
      </c>
      <c r="Y56" s="245">
        <v>0.31272316107697362</v>
      </c>
      <c r="Z56" s="245">
        <v>0.31272316107697362</v>
      </c>
      <c r="AA56" s="247">
        <v>0.37686234244190675</v>
      </c>
    </row>
    <row r="57" spans="1:27" ht="14">
      <c r="A57" s="244" t="s">
        <v>747</v>
      </c>
      <c r="B57" s="122">
        <v>24</v>
      </c>
      <c r="C57" s="245">
        <v>0.27451533333333339</v>
      </c>
      <c r="D57" s="245">
        <v>0.37953024273539593</v>
      </c>
      <c r="E57" s="245">
        <v>0.20602082553480802</v>
      </c>
      <c r="F57" s="245">
        <v>0.18244447623517368</v>
      </c>
      <c r="G57" s="246">
        <v>0.52912157126984105</v>
      </c>
      <c r="H57" s="246">
        <v>0.79075215100878704</v>
      </c>
      <c r="I57" s="245">
        <v>7.5174598946404214E-2</v>
      </c>
      <c r="J57" s="245">
        <v>0.32547547332498222</v>
      </c>
      <c r="K57" s="245">
        <v>5.0854999999999997E-2</v>
      </c>
      <c r="L57" s="245">
        <v>0.4125209705549901</v>
      </c>
      <c r="M57" s="245">
        <v>5.9897565896131919E-2</v>
      </c>
      <c r="N57" s="246">
        <v>0.59413677185269997</v>
      </c>
      <c r="O57" s="246">
        <v>3.5771916018946355</v>
      </c>
      <c r="P57" s="246">
        <v>7.3117668440851462</v>
      </c>
      <c r="Q57" s="246">
        <v>9.2923197649384655</v>
      </c>
      <c r="R57" s="246">
        <v>2.3169738478309978</v>
      </c>
      <c r="S57" s="246">
        <v>18.412840120237689</v>
      </c>
      <c r="T57" s="245">
        <v>2.5338522415672818E-2</v>
      </c>
      <c r="U57" s="245">
        <v>0.16531343804567911</v>
      </c>
      <c r="V57" s="245">
        <v>0.13121071073961837</v>
      </c>
      <c r="W57" s="245">
        <v>0.40284567963839019</v>
      </c>
      <c r="X57" s="245">
        <v>0.42406084058617804</v>
      </c>
      <c r="Y57" s="245">
        <v>0.39844096378722926</v>
      </c>
      <c r="Z57" s="245">
        <v>0.39844096378722926</v>
      </c>
      <c r="AA57" s="247">
        <v>0.38210569457340066</v>
      </c>
    </row>
    <row r="58" spans="1:27" ht="14">
      <c r="A58" s="244" t="s">
        <v>748</v>
      </c>
      <c r="B58" s="122">
        <v>100</v>
      </c>
      <c r="C58" s="245">
        <v>7.7372121212121239E-2</v>
      </c>
      <c r="D58" s="245">
        <v>8.7209149027514102E-2</v>
      </c>
      <c r="E58" s="245">
        <v>0.28021406956927292</v>
      </c>
      <c r="F58" s="245">
        <v>0.2183798745548326</v>
      </c>
      <c r="G58" s="246">
        <v>0.85290173814940118</v>
      </c>
      <c r="H58" s="246">
        <v>0.9795500315745983</v>
      </c>
      <c r="I58" s="245">
        <v>8.385930145243152E-2</v>
      </c>
      <c r="J58" s="245">
        <v>0.43728736432048126</v>
      </c>
      <c r="K58" s="245">
        <v>5.0854999999999997E-2</v>
      </c>
      <c r="L58" s="245">
        <v>0.24322695079309051</v>
      </c>
      <c r="M58" s="245">
        <v>7.2739439201454981E-2</v>
      </c>
      <c r="N58" s="246">
        <v>3.553462668606814</v>
      </c>
      <c r="O58" s="246">
        <v>0.62823830145194459</v>
      </c>
      <c r="P58" s="246">
        <v>5.4241303880351577</v>
      </c>
      <c r="Q58" s="246">
        <v>7.0794352962597635</v>
      </c>
      <c r="R58" s="246">
        <v>1.9840962070304522</v>
      </c>
      <c r="S58" s="246">
        <v>70.298228177707173</v>
      </c>
      <c r="T58" s="245">
        <v>6.3418447061245012E-2</v>
      </c>
      <c r="U58" s="245">
        <v>2.3634819010543238E-2</v>
      </c>
      <c r="V58" s="245">
        <v>5.7629495091217316E-3</v>
      </c>
      <c r="W58" s="245">
        <v>0.15485672710250106</v>
      </c>
      <c r="X58" s="245">
        <v>0.29646913716435203</v>
      </c>
      <c r="Y58" s="245">
        <v>0.18808725311152891</v>
      </c>
      <c r="Z58" s="245">
        <v>0.18808725311152896</v>
      </c>
      <c r="AA58" s="247">
        <v>8.846245675775162E-2</v>
      </c>
    </row>
    <row r="59" spans="1:27" ht="14">
      <c r="A59" s="244" t="s">
        <v>749</v>
      </c>
      <c r="B59" s="122">
        <v>11</v>
      </c>
      <c r="C59" s="245">
        <v>4.6280999999999996E-2</v>
      </c>
      <c r="D59" s="245">
        <v>0.10136344113969289</v>
      </c>
      <c r="E59" s="245">
        <v>0.14468950470501363</v>
      </c>
      <c r="F59" s="245">
        <v>0.2143667790493376</v>
      </c>
      <c r="G59" s="246">
        <v>0.59401445549826037</v>
      </c>
      <c r="H59" s="246">
        <v>0.86758967833953515</v>
      </c>
      <c r="I59" s="245">
        <v>7.8709125203618613E-2</v>
      </c>
      <c r="J59" s="245">
        <v>0.22797402634512051</v>
      </c>
      <c r="K59" s="245">
        <v>4.5043E-2</v>
      </c>
      <c r="L59" s="245">
        <v>0.41684587791945077</v>
      </c>
      <c r="M59" s="245">
        <v>5.9981542467188606E-2</v>
      </c>
      <c r="N59" s="246">
        <v>1.8070981130643691</v>
      </c>
      <c r="O59" s="246">
        <v>1.4851151918346988</v>
      </c>
      <c r="P59" s="246">
        <v>9.2815278201038112</v>
      </c>
      <c r="Q59" s="246">
        <v>14.548466635999445</v>
      </c>
      <c r="R59" s="246">
        <v>2.9619162642561543</v>
      </c>
      <c r="S59" s="246">
        <v>17.370818385055024</v>
      </c>
      <c r="T59" s="245">
        <v>7.6715870784513529E-2</v>
      </c>
      <c r="U59" s="245">
        <v>6.7633210085312132E-2</v>
      </c>
      <c r="V59" s="245">
        <v>3.8600392724298972E-2</v>
      </c>
      <c r="W59" s="245">
        <v>0.70321264532913874</v>
      </c>
      <c r="X59" s="245">
        <v>0.19622775667533635</v>
      </c>
      <c r="Y59" s="245">
        <v>0.25848828708559801</v>
      </c>
      <c r="Z59" s="245">
        <v>0.25848828708559801</v>
      </c>
      <c r="AA59" s="247">
        <v>0.10208646007753597</v>
      </c>
    </row>
    <row r="60" spans="1:27" ht="14">
      <c r="A60" s="244" t="s">
        <v>750</v>
      </c>
      <c r="B60" s="122">
        <v>7</v>
      </c>
      <c r="C60" s="245">
        <v>3.8425000000000001E-2</v>
      </c>
      <c r="D60" s="245">
        <v>9.9619899214932001E-2</v>
      </c>
      <c r="E60" s="245">
        <v>0.18901373691463047</v>
      </c>
      <c r="F60" s="245">
        <v>0.30911701363962674</v>
      </c>
      <c r="G60" s="246">
        <v>1.5902925666995296</v>
      </c>
      <c r="H60" s="246">
        <v>1.9382231536190784</v>
      </c>
      <c r="I60" s="245">
        <v>0.12795826506647762</v>
      </c>
      <c r="J60" s="245">
        <v>0.43036486711913036</v>
      </c>
      <c r="K60" s="245">
        <v>5.0854999999999997E-2</v>
      </c>
      <c r="L60" s="245">
        <v>0.27203680189153673</v>
      </c>
      <c r="M60" s="245">
        <v>0.10352473153234908</v>
      </c>
      <c r="N60" s="246">
        <v>2.1382237014668712</v>
      </c>
      <c r="O60" s="246">
        <v>1.039978868393705</v>
      </c>
      <c r="P60" s="246">
        <v>7.0633686570128136</v>
      </c>
      <c r="Q60" s="246">
        <v>10.309929699692999</v>
      </c>
      <c r="R60" s="246">
        <v>2.420835985244048</v>
      </c>
      <c r="S60" s="246">
        <v>19.990268135629133</v>
      </c>
      <c r="T60" s="245">
        <v>0.12896672468828177</v>
      </c>
      <c r="U60" s="245">
        <v>7.5908105941041221E-2</v>
      </c>
      <c r="V60" s="245">
        <v>5.0747159393665635E-2</v>
      </c>
      <c r="W60" s="245">
        <v>0.99702940057992662</v>
      </c>
      <c r="X60" s="245">
        <v>0.15165444471442061</v>
      </c>
      <c r="Y60" s="245">
        <v>0.27578599007170435</v>
      </c>
      <c r="Z60" s="245">
        <v>0.27578599007170435</v>
      </c>
      <c r="AA60" s="247">
        <v>0.10140987860769964</v>
      </c>
    </row>
    <row r="61" spans="1:27" ht="14">
      <c r="A61" s="244" t="s">
        <v>751</v>
      </c>
      <c r="B61" s="122">
        <v>50</v>
      </c>
      <c r="C61" s="245">
        <v>5.3279999999999987E-2</v>
      </c>
      <c r="D61" s="245">
        <v>0.16292988851641926</v>
      </c>
      <c r="E61" s="245">
        <v>5.7838808795451627E-2</v>
      </c>
      <c r="F61" s="245">
        <v>0.16140322753814085</v>
      </c>
      <c r="G61" s="246">
        <v>0.3885061927976376</v>
      </c>
      <c r="H61" s="246">
        <v>0.65062741829817849</v>
      </c>
      <c r="I61" s="245">
        <v>6.8728861241716205E-2</v>
      </c>
      <c r="J61" s="245">
        <v>0.20394370124554315</v>
      </c>
      <c r="K61" s="245">
        <v>4.5043E-2</v>
      </c>
      <c r="L61" s="245">
        <v>0.48166097793207796</v>
      </c>
      <c r="M61" s="245">
        <v>5.189644229561903E-2</v>
      </c>
      <c r="N61" s="246">
        <v>0.4114319764618295</v>
      </c>
      <c r="O61" s="246">
        <v>3.7153854274683433</v>
      </c>
      <c r="P61" s="246">
        <v>11.691846058595218</v>
      </c>
      <c r="Q61" s="246">
        <v>22.339910401761529</v>
      </c>
      <c r="R61" s="246">
        <v>1.7113225687107074</v>
      </c>
      <c r="S61" s="246">
        <v>23.19158205893271</v>
      </c>
      <c r="T61" s="245">
        <v>8.2551593545111768E-2</v>
      </c>
      <c r="U61" s="245">
        <v>0.33954089511344704</v>
      </c>
      <c r="V61" s="245">
        <v>0.22702951827873996</v>
      </c>
      <c r="W61" s="245">
        <v>1.7342755771524554</v>
      </c>
      <c r="X61" s="245">
        <v>8.6033634105900814E-2</v>
      </c>
      <c r="Y61" s="245">
        <v>0.76674406940227546</v>
      </c>
      <c r="Z61" s="245">
        <v>0.76674406940227546</v>
      </c>
      <c r="AA61" s="247">
        <v>0.16287010099737925</v>
      </c>
    </row>
    <row r="62" spans="1:27" ht="14">
      <c r="A62" s="244" t="s">
        <v>752</v>
      </c>
      <c r="B62" s="122">
        <v>61</v>
      </c>
      <c r="C62" s="245">
        <v>0.116358</v>
      </c>
      <c r="D62" s="245">
        <v>9.4815347859160626E-2</v>
      </c>
      <c r="E62" s="245">
        <v>4.6929693296862557E-2</v>
      </c>
      <c r="F62" s="245">
        <v>0.22878493646304626</v>
      </c>
      <c r="G62" s="246">
        <v>0.83008391475465471</v>
      </c>
      <c r="H62" s="246">
        <v>0.86895093981506022</v>
      </c>
      <c r="I62" s="245">
        <v>7.8771743231492775E-2</v>
      </c>
      <c r="J62" s="245">
        <v>0.63609473927989657</v>
      </c>
      <c r="K62" s="245">
        <v>5.3524000000000002E-2</v>
      </c>
      <c r="L62" s="245">
        <v>0.13198988940179562</v>
      </c>
      <c r="M62" s="245">
        <v>7.3673139684637678E-2</v>
      </c>
      <c r="N62" s="246">
        <v>0.50505304327330192</v>
      </c>
      <c r="O62" s="246">
        <v>3.955802095084481</v>
      </c>
      <c r="P62" s="246">
        <v>13.009572620028603</v>
      </c>
      <c r="Q62" s="246">
        <v>40.056477737396648</v>
      </c>
      <c r="R62" s="246">
        <v>2.0363465513114485</v>
      </c>
      <c r="S62" s="246">
        <v>34.232639448888236</v>
      </c>
      <c r="T62" s="245">
        <v>9.8325052009865355E-2</v>
      </c>
      <c r="U62" s="245">
        <v>0.25407970239525501</v>
      </c>
      <c r="V62" s="245">
        <v>9.5405975749894428E-2</v>
      </c>
      <c r="W62" s="245">
        <v>1.4626231735473461</v>
      </c>
      <c r="X62" s="245">
        <v>-2.3341970007055318E-2</v>
      </c>
      <c r="Y62" s="245">
        <v>8.8351216929083726E-3</v>
      </c>
      <c r="Z62" s="245">
        <v>8.8351216929083431E-3</v>
      </c>
      <c r="AA62" s="247">
        <v>9.4817432437201393E-2</v>
      </c>
    </row>
    <row r="63" spans="1:27" ht="14">
      <c r="A63" s="244" t="s">
        <v>753</v>
      </c>
      <c r="B63" s="122">
        <v>13</v>
      </c>
      <c r="C63" s="245">
        <v>1.886888888888889E-2</v>
      </c>
      <c r="D63" s="245">
        <v>7.586053639846746E-2</v>
      </c>
      <c r="E63" s="245">
        <v>0.11743909189085758</v>
      </c>
      <c r="F63" s="245">
        <v>0.33496727251475661</v>
      </c>
      <c r="G63" s="246">
        <v>0.80705437488394349</v>
      </c>
      <c r="H63" s="246">
        <v>0.91822392434292299</v>
      </c>
      <c r="I63" s="245">
        <v>8.1038300519774453E-2</v>
      </c>
      <c r="J63" s="245">
        <v>0.31017152439390305</v>
      </c>
      <c r="K63" s="245">
        <v>5.0854999999999997E-2</v>
      </c>
      <c r="L63" s="245">
        <v>0.22320484003526761</v>
      </c>
      <c r="M63" s="245">
        <v>7.1463471220523392E-2</v>
      </c>
      <c r="N63" s="246">
        <v>1.8067191265961897</v>
      </c>
      <c r="O63" s="246">
        <v>1.6155964877241813</v>
      </c>
      <c r="P63" s="246">
        <v>11.874911514750378</v>
      </c>
      <c r="Q63" s="246">
        <v>22.460692247101811</v>
      </c>
      <c r="R63" s="246">
        <v>2.0327328801923263</v>
      </c>
      <c r="S63" s="246">
        <v>33.966609637973768</v>
      </c>
      <c r="T63" s="245">
        <v>0.11799856960408685</v>
      </c>
      <c r="U63" s="245">
        <v>3.7843627075351223E-2</v>
      </c>
      <c r="V63" s="245">
        <v>-1.4497011494252865E-2</v>
      </c>
      <c r="W63" s="245">
        <v>-0.12400404330731554</v>
      </c>
      <c r="X63" s="245">
        <v>2.5384759683220643E-2</v>
      </c>
      <c r="Y63" s="245">
        <v>0.96086621256907867</v>
      </c>
      <c r="Z63" s="245">
        <v>0.96086621256907867</v>
      </c>
      <c r="AA63" s="247">
        <v>7.2628247793605716E-2</v>
      </c>
    </row>
    <row r="64" spans="1:27" ht="14">
      <c r="A64" s="244" t="s">
        <v>754</v>
      </c>
      <c r="B64" s="122">
        <v>181</v>
      </c>
      <c r="C64" s="245">
        <v>7.9506184210526312E-2</v>
      </c>
      <c r="D64" s="245">
        <v>0.22306419369090053</v>
      </c>
      <c r="E64" s="245">
        <v>2.604602253380742E-2</v>
      </c>
      <c r="F64" s="245">
        <v>3.423555993824276E-2</v>
      </c>
      <c r="G64" s="246">
        <v>0.65364907272884065</v>
      </c>
      <c r="H64" s="246">
        <v>1.0241702628809981</v>
      </c>
      <c r="I64" s="245">
        <v>8.5911832092525911E-2</v>
      </c>
      <c r="J64" s="245">
        <v>0.23590766129106594</v>
      </c>
      <c r="K64" s="245">
        <v>4.5043E-2</v>
      </c>
      <c r="L64" s="245">
        <v>0.4437436539441254</v>
      </c>
      <c r="M64" s="245">
        <v>6.2779660856208216E-2</v>
      </c>
      <c r="N64" s="246">
        <v>0.13519492153145526</v>
      </c>
      <c r="O64" s="246">
        <v>11.736514441111494</v>
      </c>
      <c r="P64" s="246">
        <v>21.912087518157193</v>
      </c>
      <c r="Q64" s="246">
        <v>53.479159627199742</v>
      </c>
      <c r="R64" s="246">
        <v>1.9827496103359104</v>
      </c>
      <c r="S64" s="246">
        <v>123.35864097594961</v>
      </c>
      <c r="T64" s="245">
        <v>1.1777065426859592</v>
      </c>
      <c r="U64" s="245">
        <v>2.0877749230665748E-2</v>
      </c>
      <c r="V64" s="245">
        <v>-0.16888406313044227</v>
      </c>
      <c r="W64" s="245">
        <v>-0.82957560768677063</v>
      </c>
      <c r="X64" s="245">
        <v>4.1547193007393492E-2</v>
      </c>
      <c r="Y64" s="245">
        <v>2.320757535648835</v>
      </c>
      <c r="Z64" s="245">
        <v>2.320757535648835</v>
      </c>
      <c r="AA64" s="247">
        <v>0.19653209531683402</v>
      </c>
    </row>
    <row r="65" spans="1:27" ht="14">
      <c r="A65" s="244" t="s">
        <v>755</v>
      </c>
      <c r="B65" s="122">
        <v>17</v>
      </c>
      <c r="C65" s="245">
        <v>0.55561666666666665</v>
      </c>
      <c r="D65" s="245">
        <v>0.1260895802230371</v>
      </c>
      <c r="E65" s="245">
        <v>2.9287042485061747E-2</v>
      </c>
      <c r="F65" s="245">
        <v>0.24259357814440308</v>
      </c>
      <c r="G65" s="246">
        <v>0.4314363177605709</v>
      </c>
      <c r="H65" s="246">
        <v>0.66859406140799615</v>
      </c>
      <c r="I65" s="245">
        <v>6.9555326824767824E-2</v>
      </c>
      <c r="J65" s="245">
        <v>0.34240037014717128</v>
      </c>
      <c r="K65" s="245">
        <v>5.0854999999999997E-2</v>
      </c>
      <c r="L65" s="245">
        <v>0.48479507760579099</v>
      </c>
      <c r="M65" s="245">
        <v>5.4325937012590225E-2</v>
      </c>
      <c r="N65" s="246">
        <v>0.26632691318970303</v>
      </c>
      <c r="O65" s="246">
        <v>4.3826293726146881</v>
      </c>
      <c r="P65" s="246">
        <v>17.93205737756681</v>
      </c>
      <c r="Q65" s="246">
        <v>36.271131152719285</v>
      </c>
      <c r="R65" s="246">
        <v>1.3514347597641898</v>
      </c>
      <c r="S65" s="246">
        <v>8.0221176983239513</v>
      </c>
      <c r="T65" s="245">
        <v>4.0784818863112492E-2</v>
      </c>
      <c r="U65" s="245">
        <v>2.5419140294122532E-2</v>
      </c>
      <c r="V65" s="245">
        <v>-5.9288075101082707E-2</v>
      </c>
      <c r="W65" s="245">
        <v>-0.97271208117751418</v>
      </c>
      <c r="X65" s="245">
        <v>-8.5380378934187581E-2</v>
      </c>
      <c r="Y65" s="245">
        <v>0</v>
      </c>
      <c r="Z65" s="245">
        <v>0</v>
      </c>
      <c r="AA65" s="247">
        <v>0.11158676233778687</v>
      </c>
    </row>
    <row r="66" spans="1:27" ht="14">
      <c r="A66" s="244" t="s">
        <v>756</v>
      </c>
      <c r="B66" s="122">
        <v>11</v>
      </c>
      <c r="C66" s="245">
        <v>9.080400000000001E-2</v>
      </c>
      <c r="D66" s="245">
        <v>0.16131826431281968</v>
      </c>
      <c r="E66" s="245">
        <v>5.3122203722769448E-2</v>
      </c>
      <c r="F66" s="245">
        <v>0.17400095021907827</v>
      </c>
      <c r="G66" s="246">
        <v>0.51252675181814633</v>
      </c>
      <c r="H66" s="246">
        <v>0.56357223766363951</v>
      </c>
      <c r="I66" s="245">
        <v>6.4724322932527417E-2</v>
      </c>
      <c r="J66" s="245">
        <v>0.35907096541478567</v>
      </c>
      <c r="K66" s="245">
        <v>5.0854999999999997E-2</v>
      </c>
      <c r="L66" s="245">
        <v>0.24171470192446345</v>
      </c>
      <c r="M66" s="245">
        <v>5.8298803382405277E-2</v>
      </c>
      <c r="N66" s="246">
        <v>0.37242041233481304</v>
      </c>
      <c r="O66" s="246">
        <v>4.7788406442155482</v>
      </c>
      <c r="P66" s="246">
        <v>18.009159397595386</v>
      </c>
      <c r="Q66" s="246">
        <v>28.438668024742345</v>
      </c>
      <c r="R66" s="246">
        <v>1.2470691827068427</v>
      </c>
      <c r="S66" s="246">
        <v>33.226230825792904</v>
      </c>
      <c r="T66" s="245">
        <v>2.0129995050321732</v>
      </c>
      <c r="U66" s="245">
        <v>2.8403728757630749E-2</v>
      </c>
      <c r="V66" s="245">
        <v>-5.1359511631743945E-2</v>
      </c>
      <c r="W66" s="245">
        <v>-0.59412378257803355</v>
      </c>
      <c r="X66" s="245">
        <v>9.1092056157810561E-2</v>
      </c>
      <c r="Y66" s="245">
        <v>0.24923181973369751</v>
      </c>
      <c r="Z66" s="245">
        <v>0.24923181973369757</v>
      </c>
      <c r="AA66" s="247">
        <v>0.1643542931994576</v>
      </c>
    </row>
    <row r="67" spans="1:27" ht="14">
      <c r="A67" s="244" t="s">
        <v>757</v>
      </c>
      <c r="B67" s="122">
        <v>60</v>
      </c>
      <c r="C67" s="245">
        <v>5.4392666666666666E-2</v>
      </c>
      <c r="D67" s="245">
        <v>-2.8357035717595817E-3</v>
      </c>
      <c r="E67" s="245">
        <v>6.7119159647465029E-4</v>
      </c>
      <c r="F67" s="245">
        <v>0.18035278243626368</v>
      </c>
      <c r="G67" s="246">
        <v>0.88284638532075765</v>
      </c>
      <c r="H67" s="246">
        <v>1.0801188936162607</v>
      </c>
      <c r="I67" s="245">
        <v>8.8485469106347997E-2</v>
      </c>
      <c r="J67" s="245">
        <v>0.44192228893495522</v>
      </c>
      <c r="K67" s="245">
        <v>5.0854999999999997E-2</v>
      </c>
      <c r="L67" s="245">
        <v>0.30827148132425231</v>
      </c>
      <c r="M67" s="245">
        <v>7.2965782106321375E-2</v>
      </c>
      <c r="N67" s="246">
        <v>1.44524314073108</v>
      </c>
      <c r="O67" s="246">
        <v>1.5074220348746605</v>
      </c>
      <c r="P67" s="246">
        <v>14.981930532197556</v>
      </c>
      <c r="Q67" s="246" t="s">
        <v>96</v>
      </c>
      <c r="R67" s="246">
        <v>2.8721502379113324</v>
      </c>
      <c r="S67" s="246">
        <v>104.23604792269977</v>
      </c>
      <c r="T67" s="245">
        <v>9.6938280068516611E-2</v>
      </c>
      <c r="U67" s="245">
        <v>1.3030956034781528E-2</v>
      </c>
      <c r="V67" s="245">
        <v>-1.1660648443319731E-2</v>
      </c>
      <c r="W67" s="245" t="s">
        <v>96</v>
      </c>
      <c r="X67" s="245">
        <v>-8.2699453594316241E-2</v>
      </c>
      <c r="Y67" s="245">
        <v>7.6188461338059024E-3</v>
      </c>
      <c r="Z67" s="245">
        <v>7.6188461338059232E-3</v>
      </c>
      <c r="AA67" s="247">
        <v>4.8652777182227547E-4</v>
      </c>
    </row>
    <row r="68" spans="1:27" ht="14">
      <c r="A68" s="244" t="s">
        <v>758</v>
      </c>
      <c r="B68" s="122">
        <v>55</v>
      </c>
      <c r="C68" s="245">
        <v>0.10951862068965518</v>
      </c>
      <c r="D68" s="245">
        <v>9.6590436589090084E-2</v>
      </c>
      <c r="E68" s="245">
        <v>9.5367541711306333E-2</v>
      </c>
      <c r="F68" s="245">
        <v>0.27908973850786251</v>
      </c>
      <c r="G68" s="246">
        <v>0.84887800605574826</v>
      </c>
      <c r="H68" s="246">
        <v>1.17128693009822</v>
      </c>
      <c r="I68" s="245">
        <v>9.2679198784518121E-2</v>
      </c>
      <c r="J68" s="245">
        <v>0.44295221149390968</v>
      </c>
      <c r="K68" s="245">
        <v>5.0854999999999997E-2</v>
      </c>
      <c r="L68" s="245">
        <v>0.36938218119030658</v>
      </c>
      <c r="M68" s="245">
        <v>7.2533852304847587E-2</v>
      </c>
      <c r="N68" s="246">
        <v>1.28318501683349</v>
      </c>
      <c r="O68" s="246">
        <v>1.8421118883204324</v>
      </c>
      <c r="P68" s="246">
        <v>9.9873894498440308</v>
      </c>
      <c r="Q68" s="246">
        <v>21.71796210872423</v>
      </c>
      <c r="R68" s="246">
        <v>3.4596231451635577</v>
      </c>
      <c r="S68" s="246">
        <v>27.700115574206265</v>
      </c>
      <c r="T68" s="245">
        <v>0.18037794033907653</v>
      </c>
      <c r="U68" s="245">
        <v>7.1115609943383618E-2</v>
      </c>
      <c r="V68" s="245">
        <v>3.2100923079553575E-2</v>
      </c>
      <c r="W68" s="245">
        <v>0.56158342782299575</v>
      </c>
      <c r="X68" s="245">
        <v>2.5626629604530146E-2</v>
      </c>
      <c r="Y68" s="245">
        <v>1.9958513365724233</v>
      </c>
      <c r="Z68" s="245">
        <v>1.9958513365724233</v>
      </c>
      <c r="AA68" s="247">
        <v>8.10090946051851E-2</v>
      </c>
    </row>
    <row r="69" spans="1:27" ht="14">
      <c r="A69" s="244" t="s">
        <v>759</v>
      </c>
      <c r="B69" s="122">
        <v>1</v>
      </c>
      <c r="C69" s="245">
        <v>6.9500000000000006E-2</v>
      </c>
      <c r="D69" s="245">
        <v>9.6556719411633601E-2</v>
      </c>
      <c r="E69" s="245">
        <v>0.30116910073399067</v>
      </c>
      <c r="F69" s="245">
        <v>0.22953020134228189</v>
      </c>
      <c r="G69" s="246">
        <v>0.60985091839783168</v>
      </c>
      <c r="H69" s="246">
        <v>0.65514402605202471</v>
      </c>
      <c r="I69" s="245">
        <v>6.8936625198393137E-2</v>
      </c>
      <c r="J69" s="245">
        <v>0.17094029032718663</v>
      </c>
      <c r="K69" s="245">
        <v>4.5043E-2</v>
      </c>
      <c r="L69" s="245">
        <v>0.29842458571273739</v>
      </c>
      <c r="M69" s="245">
        <v>5.8445695343822532E-2</v>
      </c>
      <c r="N69" s="246">
        <v>4.0484415459074663</v>
      </c>
      <c r="O69" s="246">
        <v>0.68963176352401712</v>
      </c>
      <c r="P69" s="246">
        <v>7.2830308277311326</v>
      </c>
      <c r="Q69" s="246">
        <v>7.1425014429623443</v>
      </c>
      <c r="R69" s="246">
        <v>1.3077640132466577</v>
      </c>
      <c r="S69" s="246">
        <v>9.3446099912357585</v>
      </c>
      <c r="T69" s="245">
        <v>0.17093826610207266</v>
      </c>
      <c r="U69" s="245">
        <v>1.4486293737463784E-3</v>
      </c>
      <c r="V69" s="245">
        <v>4.3263873412079337E-2</v>
      </c>
      <c r="W69" s="245">
        <v>0.75607995316740739</v>
      </c>
      <c r="X69" s="245">
        <v>0.31234601697235148</v>
      </c>
      <c r="Y69" s="245">
        <v>0.18930762489044697</v>
      </c>
      <c r="Z69" s="245">
        <v>0.18930762489044695</v>
      </c>
      <c r="AA69" s="247">
        <v>9.6553255050935372E-2</v>
      </c>
    </row>
    <row r="70" spans="1:27" ht="14">
      <c r="A70" s="244" t="s">
        <v>760</v>
      </c>
      <c r="B70" s="122">
        <v>64</v>
      </c>
      <c r="C70" s="245">
        <v>6.7960000000000007E-2</v>
      </c>
      <c r="D70" s="245">
        <v>0.15800225916236191</v>
      </c>
      <c r="E70" s="245">
        <v>0.19557552942837814</v>
      </c>
      <c r="F70" s="245">
        <v>0.19967846424718289</v>
      </c>
      <c r="G70" s="246">
        <v>1.0243276951296387</v>
      </c>
      <c r="H70" s="246">
        <v>1.194577320424228</v>
      </c>
      <c r="I70" s="245">
        <v>9.375055673951449E-2</v>
      </c>
      <c r="J70" s="245">
        <v>0.35372310643077254</v>
      </c>
      <c r="K70" s="245">
        <v>5.0854999999999997E-2</v>
      </c>
      <c r="L70" s="245">
        <v>0.20462608516509845</v>
      </c>
      <c r="M70" s="245">
        <v>8.2371442002662512E-2</v>
      </c>
      <c r="N70" s="246">
        <v>1.6196890156518917</v>
      </c>
      <c r="O70" s="246">
        <v>4.1943615958584566</v>
      </c>
      <c r="P70" s="246">
        <v>16.598910443571427</v>
      </c>
      <c r="Q70" s="246">
        <v>29.333020694460565</v>
      </c>
      <c r="R70" s="246" t="s">
        <v>96</v>
      </c>
      <c r="S70" s="246">
        <v>94.189098132402151</v>
      </c>
      <c r="T70" s="245">
        <v>8.6042887900802303E-3</v>
      </c>
      <c r="U70" s="245">
        <v>5.7944026102845256E-2</v>
      </c>
      <c r="V70" s="245">
        <v>3.5722685370995058E-2</v>
      </c>
      <c r="W70" s="245">
        <v>0.34511083241843721</v>
      </c>
      <c r="X70" s="245" t="s">
        <v>96</v>
      </c>
      <c r="Y70" s="245">
        <v>0.53075598955740277</v>
      </c>
      <c r="Z70" s="245">
        <v>0.53075598955740277</v>
      </c>
      <c r="AA70" s="247">
        <v>0.13614064338279905</v>
      </c>
    </row>
    <row r="71" spans="1:27" ht="14">
      <c r="A71" s="244" t="s">
        <v>761</v>
      </c>
      <c r="B71" s="122">
        <v>30</v>
      </c>
      <c r="C71" s="245">
        <v>0.17498636363636366</v>
      </c>
      <c r="D71" s="245">
        <v>6.1756206429810209E-2</v>
      </c>
      <c r="E71" s="245">
        <v>0.13195481158300898</v>
      </c>
      <c r="F71" s="245">
        <v>0.23751485780163534</v>
      </c>
      <c r="G71" s="246">
        <v>1.0587643053346871</v>
      </c>
      <c r="H71" s="246">
        <v>1.4944959500823904</v>
      </c>
      <c r="I71" s="245">
        <v>0.10754681370378996</v>
      </c>
      <c r="J71" s="245">
        <v>0.46787574959813977</v>
      </c>
      <c r="K71" s="245">
        <v>5.0854999999999997E-2</v>
      </c>
      <c r="L71" s="245">
        <v>0.36513247499984208</v>
      </c>
      <c r="M71" s="245">
        <v>8.2204588449865917E-2</v>
      </c>
      <c r="N71" s="246">
        <v>2.6698337874045341</v>
      </c>
      <c r="O71" s="246">
        <v>1.0494760169508079</v>
      </c>
      <c r="P71" s="246">
        <v>11.625721407059311</v>
      </c>
      <c r="Q71" s="246">
        <v>17.424466432833757</v>
      </c>
      <c r="R71" s="246">
        <v>6.9701147308624885</v>
      </c>
      <c r="S71" s="246">
        <v>17.888727923754509</v>
      </c>
      <c r="T71" s="245">
        <v>9.9833697994084286E-2</v>
      </c>
      <c r="U71" s="245">
        <v>1.9066371040589995E-2</v>
      </c>
      <c r="V71" s="245">
        <v>2.1762603098834987E-2</v>
      </c>
      <c r="W71" s="245">
        <v>0.71346116785558666</v>
      </c>
      <c r="X71" s="245">
        <v>0.47328545526154348</v>
      </c>
      <c r="Y71" s="245">
        <v>5.7941597498037609E-2</v>
      </c>
      <c r="Z71" s="245">
        <v>5.7941597498037622E-2</v>
      </c>
      <c r="AA71" s="247">
        <v>5.7130049786012285E-2</v>
      </c>
    </row>
    <row r="72" spans="1:27" ht="14">
      <c r="A72" s="244" t="s">
        <v>762</v>
      </c>
      <c r="B72" s="122">
        <v>16</v>
      </c>
      <c r="C72" s="245">
        <v>8.9053846153846164E-2</v>
      </c>
      <c r="D72" s="245">
        <v>0.12513815577176424</v>
      </c>
      <c r="E72" s="245">
        <v>0.39426101011063314</v>
      </c>
      <c r="F72" s="245">
        <v>0.24040748843756385</v>
      </c>
      <c r="G72" s="246">
        <v>1.704153179546406</v>
      </c>
      <c r="H72" s="246">
        <v>1.9381785697071496</v>
      </c>
      <c r="I72" s="245">
        <v>0.12795621420652886</v>
      </c>
      <c r="J72" s="245">
        <v>0.45210582664645632</v>
      </c>
      <c r="K72" s="245">
        <v>5.0854999999999997E-2</v>
      </c>
      <c r="L72" s="245">
        <v>0.16613035370375878</v>
      </c>
      <c r="M72" s="245">
        <v>0.11303522243500778</v>
      </c>
      <c r="N72" s="246">
        <v>3.6418165867455921</v>
      </c>
      <c r="O72" s="246">
        <v>2.1699324764427979</v>
      </c>
      <c r="P72" s="246">
        <v>13.331901910729169</v>
      </c>
      <c r="Q72" s="246">
        <v>17.190761080323021</v>
      </c>
      <c r="R72" s="246" t="s">
        <v>96</v>
      </c>
      <c r="S72" s="246">
        <v>27.87080707923468</v>
      </c>
      <c r="T72" s="245">
        <v>8.4696827644573189E-2</v>
      </c>
      <c r="U72" s="245">
        <v>2.4278467792407967E-2</v>
      </c>
      <c r="V72" s="245">
        <v>8.4849635897816383E-3</v>
      </c>
      <c r="W72" s="245">
        <v>2.3337337560001278E-2</v>
      </c>
      <c r="X72" s="245" t="s">
        <v>96</v>
      </c>
      <c r="Y72" s="245">
        <v>0.46644741818218693</v>
      </c>
      <c r="Z72" s="245">
        <v>0.46644741818218693</v>
      </c>
      <c r="AA72" s="247">
        <v>0.1238432505090802</v>
      </c>
    </row>
    <row r="73" spans="1:27" ht="14">
      <c r="A73" s="244" t="s">
        <v>763</v>
      </c>
      <c r="B73" s="122">
        <v>62</v>
      </c>
      <c r="C73" s="245">
        <v>5.8054594594594583E-2</v>
      </c>
      <c r="D73" s="245">
        <v>0.11953213688630857</v>
      </c>
      <c r="E73" s="245">
        <v>0.18608587925495401</v>
      </c>
      <c r="F73" s="245">
        <v>0.23449866940082945</v>
      </c>
      <c r="G73" s="246">
        <v>0.90932555384051728</v>
      </c>
      <c r="H73" s="246">
        <v>1.106042693037566</v>
      </c>
      <c r="I73" s="245">
        <v>8.967796387972804E-2</v>
      </c>
      <c r="J73" s="245">
        <v>0.37735750438183585</v>
      </c>
      <c r="K73" s="245">
        <v>5.0854999999999997E-2</v>
      </c>
      <c r="L73" s="245">
        <v>0.24408909195893314</v>
      </c>
      <c r="M73" s="245">
        <v>7.7098414186277886E-2</v>
      </c>
      <c r="N73" s="246">
        <v>1.8156573835628624</v>
      </c>
      <c r="O73" s="246">
        <v>1.8130781123729549</v>
      </c>
      <c r="P73" s="246">
        <v>11.632873296385332</v>
      </c>
      <c r="Q73" s="246">
        <v>13.822749735595126</v>
      </c>
      <c r="R73" s="246">
        <v>4.0303872285760063</v>
      </c>
      <c r="S73" s="246">
        <v>28.908314358128138</v>
      </c>
      <c r="T73" s="245">
        <v>0.17415504658831088</v>
      </c>
      <c r="U73" s="245">
        <v>6.25565357934217E-2</v>
      </c>
      <c r="V73" s="245">
        <v>9.2151064103531105E-2</v>
      </c>
      <c r="W73" s="245">
        <v>1.0375036244575058</v>
      </c>
      <c r="X73" s="245">
        <v>0.25451622985825711</v>
      </c>
      <c r="Y73" s="245">
        <v>0.25220531066727753</v>
      </c>
      <c r="Z73" s="245">
        <v>0.25220531066727747</v>
      </c>
      <c r="AA73" s="247">
        <v>0.121685531334811</v>
      </c>
    </row>
    <row r="74" spans="1:27" ht="14">
      <c r="A74" s="244" t="s">
        <v>764</v>
      </c>
      <c r="B74" s="122">
        <v>26</v>
      </c>
      <c r="C74" s="245">
        <v>0.18063052631578944</v>
      </c>
      <c r="D74" s="245">
        <v>4.4133968058007046E-2</v>
      </c>
      <c r="E74" s="245">
        <v>9.8929938052508604E-2</v>
      </c>
      <c r="F74" s="245">
        <v>0.21721237165566823</v>
      </c>
      <c r="G74" s="246">
        <v>1.1710629087177289</v>
      </c>
      <c r="H74" s="246">
        <v>1.2466770513434235</v>
      </c>
      <c r="I74" s="245">
        <v>9.6147144361797485E-2</v>
      </c>
      <c r="J74" s="245">
        <v>0.38283198873816127</v>
      </c>
      <c r="K74" s="245">
        <v>5.0854999999999997E-2</v>
      </c>
      <c r="L74" s="245">
        <v>0.1183525185747442</v>
      </c>
      <c r="M74" s="245">
        <v>8.9282000671898204E-2</v>
      </c>
      <c r="N74" s="246">
        <v>2.411559428998697</v>
      </c>
      <c r="O74" s="246">
        <v>1.5688483400026725</v>
      </c>
      <c r="P74" s="246">
        <v>16.631295752592539</v>
      </c>
      <c r="Q74" s="246">
        <v>38.46582980994355</v>
      </c>
      <c r="R74" s="246">
        <v>7.2422855039301099</v>
      </c>
      <c r="S74" s="246">
        <v>29.844016342968811</v>
      </c>
      <c r="T74" s="245">
        <v>7.6876136239185482E-3</v>
      </c>
      <c r="U74" s="245">
        <v>5.2009664806773569E-2</v>
      </c>
      <c r="V74" s="245">
        <v>2.2820227937652104E-2</v>
      </c>
      <c r="W74" s="245">
        <v>0.79447833647214905</v>
      </c>
      <c r="X74" s="245">
        <v>0.1955014547502191</v>
      </c>
      <c r="Y74" s="245">
        <v>0.21744723060022958</v>
      </c>
      <c r="Z74" s="245">
        <v>0.21744723060022952</v>
      </c>
      <c r="AA74" s="247">
        <v>4.6967034911053938E-2</v>
      </c>
    </row>
    <row r="75" spans="1:27" ht="14">
      <c r="A75" s="244" t="s">
        <v>765</v>
      </c>
      <c r="B75" s="122">
        <v>14</v>
      </c>
      <c r="C75" s="245">
        <v>6.5912499999999999E-2</v>
      </c>
      <c r="D75" s="245">
        <v>2.4225596853965255E-2</v>
      </c>
      <c r="E75" s="245">
        <v>0.10989245466725754</v>
      </c>
      <c r="F75" s="245">
        <v>0.22911929074099627</v>
      </c>
      <c r="G75" s="246">
        <v>0.36476114906597701</v>
      </c>
      <c r="H75" s="246">
        <v>0.49360805956180459</v>
      </c>
      <c r="I75" s="245">
        <v>6.1505970739843013E-2</v>
      </c>
      <c r="J75" s="245">
        <v>0.25647926947712857</v>
      </c>
      <c r="K75" s="245">
        <v>5.0854999999999997E-2</v>
      </c>
      <c r="L75" s="245">
        <v>0.35831710070912415</v>
      </c>
      <c r="M75" s="245">
        <v>5.3133991745464119E-2</v>
      </c>
      <c r="N75" s="246">
        <v>4.7564463793562597</v>
      </c>
      <c r="O75" s="246">
        <v>0.41252131113329121</v>
      </c>
      <c r="P75" s="246">
        <v>6.3798048221013888</v>
      </c>
      <c r="Q75" s="246">
        <v>19.804920951092498</v>
      </c>
      <c r="R75" s="246">
        <v>2.903171334143174</v>
      </c>
      <c r="S75" s="246">
        <v>16.757683247241964</v>
      </c>
      <c r="T75" s="245">
        <v>-2.4323899281002599E-3</v>
      </c>
      <c r="U75" s="245">
        <v>2.6633515324994268E-2</v>
      </c>
      <c r="V75" s="245">
        <v>1.326060238245387E-2</v>
      </c>
      <c r="W75" s="245">
        <v>1.1428223096616057</v>
      </c>
      <c r="X75" s="245">
        <v>0.14777603490447422</v>
      </c>
      <c r="Y75" s="245">
        <v>0.36924015550657879</v>
      </c>
      <c r="Z75" s="245">
        <v>0.36924015550657874</v>
      </c>
      <c r="AA75" s="247">
        <v>2.6473632076435664E-2</v>
      </c>
    </row>
    <row r="76" spans="1:27" ht="14">
      <c r="A76" s="244" t="s">
        <v>871</v>
      </c>
      <c r="B76" s="122">
        <v>28</v>
      </c>
      <c r="C76" s="245">
        <v>4.1101851851851841E-2</v>
      </c>
      <c r="D76" s="245">
        <v>0.36745097043843167</v>
      </c>
      <c r="E76" s="245">
        <v>4.458562834006221E-2</v>
      </c>
      <c r="F76" s="245">
        <v>4.2019303588884428E-2</v>
      </c>
      <c r="G76" s="246">
        <v>0.78667470190348754</v>
      </c>
      <c r="H76" s="246">
        <v>1.1208677660313939</v>
      </c>
      <c r="I76" s="245">
        <v>9.0359917237444118E-2</v>
      </c>
      <c r="J76" s="245">
        <v>0.20718002005434216</v>
      </c>
      <c r="K76" s="245">
        <v>4.5043E-2</v>
      </c>
      <c r="L76" s="245">
        <v>0.37042376508860575</v>
      </c>
      <c r="M76" s="245">
        <v>6.9402204719419811E-2</v>
      </c>
      <c r="N76" s="246">
        <v>0.13065981426778428</v>
      </c>
      <c r="O76" s="246">
        <v>12.151988991799444</v>
      </c>
      <c r="P76" s="246">
        <v>17.431873861346652</v>
      </c>
      <c r="Q76" s="246">
        <v>34.711010000762485</v>
      </c>
      <c r="R76" s="246">
        <v>1.9356719923817578</v>
      </c>
      <c r="S76" s="246">
        <v>74.090504225084899</v>
      </c>
      <c r="T76" s="245">
        <v>-9.8708986919809769E-2</v>
      </c>
      <c r="U76" s="245">
        <v>5.1678638509569011E-2</v>
      </c>
      <c r="V76" s="245">
        <v>-0.26525961554732042</v>
      </c>
      <c r="W76" s="245">
        <v>-0.81803643279498717</v>
      </c>
      <c r="X76" s="245">
        <v>6.523063162826355E-2</v>
      </c>
      <c r="Y76" s="245">
        <v>1.5557235045106812</v>
      </c>
      <c r="Z76" s="245">
        <v>1.5557235045106812</v>
      </c>
      <c r="AA76" s="247">
        <v>0.35009709985829468</v>
      </c>
    </row>
    <row r="77" spans="1:27" ht="14">
      <c r="A77" s="244" t="s">
        <v>766</v>
      </c>
      <c r="B77" s="122">
        <v>105</v>
      </c>
      <c r="C77" s="245">
        <v>0.12071967741935487</v>
      </c>
      <c r="D77" s="245">
        <v>4.6172630818204483E-2</v>
      </c>
      <c r="E77" s="245">
        <v>0.13499345989584943</v>
      </c>
      <c r="F77" s="245">
        <v>0.24714983147031147</v>
      </c>
      <c r="G77" s="246">
        <v>0.97306921831208426</v>
      </c>
      <c r="H77" s="246">
        <v>1.1814057462278666</v>
      </c>
      <c r="I77" s="245">
        <v>9.3144664326481857E-2</v>
      </c>
      <c r="J77" s="245">
        <v>0.44007853687551313</v>
      </c>
      <c r="K77" s="245">
        <v>5.0854999999999997E-2</v>
      </c>
      <c r="L77" s="245">
        <v>0.26552004840016741</v>
      </c>
      <c r="M77" s="245">
        <v>7.8540155092339942E-2</v>
      </c>
      <c r="N77" s="246">
        <v>3.1090000638677036</v>
      </c>
      <c r="O77" s="246">
        <v>0.98357084492498503</v>
      </c>
      <c r="P77" s="246">
        <v>9.3415485589048952</v>
      </c>
      <c r="Q77" s="246">
        <v>20.317569846397642</v>
      </c>
      <c r="R77" s="246">
        <v>4.7786065628780694</v>
      </c>
      <c r="S77" s="246">
        <v>48.788376528460567</v>
      </c>
      <c r="T77" s="245">
        <v>5.0599261894710514E-2</v>
      </c>
      <c r="U77" s="245">
        <v>2.5889269223510269E-2</v>
      </c>
      <c r="V77" s="245">
        <v>2.6622349307585433E-2</v>
      </c>
      <c r="W77" s="245">
        <v>0.55230156249920015</v>
      </c>
      <c r="X77" s="245">
        <v>9.6438784183108986E-2</v>
      </c>
      <c r="Y77" s="245">
        <v>0.8704265485497078</v>
      </c>
      <c r="Z77" s="245">
        <v>0.8704265485497078</v>
      </c>
      <c r="AA77" s="247">
        <v>4.7981611326379597E-2</v>
      </c>
    </row>
    <row r="78" spans="1:27" ht="14">
      <c r="A78" s="244" t="s">
        <v>767</v>
      </c>
      <c r="B78" s="122">
        <v>3</v>
      </c>
      <c r="C78" s="245">
        <v>9.0200000000000002E-2</v>
      </c>
      <c r="D78" s="245">
        <v>1.8445123448906007E-2</v>
      </c>
      <c r="E78" s="245">
        <v>3.124092719979871E-2</v>
      </c>
      <c r="F78" s="245" t="e">
        <v>#DIV/0!</v>
      </c>
      <c r="G78" s="246">
        <v>0.26316933125019143</v>
      </c>
      <c r="H78" s="246">
        <v>0.67451976956750803</v>
      </c>
      <c r="I78" s="245">
        <v>6.9827909400105373E-2</v>
      </c>
      <c r="J78" s="245">
        <v>0.40772526552560179</v>
      </c>
      <c r="K78" s="245">
        <v>5.0854999999999997E-2</v>
      </c>
      <c r="L78" s="245">
        <v>0.70174055335879415</v>
      </c>
      <c r="M78" s="245">
        <v>4.7592095498583793E-2</v>
      </c>
      <c r="N78" s="246">
        <v>1.4484047693844369</v>
      </c>
      <c r="O78" s="246">
        <v>0.62828691748081245</v>
      </c>
      <c r="P78" s="246">
        <v>7.9475865714228098</v>
      </c>
      <c r="Q78" s="246">
        <v>29.777572649378406</v>
      </c>
      <c r="R78" s="246">
        <v>0.78946449471402003</v>
      </c>
      <c r="S78" s="246" t="e">
        <v>#DIV/0!</v>
      </c>
      <c r="T78" s="245">
        <v>0.10694212196535768</v>
      </c>
      <c r="U78" s="245">
        <v>5.4186799367281373E-2</v>
      </c>
      <c r="V78" s="245">
        <v>7.0628985193991103E-3</v>
      </c>
      <c r="W78" s="245">
        <v>-0.32002680606024081</v>
      </c>
      <c r="X78" s="245">
        <v>-9.9980552314274607E-2</v>
      </c>
      <c r="Y78" s="245" t="e">
        <v>#DIV/0!</v>
      </c>
      <c r="Z78" s="245" t="e">
        <v>#DIV/0!</v>
      </c>
      <c r="AA78" s="247">
        <v>2.1569196581060632E-2</v>
      </c>
    </row>
    <row r="79" spans="1:27" ht="14">
      <c r="A79" s="244" t="s">
        <v>768</v>
      </c>
      <c r="B79" s="122">
        <v>63</v>
      </c>
      <c r="C79" s="245">
        <v>6.4411627906976743E-2</v>
      </c>
      <c r="D79" s="245">
        <v>0.19711975635060902</v>
      </c>
      <c r="E79" s="245">
        <v>0.11368358391768708</v>
      </c>
      <c r="F79" s="245">
        <v>9.3092670508339401E-2</v>
      </c>
      <c r="G79" s="246">
        <v>1.460244593924559</v>
      </c>
      <c r="H79" s="246">
        <v>1.4952411850835359</v>
      </c>
      <c r="I79" s="245">
        <v>0.10758109451384265</v>
      </c>
      <c r="J79" s="245">
        <v>0.4147143445700453</v>
      </c>
      <c r="K79" s="245">
        <v>5.0854999999999997E-2</v>
      </c>
      <c r="L79" s="245">
        <v>5.7008102947212459E-2</v>
      </c>
      <c r="M79" s="245">
        <v>0.10362246070915908</v>
      </c>
      <c r="N79" s="246">
        <v>0.58072920923018134</v>
      </c>
      <c r="O79" s="246">
        <v>10.596722932093094</v>
      </c>
      <c r="P79" s="246">
        <v>31.594447138361602</v>
      </c>
      <c r="Q79" s="246">
        <v>53.315004182229046</v>
      </c>
      <c r="R79" s="246">
        <v>7.38179145503603</v>
      </c>
      <c r="S79" s="246">
        <v>82.75051639049542</v>
      </c>
      <c r="T79" s="245">
        <v>0.22403022878237655</v>
      </c>
      <c r="U79" s="245">
        <v>0.1700086447636025</v>
      </c>
      <c r="V79" s="245">
        <v>6.8986975778472778E-2</v>
      </c>
      <c r="W79" s="245">
        <v>0.49863224477303802</v>
      </c>
      <c r="X79" s="245">
        <v>0.12611876313091647</v>
      </c>
      <c r="Y79" s="245">
        <v>0.48873979408723345</v>
      </c>
      <c r="Z79" s="245">
        <v>0.48873979408723345</v>
      </c>
      <c r="AA79" s="247">
        <v>0.2053985135441381</v>
      </c>
    </row>
    <row r="80" spans="1:27" ht="14">
      <c r="A80" s="244" t="s">
        <v>769</v>
      </c>
      <c r="B80" s="122">
        <v>30</v>
      </c>
      <c r="C80" s="245">
        <v>9.9257499999999985E-2</v>
      </c>
      <c r="D80" s="245">
        <v>0.24186751386172409</v>
      </c>
      <c r="E80" s="245">
        <v>0.25683632466511935</v>
      </c>
      <c r="F80" s="245">
        <v>0.12268560712932465</v>
      </c>
      <c r="G80" s="246">
        <v>1.5077650793777069</v>
      </c>
      <c r="H80" s="246">
        <v>1.5279822074255314</v>
      </c>
      <c r="I80" s="245">
        <v>0.10908718154157444</v>
      </c>
      <c r="J80" s="245">
        <v>0.37040142988651292</v>
      </c>
      <c r="K80" s="245">
        <v>5.0854999999999997E-2</v>
      </c>
      <c r="L80" s="245">
        <v>7.2165763925439705E-2</v>
      </c>
      <c r="M80" s="245">
        <v>0.10396731419447477</v>
      </c>
      <c r="N80" s="246">
        <v>1.1649954029158387</v>
      </c>
      <c r="O80" s="246">
        <v>5.2442581732157283</v>
      </c>
      <c r="P80" s="246">
        <v>18.178195157648474</v>
      </c>
      <c r="Q80" s="246">
        <v>21.529732735448246</v>
      </c>
      <c r="R80" s="246">
        <v>8.1009758909034115</v>
      </c>
      <c r="S80" s="246">
        <v>163.51842013025154</v>
      </c>
      <c r="T80" s="245">
        <v>0.34562808268522127</v>
      </c>
      <c r="U80" s="245">
        <v>5.0796555474868554E-2</v>
      </c>
      <c r="V80" s="245">
        <v>2.6035463292282256E-2</v>
      </c>
      <c r="W80" s="245">
        <v>0.13881169088914808</v>
      </c>
      <c r="X80" s="245">
        <v>0.3289066823779071</v>
      </c>
      <c r="Y80" s="245">
        <v>0.20089988720666727</v>
      </c>
      <c r="Z80" s="245">
        <v>0.20089988720666729</v>
      </c>
      <c r="AA80" s="247">
        <v>0.25001236423819828</v>
      </c>
    </row>
    <row r="81" spans="1:27" ht="14">
      <c r="A81" s="244" t="s">
        <v>770</v>
      </c>
      <c r="B81" s="122">
        <v>8</v>
      </c>
      <c r="C81" s="245">
        <v>-6.8033333333333348E-3</v>
      </c>
      <c r="D81" s="245">
        <v>0.10650740465993001</v>
      </c>
      <c r="E81" s="245">
        <v>9.2351394997663441E-2</v>
      </c>
      <c r="F81" s="245">
        <v>0.18850960892353175</v>
      </c>
      <c r="G81" s="246">
        <v>0.68659497205240805</v>
      </c>
      <c r="H81" s="246">
        <v>0.81083614181090768</v>
      </c>
      <c r="I81" s="245">
        <v>7.6098462523301755E-2</v>
      </c>
      <c r="J81" s="245">
        <v>0.45074724706930092</v>
      </c>
      <c r="K81" s="245">
        <v>5.0854999999999997E-2</v>
      </c>
      <c r="L81" s="245">
        <v>0.22942151889413903</v>
      </c>
      <c r="M81" s="245">
        <v>6.7390261173218224E-2</v>
      </c>
      <c r="N81" s="246">
        <v>0.82933963708877079</v>
      </c>
      <c r="O81" s="246">
        <v>1.7047396816839095</v>
      </c>
      <c r="P81" s="246">
        <v>8.384720595362964</v>
      </c>
      <c r="Q81" s="246">
        <v>14.228088437354392</v>
      </c>
      <c r="R81" s="246">
        <v>1.3642629613319885</v>
      </c>
      <c r="S81" s="246">
        <v>24.757087703228514</v>
      </c>
      <c r="T81" s="245">
        <v>0.11299865486721869</v>
      </c>
      <c r="U81" s="245">
        <v>0.10241614888029281</v>
      </c>
      <c r="V81" s="245">
        <v>4.0299197608605203E-2</v>
      </c>
      <c r="W81" s="245">
        <v>0.50270712026329756</v>
      </c>
      <c r="X81" s="245">
        <v>7.817317702121597E-2</v>
      </c>
      <c r="Y81" s="245">
        <v>0.29337528524998274</v>
      </c>
      <c r="Z81" s="245">
        <v>0.29337528524998269</v>
      </c>
      <c r="AA81" s="247">
        <v>0.11940027650657051</v>
      </c>
    </row>
    <row r="82" spans="1:27" ht="14">
      <c r="A82" s="244" t="s">
        <v>771</v>
      </c>
      <c r="B82" s="122">
        <v>13</v>
      </c>
      <c r="C82" s="245">
        <v>0.11491250000000001</v>
      </c>
      <c r="D82" s="245">
        <v>0.12199139215361694</v>
      </c>
      <c r="E82" s="245">
        <v>0.24043080830071734</v>
      </c>
      <c r="F82" s="245">
        <v>0.1746054567339842</v>
      </c>
      <c r="G82" s="246">
        <v>1.2730955389810585</v>
      </c>
      <c r="H82" s="246">
        <v>1.2915789442240697</v>
      </c>
      <c r="I82" s="245">
        <v>9.821263143430721E-2</v>
      </c>
      <c r="J82" s="245">
        <v>0.36279908890119261</v>
      </c>
      <c r="K82" s="245">
        <v>5.0854999999999997E-2</v>
      </c>
      <c r="L82" s="245">
        <v>8.0114408003915991E-2</v>
      </c>
      <c r="M82" s="245">
        <v>9.3400048272720262E-2</v>
      </c>
      <c r="N82" s="246">
        <v>2.2253944893651223</v>
      </c>
      <c r="O82" s="246">
        <v>2.8863044842694969</v>
      </c>
      <c r="P82" s="246">
        <v>18.953733947779405</v>
      </c>
      <c r="Q82" s="246">
        <v>23.682872304836216</v>
      </c>
      <c r="R82" s="246">
        <v>8.7107690650024558</v>
      </c>
      <c r="S82" s="246">
        <v>19.768872194714948</v>
      </c>
      <c r="T82" s="245">
        <v>0.19614445731942837</v>
      </c>
      <c r="U82" s="245">
        <v>8.5762704850190375E-3</v>
      </c>
      <c r="V82" s="245">
        <v>-5.2012497930805967E-3</v>
      </c>
      <c r="W82" s="245">
        <v>-0.20182594713277416</v>
      </c>
      <c r="X82" s="245">
        <v>0.29903214866474775</v>
      </c>
      <c r="Y82" s="245">
        <v>0.32261310697398488</v>
      </c>
      <c r="Z82" s="245">
        <v>0.32261310697398482</v>
      </c>
      <c r="AA82" s="247">
        <v>0.12180719617705567</v>
      </c>
    </row>
    <row r="83" spans="1:27" ht="14">
      <c r="A83" s="244" t="s">
        <v>772</v>
      </c>
      <c r="B83" s="122">
        <v>84</v>
      </c>
      <c r="C83" s="245">
        <v>0.17412533333333333</v>
      </c>
      <c r="D83" s="245">
        <v>0.2680484859792075</v>
      </c>
      <c r="E83" s="245">
        <v>0.19944873406255512</v>
      </c>
      <c r="F83" s="245">
        <v>0.16568125122952723</v>
      </c>
      <c r="G83" s="246">
        <v>1.1136804709373258</v>
      </c>
      <c r="H83" s="246">
        <v>1.1083305740238332</v>
      </c>
      <c r="I83" s="245">
        <v>8.9783206405096322E-2</v>
      </c>
      <c r="J83" s="245">
        <v>0.52789322078229139</v>
      </c>
      <c r="K83" s="245">
        <v>5.3524000000000002E-2</v>
      </c>
      <c r="L83" s="245">
        <v>3.0561494934367585E-2</v>
      </c>
      <c r="M83" s="245">
        <v>8.8266127488506013E-2</v>
      </c>
      <c r="N83" s="246">
        <v>0.74384849848531331</v>
      </c>
      <c r="O83" s="246">
        <v>6.0250177191083116</v>
      </c>
      <c r="P83" s="246">
        <v>17.157815859353224</v>
      </c>
      <c r="Q83" s="246">
        <v>22.221744412094619</v>
      </c>
      <c r="R83" s="246">
        <v>6.2430547316243272</v>
      </c>
      <c r="S83" s="246">
        <v>30.818070198150206</v>
      </c>
      <c r="T83" s="245">
        <v>4.7763247678820571E-2</v>
      </c>
      <c r="U83" s="245">
        <v>0.12672459193901217</v>
      </c>
      <c r="V83" s="245">
        <v>8.7039144070400018E-2</v>
      </c>
      <c r="W83" s="245">
        <v>0.46794430766934031</v>
      </c>
      <c r="X83" s="245">
        <v>0.2325593855621183</v>
      </c>
      <c r="Y83" s="245">
        <v>2.5063968697220758E-3</v>
      </c>
      <c r="Z83" s="245">
        <v>2.506396869722094E-3</v>
      </c>
      <c r="AA83" s="247">
        <v>0.28167769393149628</v>
      </c>
    </row>
    <row r="84" spans="1:27" ht="14">
      <c r="A84" s="244" t="s">
        <v>773</v>
      </c>
      <c r="B84" s="122">
        <v>35</v>
      </c>
      <c r="C84" s="245">
        <v>0.22244545454545456</v>
      </c>
      <c r="D84" s="245">
        <v>-3.3594816570468533E-2</v>
      </c>
      <c r="E84" s="245">
        <v>-4.8109532624457758E-3</v>
      </c>
      <c r="F84" s="245">
        <v>0.17878408264897386</v>
      </c>
      <c r="G84" s="246">
        <v>1.5117563379021286</v>
      </c>
      <c r="H84" s="246">
        <v>1.6160843271745926</v>
      </c>
      <c r="I84" s="245">
        <v>0.11313987905003126</v>
      </c>
      <c r="J84" s="245">
        <v>0.65221602599035</v>
      </c>
      <c r="K84" s="245">
        <v>6.0879000000000003E-2</v>
      </c>
      <c r="L84" s="245">
        <v>0.10698653549795539</v>
      </c>
      <c r="M84" s="245">
        <v>0.10592036033474572</v>
      </c>
      <c r="N84" s="246">
        <v>0.63612335565638134</v>
      </c>
      <c r="O84" s="246">
        <v>8.3828736851725534</v>
      </c>
      <c r="P84" s="246">
        <v>19.329878727497675</v>
      </c>
      <c r="Q84" s="246" t="s">
        <v>96</v>
      </c>
      <c r="R84" s="246">
        <v>9.0021141302291596</v>
      </c>
      <c r="S84" s="246">
        <v>35.177442964143594</v>
      </c>
      <c r="T84" s="245">
        <v>9.6695754393934422E-2</v>
      </c>
      <c r="U84" s="245">
        <v>5.5778077921357368E-2</v>
      </c>
      <c r="V84" s="245">
        <v>2.8310083379424048E-2</v>
      </c>
      <c r="W84" s="245" t="s">
        <v>96</v>
      </c>
      <c r="X84" s="245">
        <v>-0.14540651129197349</v>
      </c>
      <c r="Y84" s="245">
        <v>0</v>
      </c>
      <c r="Z84" s="245">
        <v>0</v>
      </c>
      <c r="AA84" s="247">
        <v>-8.317507436808912E-3</v>
      </c>
    </row>
    <row r="85" spans="1:27" ht="14">
      <c r="A85" s="244" t="s">
        <v>774</v>
      </c>
      <c r="B85" s="122">
        <v>351</v>
      </c>
      <c r="C85" s="245">
        <v>0.15903337837837828</v>
      </c>
      <c r="D85" s="245">
        <v>0.25298655593299035</v>
      </c>
      <c r="E85" s="245">
        <v>0.23224389866710615</v>
      </c>
      <c r="F85" s="245">
        <v>0.17853261761729111</v>
      </c>
      <c r="G85" s="246">
        <v>1.2724589938133573</v>
      </c>
      <c r="H85" s="246">
        <v>1.2939647291542515</v>
      </c>
      <c r="I85" s="245">
        <v>9.8322377541095574E-2</v>
      </c>
      <c r="J85" s="245">
        <v>0.52086489824807281</v>
      </c>
      <c r="K85" s="245">
        <v>5.3524000000000002E-2</v>
      </c>
      <c r="L85" s="245">
        <v>5.8413380196434328E-2</v>
      </c>
      <c r="M85" s="245">
        <v>9.4923923441195657E-2</v>
      </c>
      <c r="N85" s="246">
        <v>0.920355645703261</v>
      </c>
      <c r="O85" s="246">
        <v>10.72155166283089</v>
      </c>
      <c r="P85" s="246">
        <v>28.433138742544646</v>
      </c>
      <c r="Q85" s="246">
        <v>39.481990904188763</v>
      </c>
      <c r="R85" s="246">
        <v>11.028707841031288</v>
      </c>
      <c r="S85" s="246">
        <v>88.724572948822384</v>
      </c>
      <c r="T85" s="245">
        <v>0.11204452658660199</v>
      </c>
      <c r="U85" s="245">
        <v>8.6746410149798295E-2</v>
      </c>
      <c r="V85" s="245">
        <v>5.9162106791780016E-2</v>
      </c>
      <c r="W85" s="245">
        <v>0.36380231425923271</v>
      </c>
      <c r="X85" s="245">
        <v>0.24441835382299518</v>
      </c>
      <c r="Y85" s="245">
        <v>0.27220590606666156</v>
      </c>
      <c r="Z85" s="245">
        <v>0.27220590606666151</v>
      </c>
      <c r="AA85" s="247">
        <v>0.26295961897308368</v>
      </c>
    </row>
    <row r="86" spans="1:27" ht="14">
      <c r="A86" s="244" t="s">
        <v>775</v>
      </c>
      <c r="B86" s="122">
        <v>29</v>
      </c>
      <c r="C86" s="245">
        <v>7.8733200000000003E-2</v>
      </c>
      <c r="D86" s="245">
        <v>0.12104448776971048</v>
      </c>
      <c r="E86" s="245">
        <v>0.22180836333570431</v>
      </c>
      <c r="F86" s="245">
        <v>0.19962963225553462</v>
      </c>
      <c r="G86" s="246">
        <v>1.0774711199709137</v>
      </c>
      <c r="H86" s="246">
        <v>1.126371725263511</v>
      </c>
      <c r="I86" s="245">
        <v>9.0613099362121502E-2</v>
      </c>
      <c r="J86" s="245">
        <v>0.38102205031992209</v>
      </c>
      <c r="K86" s="245">
        <v>5.0854999999999997E-2</v>
      </c>
      <c r="L86" s="245">
        <v>0.16794349418739729</v>
      </c>
      <c r="M86" s="245">
        <v>8.1800793633772059E-2</v>
      </c>
      <c r="N86" s="246">
        <v>2.1668462373578015</v>
      </c>
      <c r="O86" s="246">
        <v>0.94134699426736168</v>
      </c>
      <c r="P86" s="246">
        <v>5.9315455318515609</v>
      </c>
      <c r="Q86" s="246">
        <v>7.7262015562222341</v>
      </c>
      <c r="R86" s="246">
        <v>1.7639737558457758</v>
      </c>
      <c r="S86" s="246">
        <v>14.541699757518971</v>
      </c>
      <c r="T86" s="245">
        <v>0.19023869959969508</v>
      </c>
      <c r="U86" s="245">
        <v>6.2015491060735908E-2</v>
      </c>
      <c r="V86" s="245">
        <v>4.2105106814159125E-2</v>
      </c>
      <c r="W86" s="245">
        <v>0.15698783414294129</v>
      </c>
      <c r="X86" s="245">
        <v>0.22194709191501236</v>
      </c>
      <c r="Y86" s="245">
        <v>0.12471207785733139</v>
      </c>
      <c r="Z86" s="245">
        <v>0.1247120778573314</v>
      </c>
      <c r="AA86" s="247">
        <v>0.12145781664117886</v>
      </c>
    </row>
    <row r="87" spans="1:27" ht="14">
      <c r="A87" s="244" t="s">
        <v>776</v>
      </c>
      <c r="B87" s="122">
        <v>13</v>
      </c>
      <c r="C87" s="245">
        <v>9.2977142857142869E-2</v>
      </c>
      <c r="D87" s="245">
        <v>0.16792801039724245</v>
      </c>
      <c r="E87" s="245">
        <v>6.5483784250289209E-2</v>
      </c>
      <c r="F87" s="245">
        <v>0.24652434855276151</v>
      </c>
      <c r="G87" s="246">
        <v>0.74731171905548888</v>
      </c>
      <c r="H87" s="246">
        <v>1.087361359035153</v>
      </c>
      <c r="I87" s="245">
        <v>8.8818622515617035E-2</v>
      </c>
      <c r="J87" s="245">
        <v>0.60305869412683921</v>
      </c>
      <c r="K87" s="245">
        <v>5.3524000000000002E-2</v>
      </c>
      <c r="L87" s="245">
        <v>0.39084318118198752</v>
      </c>
      <c r="M87" s="245">
        <v>6.9794087365599694E-2</v>
      </c>
      <c r="N87" s="246">
        <v>0.48441213485617451</v>
      </c>
      <c r="O87" s="246">
        <v>3.5147101609842721</v>
      </c>
      <c r="P87" s="246">
        <v>9.0095138936051899</v>
      </c>
      <c r="Q87" s="246">
        <v>23.512660928635778</v>
      </c>
      <c r="R87" s="246">
        <v>2.5322480033466408</v>
      </c>
      <c r="S87" s="246">
        <v>67.853832930042557</v>
      </c>
      <c r="T87" s="245">
        <v>6.2680578629146194E-2</v>
      </c>
      <c r="U87" s="245">
        <v>0.15310947618240378</v>
      </c>
      <c r="V87" s="245">
        <v>-2.9960671300220164E-3</v>
      </c>
      <c r="W87" s="245">
        <v>0.5510450483030811</v>
      </c>
      <c r="X87" s="245">
        <v>9.7395977513905455E-2</v>
      </c>
      <c r="Y87" s="245">
        <v>0.1104528008925427</v>
      </c>
      <c r="Z87" s="245">
        <v>0.11045280089254272</v>
      </c>
      <c r="AA87" s="247">
        <v>0.14947762311195489</v>
      </c>
    </row>
    <row r="88" spans="1:27" ht="14">
      <c r="A88" s="244" t="s">
        <v>777</v>
      </c>
      <c r="B88" s="122">
        <v>66</v>
      </c>
      <c r="C88" s="245">
        <v>9.6164489795918393E-2</v>
      </c>
      <c r="D88" s="245">
        <v>0.19578373512751376</v>
      </c>
      <c r="E88" s="245">
        <v>0.28182161892742891</v>
      </c>
      <c r="F88" s="245">
        <v>0.16906478200018579</v>
      </c>
      <c r="G88" s="246">
        <v>1.0456479852653771</v>
      </c>
      <c r="H88" s="246">
        <v>1.0805072059156025</v>
      </c>
      <c r="I88" s="245">
        <v>8.8503331472117711E-2</v>
      </c>
      <c r="J88" s="245">
        <v>0.46622145090064521</v>
      </c>
      <c r="K88" s="245">
        <v>5.0854999999999997E-2</v>
      </c>
      <c r="L88" s="245">
        <v>0.10245104955940504</v>
      </c>
      <c r="M88" s="245">
        <v>8.3343683367302981E-2</v>
      </c>
      <c r="N88" s="246">
        <v>1.4464269754607526</v>
      </c>
      <c r="O88" s="246">
        <v>3.6067814997742809</v>
      </c>
      <c r="P88" s="246">
        <v>13.979069158223247</v>
      </c>
      <c r="Q88" s="246">
        <v>17.645248189217565</v>
      </c>
      <c r="R88" s="246">
        <v>5.1449679404665405</v>
      </c>
      <c r="S88" s="246">
        <v>70.491276901112826</v>
      </c>
      <c r="T88" s="245">
        <v>0.23092380701323104</v>
      </c>
      <c r="U88" s="245">
        <v>2.7789568604778662E-2</v>
      </c>
      <c r="V88" s="245">
        <v>3.9799623411255383E-2</v>
      </c>
      <c r="W88" s="245">
        <v>0.36669384113949066</v>
      </c>
      <c r="X88" s="245">
        <v>0.24550541459231559</v>
      </c>
      <c r="Y88" s="245">
        <v>0.46084832909856577</v>
      </c>
      <c r="Z88" s="245">
        <v>0.46084832909856577</v>
      </c>
      <c r="AA88" s="247">
        <v>0.2071352516666671</v>
      </c>
    </row>
    <row r="89" spans="1:27" ht="14">
      <c r="A89" s="244" t="s">
        <v>778</v>
      </c>
      <c r="B89" s="122">
        <v>42</v>
      </c>
      <c r="C89" s="245">
        <v>0.13169956521739129</v>
      </c>
      <c r="D89" s="245">
        <v>0.20861578998360361</v>
      </c>
      <c r="E89" s="245">
        <v>0.11796482606061286</v>
      </c>
      <c r="F89" s="245">
        <v>0.21774220884735582</v>
      </c>
      <c r="G89" s="246">
        <v>0.4141115560097563</v>
      </c>
      <c r="H89" s="246">
        <v>0.78450471128722188</v>
      </c>
      <c r="I89" s="245">
        <v>7.488721671921221E-2</v>
      </c>
      <c r="J89" s="245">
        <v>0.50416714350221437</v>
      </c>
      <c r="K89" s="245">
        <v>5.3524000000000002E-2</v>
      </c>
      <c r="L89" s="245">
        <v>0.55538379015988704</v>
      </c>
      <c r="M89" s="245">
        <v>5.5590841951559611E-2</v>
      </c>
      <c r="N89" s="246">
        <v>0.60200337910623192</v>
      </c>
      <c r="O89" s="246">
        <v>2.3574881101650598</v>
      </c>
      <c r="P89" s="246">
        <v>6.178012041794295</v>
      </c>
      <c r="Q89" s="246">
        <v>11.212869716340027</v>
      </c>
      <c r="R89" s="246">
        <v>1.2986532244972615</v>
      </c>
      <c r="S89" s="246">
        <v>77.102401245701245</v>
      </c>
      <c r="T89" s="245">
        <v>-3.2235361652479422E-2</v>
      </c>
      <c r="U89" s="245">
        <v>0.16715169820304818</v>
      </c>
      <c r="V89" s="245">
        <v>2.4292121675182632E-2</v>
      </c>
      <c r="W89" s="245">
        <v>0.20122305244722491</v>
      </c>
      <c r="X89" s="245">
        <v>-3.4470942023052953E-3</v>
      </c>
      <c r="Y89" s="245">
        <v>1.6337690728598522E-3</v>
      </c>
      <c r="Z89" s="245">
        <v>1.6337690728598364E-3</v>
      </c>
      <c r="AA89" s="247">
        <v>0.20983808679246463</v>
      </c>
    </row>
    <row r="90" spans="1:27" ht="14">
      <c r="A90" s="244" t="s">
        <v>779</v>
      </c>
      <c r="B90" s="122">
        <v>16</v>
      </c>
      <c r="C90" s="245">
        <v>0.34968888888888894</v>
      </c>
      <c r="D90" s="245">
        <v>0.40818350646510609</v>
      </c>
      <c r="E90" s="245">
        <v>0.80360559936791442</v>
      </c>
      <c r="F90" s="245">
        <v>0.21139682210925856</v>
      </c>
      <c r="G90" s="246">
        <v>0.98708022501489956</v>
      </c>
      <c r="H90" s="246">
        <v>1.2232908278447494</v>
      </c>
      <c r="I90" s="245">
        <v>9.5071378080858471E-2</v>
      </c>
      <c r="J90" s="245">
        <v>0.4800026780389306</v>
      </c>
      <c r="K90" s="245">
        <v>5.0854999999999997E-2</v>
      </c>
      <c r="L90" s="245">
        <v>0.25873063108247973</v>
      </c>
      <c r="M90" s="245">
        <v>8.0341810114891568E-2</v>
      </c>
      <c r="N90" s="246">
        <v>2.1763696274457001</v>
      </c>
      <c r="O90" s="246">
        <v>4.7953049451194598</v>
      </c>
      <c r="P90" s="246">
        <v>10.84266449583115</v>
      </c>
      <c r="Q90" s="246">
        <v>11.674129778938338</v>
      </c>
      <c r="R90" s="246" t="s">
        <v>96</v>
      </c>
      <c r="S90" s="246">
        <v>17.746085416091766</v>
      </c>
      <c r="T90" s="245">
        <v>0.15300181101471985</v>
      </c>
      <c r="U90" s="245">
        <v>2.7084958732519204E-2</v>
      </c>
      <c r="V90" s="245">
        <v>0.33428394436606595</v>
      </c>
      <c r="W90" s="245">
        <v>1.17639869037906</v>
      </c>
      <c r="X90" s="245" t="s">
        <v>96</v>
      </c>
      <c r="Y90" s="245">
        <v>0.87984059610405407</v>
      </c>
      <c r="Z90" s="245">
        <v>0.87984059610405407</v>
      </c>
      <c r="AA90" s="247">
        <v>0.41002251990580058</v>
      </c>
    </row>
    <row r="91" spans="1:27" ht="14">
      <c r="A91" s="244" t="s">
        <v>780</v>
      </c>
      <c r="B91" s="122">
        <v>110</v>
      </c>
      <c r="C91" s="245">
        <v>7.3925853658536572E-2</v>
      </c>
      <c r="D91" s="245">
        <v>8.5076188418627172E-2</v>
      </c>
      <c r="E91" s="245">
        <v>0.16088390207704553</v>
      </c>
      <c r="F91" s="245">
        <v>0.22120376468677894</v>
      </c>
      <c r="G91" s="246">
        <v>0.84463870252318918</v>
      </c>
      <c r="H91" s="246">
        <v>0.99780729032089066</v>
      </c>
      <c r="I91" s="245">
        <v>8.4699135354760979E-2</v>
      </c>
      <c r="J91" s="245">
        <v>0.5620392839791557</v>
      </c>
      <c r="K91" s="245">
        <v>5.3524000000000002E-2</v>
      </c>
      <c r="L91" s="245">
        <v>0.2357445340104283</v>
      </c>
      <c r="M91" s="245">
        <v>7.4195269988247284E-2</v>
      </c>
      <c r="N91" s="246">
        <v>2.0142048675663617</v>
      </c>
      <c r="O91" s="246">
        <v>1.8733601251795011</v>
      </c>
      <c r="P91" s="246">
        <v>12.825656312770354</v>
      </c>
      <c r="Q91" s="246">
        <v>21.70709502050369</v>
      </c>
      <c r="R91" s="246">
        <v>5.3511884203819298</v>
      </c>
      <c r="S91" s="246">
        <v>26.994751512111506</v>
      </c>
      <c r="T91" s="245">
        <v>7.7146823442012111E-2</v>
      </c>
      <c r="U91" s="245">
        <v>7.9332477764687812E-2</v>
      </c>
      <c r="V91" s="245">
        <v>4.7919479861607203E-2</v>
      </c>
      <c r="W91" s="245">
        <v>0.72064765595835767</v>
      </c>
      <c r="X91" s="245">
        <v>0.22056294610433705</v>
      </c>
      <c r="Y91" s="245">
        <v>1.0930209138910143</v>
      </c>
      <c r="Z91" s="245">
        <v>1.0930209138910143</v>
      </c>
      <c r="AA91" s="247">
        <v>8.5810766770976807E-2</v>
      </c>
    </row>
    <row r="92" spans="1:27" ht="14">
      <c r="A92" s="244" t="s">
        <v>781</v>
      </c>
      <c r="B92" s="122">
        <v>4</v>
      </c>
      <c r="C92" s="245">
        <v>2.4899999999999999E-2</v>
      </c>
      <c r="D92" s="245">
        <v>0.35113467269131693</v>
      </c>
      <c r="E92" s="245">
        <v>0.14261953361631199</v>
      </c>
      <c r="F92" s="245">
        <v>0.22982533024478807</v>
      </c>
      <c r="G92" s="246">
        <v>0.85599780593154451</v>
      </c>
      <c r="H92" s="246">
        <v>1.0172723923008653</v>
      </c>
      <c r="I92" s="245">
        <v>8.5594530045839806E-2</v>
      </c>
      <c r="J92" s="245">
        <v>0.2227735820416239</v>
      </c>
      <c r="K92" s="245">
        <v>4.5043E-2</v>
      </c>
      <c r="L92" s="245">
        <v>0.21142467310039645</v>
      </c>
      <c r="M92" s="245">
        <v>7.464013567456193E-2</v>
      </c>
      <c r="N92" s="246">
        <v>0.49324628388749064</v>
      </c>
      <c r="O92" s="246">
        <v>6.6295596972904312</v>
      </c>
      <c r="P92" s="246">
        <v>14.3196804838998</v>
      </c>
      <c r="Q92" s="246">
        <v>18.966125677741278</v>
      </c>
      <c r="R92" s="246">
        <v>6.9113810829422233</v>
      </c>
      <c r="S92" s="246">
        <v>22.28825335650561</v>
      </c>
      <c r="T92" s="245">
        <v>2.2557471822586217E-2</v>
      </c>
      <c r="U92" s="245">
        <v>0.1570320179340837</v>
      </c>
      <c r="V92" s="245">
        <v>5.5988647445286678E-2</v>
      </c>
      <c r="W92" s="245">
        <v>0.22178443078565843</v>
      </c>
      <c r="X92" s="245">
        <v>0.31677945078582531</v>
      </c>
      <c r="Y92" s="245">
        <v>0.43519528152260112</v>
      </c>
      <c r="Z92" s="245">
        <v>0.43519528152260112</v>
      </c>
      <c r="AA92" s="247">
        <v>0.34954738832459115</v>
      </c>
    </row>
    <row r="93" spans="1:27" ht="14">
      <c r="A93" s="244" t="s">
        <v>782</v>
      </c>
      <c r="B93" s="122">
        <v>22</v>
      </c>
      <c r="C93" s="245">
        <v>6.1907222222222238E-2</v>
      </c>
      <c r="D93" s="245">
        <v>8.4934052293898013E-2</v>
      </c>
      <c r="E93" s="245">
        <v>0.12748742307030905</v>
      </c>
      <c r="F93" s="245">
        <v>0.25564934061767058</v>
      </c>
      <c r="G93" s="246">
        <v>1.0291549427451241</v>
      </c>
      <c r="H93" s="246">
        <v>1.1484074577647394</v>
      </c>
      <c r="I93" s="245">
        <v>9.1626743057178023E-2</v>
      </c>
      <c r="J93" s="245">
        <v>0.28328548955431604</v>
      </c>
      <c r="K93" s="245">
        <v>5.0854999999999997E-2</v>
      </c>
      <c r="L93" s="245">
        <v>0.16632304812803944</v>
      </c>
      <c r="M93" s="245">
        <v>8.2730872821277085E-2</v>
      </c>
      <c r="N93" s="246">
        <v>1.8424099749470806</v>
      </c>
      <c r="O93" s="246">
        <v>1.8055802361025481</v>
      </c>
      <c r="P93" s="246">
        <v>10.57224029827716</v>
      </c>
      <c r="Q93" s="246">
        <v>20.589002549993637</v>
      </c>
      <c r="R93" s="246">
        <v>3.5846942504030093</v>
      </c>
      <c r="S93" s="246">
        <v>36.07946277619434</v>
      </c>
      <c r="T93" s="245">
        <v>6.7480207496526626E-2</v>
      </c>
      <c r="U93" s="245">
        <v>0.14934250443095923</v>
      </c>
      <c r="V93" s="245">
        <v>9.0980370277753131E-2</v>
      </c>
      <c r="W93" s="245">
        <v>1.2178075170479361</v>
      </c>
      <c r="X93" s="245">
        <v>0.12974692001389668</v>
      </c>
      <c r="Y93" s="245">
        <v>0.17362718846549949</v>
      </c>
      <c r="Z93" s="245">
        <v>0.17362718846549952</v>
      </c>
      <c r="AA93" s="247">
        <v>8.6910837308432798E-2</v>
      </c>
    </row>
    <row r="94" spans="1:27" ht="14">
      <c r="A94" s="244" t="s">
        <v>783</v>
      </c>
      <c r="B94" s="122">
        <v>14</v>
      </c>
      <c r="C94" s="245">
        <v>4.3404999999999999E-2</v>
      </c>
      <c r="D94" s="245">
        <v>0.2180508078273298</v>
      </c>
      <c r="E94" s="245">
        <v>6.4731399544339846E-2</v>
      </c>
      <c r="F94" s="245">
        <v>0.1601620397950673</v>
      </c>
      <c r="G94" s="246">
        <v>0.35679519291097572</v>
      </c>
      <c r="H94" s="246">
        <v>0.58043230816873881</v>
      </c>
      <c r="I94" s="245">
        <v>6.5499886175761982E-2</v>
      </c>
      <c r="J94" s="245">
        <v>0.14927275095736059</v>
      </c>
      <c r="K94" s="245">
        <v>4.5043E-2</v>
      </c>
      <c r="L94" s="245">
        <v>0.45897703320023459</v>
      </c>
      <c r="M94" s="245">
        <v>5.0942219623686315E-2</v>
      </c>
      <c r="N94" s="246">
        <v>0.34799061084345168</v>
      </c>
      <c r="O94" s="246">
        <v>4.128817283340104</v>
      </c>
      <c r="P94" s="246">
        <v>11.69639755876778</v>
      </c>
      <c r="Q94" s="246">
        <v>19.078266611364857</v>
      </c>
      <c r="R94" s="246">
        <v>1.6473566371259394</v>
      </c>
      <c r="S94" s="246">
        <v>17.483750732416834</v>
      </c>
      <c r="T94" s="245">
        <v>0.13370151554071408</v>
      </c>
      <c r="U94" s="245">
        <v>0.38606604885824003</v>
      </c>
      <c r="V94" s="245">
        <v>0.25906870978152774</v>
      </c>
      <c r="W94" s="245">
        <v>1.5052569708950143</v>
      </c>
      <c r="X94" s="245">
        <v>0.11153676746474966</v>
      </c>
      <c r="Y94" s="245">
        <v>0.58882821831655419</v>
      </c>
      <c r="Z94" s="245">
        <v>0.58882821831655419</v>
      </c>
      <c r="AA94" s="247">
        <v>0.21642128320038204</v>
      </c>
    </row>
    <row r="95" spans="1:27" ht="14">
      <c r="A95" s="244" t="s">
        <v>784</v>
      </c>
      <c r="B95" s="122">
        <v>13</v>
      </c>
      <c r="C95" s="245">
        <v>0.1084909090909091</v>
      </c>
      <c r="D95" s="245">
        <v>0.30791615796208249</v>
      </c>
      <c r="E95" s="245">
        <v>6.7989566122651446E-2</v>
      </c>
      <c r="F95" s="245">
        <v>0.1491899144854105</v>
      </c>
      <c r="G95" s="246">
        <v>0.52231147198629224</v>
      </c>
      <c r="H95" s="246">
        <v>0.71396343407949392</v>
      </c>
      <c r="I95" s="245">
        <v>7.1642317967656716E-2</v>
      </c>
      <c r="J95" s="245">
        <v>0.28198719816416001</v>
      </c>
      <c r="K95" s="245">
        <v>5.0854999999999997E-2</v>
      </c>
      <c r="L95" s="245">
        <v>0.33727313092901634</v>
      </c>
      <c r="M95" s="245">
        <v>6.0343307884739357E-2</v>
      </c>
      <c r="N95" s="246">
        <v>0.24924739614341856</v>
      </c>
      <c r="O95" s="246">
        <v>7.895573764246353</v>
      </c>
      <c r="P95" s="246">
        <v>16.861059231983642</v>
      </c>
      <c r="Q95" s="246">
        <v>25.637409477526273</v>
      </c>
      <c r="R95" s="246">
        <v>2.3031518241417506</v>
      </c>
      <c r="S95" s="246">
        <v>34.884505444212166</v>
      </c>
      <c r="T95" s="245">
        <v>0.11350573999309437</v>
      </c>
      <c r="U95" s="245">
        <v>0.53908430918105532</v>
      </c>
      <c r="V95" s="245">
        <v>0.40175099691053662</v>
      </c>
      <c r="W95" s="245">
        <v>1.4950509635847589</v>
      </c>
      <c r="X95" s="245">
        <v>0.15979158800682633</v>
      </c>
      <c r="Y95" s="245">
        <v>0.60585496218840451</v>
      </c>
      <c r="Z95" s="245">
        <v>0.39244972646773968</v>
      </c>
      <c r="AA95" s="247">
        <v>0.30680997617385836</v>
      </c>
    </row>
  </sheetData>
  <phoneticPr fontId="4"/>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5"/>
  <sheetViews>
    <sheetView workbookViewId="0">
      <selection sqref="A1:AA65536"/>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278" customFormat="1" ht="84">
      <c r="A1" s="358" t="s">
        <v>94</v>
      </c>
      <c r="B1" s="278" t="s">
        <v>171</v>
      </c>
      <c r="C1" s="359" t="s">
        <v>159</v>
      </c>
      <c r="D1" s="359" t="s">
        <v>616</v>
      </c>
      <c r="E1" s="359" t="s">
        <v>178</v>
      </c>
      <c r="F1" s="278" t="s">
        <v>160</v>
      </c>
      <c r="G1" s="278" t="s">
        <v>208</v>
      </c>
      <c r="H1" s="278" t="s">
        <v>161</v>
      </c>
      <c r="I1" s="278" t="s">
        <v>162</v>
      </c>
      <c r="J1" s="278" t="s">
        <v>163</v>
      </c>
      <c r="K1" s="278" t="s">
        <v>164</v>
      </c>
      <c r="L1" s="278" t="s">
        <v>165</v>
      </c>
      <c r="M1" s="278" t="s">
        <v>144</v>
      </c>
      <c r="N1" s="360" t="s">
        <v>97</v>
      </c>
      <c r="O1" s="278" t="s">
        <v>166</v>
      </c>
      <c r="P1" s="278" t="s">
        <v>167</v>
      </c>
      <c r="Q1" s="278" t="s">
        <v>168</v>
      </c>
      <c r="R1" s="278" t="s">
        <v>169</v>
      </c>
      <c r="S1" s="278" t="s">
        <v>170</v>
      </c>
      <c r="T1" s="278" t="s">
        <v>493</v>
      </c>
      <c r="U1" s="278" t="s">
        <v>494</v>
      </c>
      <c r="V1" s="278" t="s">
        <v>495</v>
      </c>
      <c r="W1" s="278" t="s">
        <v>496</v>
      </c>
      <c r="X1" s="358" t="s">
        <v>480</v>
      </c>
      <c r="Y1" s="358" t="s">
        <v>497</v>
      </c>
      <c r="Z1" s="358" t="s">
        <v>498</v>
      </c>
      <c r="AA1" s="278" t="s">
        <v>623</v>
      </c>
    </row>
    <row r="2" spans="1:27" s="233" customFormat="1">
      <c r="A2" s="244" t="s">
        <v>95</v>
      </c>
      <c r="B2" s="122">
        <v>391</v>
      </c>
      <c r="C2" s="245">
        <v>6.067873303167419E-2</v>
      </c>
      <c r="D2" s="245">
        <v>7.8932890152171781E-2</v>
      </c>
      <c r="E2" s="245">
        <v>0.22318415384806262</v>
      </c>
      <c r="F2" s="245">
        <v>0.246718624697842</v>
      </c>
      <c r="G2" s="246">
        <v>1.230922708614234</v>
      </c>
      <c r="H2" s="246">
        <v>1.3525261181448862</v>
      </c>
      <c r="I2" s="245">
        <v>0.12549692417308722</v>
      </c>
      <c r="J2" s="245">
        <v>0.38891117906224903</v>
      </c>
      <c r="K2" s="245">
        <v>6.4354999999999996E-2</v>
      </c>
      <c r="L2" s="245">
        <v>0.23971065900192118</v>
      </c>
      <c r="M2" s="245">
        <v>0.10693454331762162</v>
      </c>
      <c r="N2" s="246">
        <v>3.2269278158581134</v>
      </c>
      <c r="O2" s="246">
        <v>1.559758183059845</v>
      </c>
      <c r="P2" s="246">
        <v>11.941457605101091</v>
      </c>
      <c r="Q2" s="246">
        <v>18.46819835441859</v>
      </c>
      <c r="R2" s="246">
        <v>2.5969840766685515</v>
      </c>
      <c r="S2" s="246">
        <v>53.676863651275937</v>
      </c>
      <c r="T2" s="245">
        <v>-2.5138144517558653E-2</v>
      </c>
      <c r="U2" s="245">
        <v>1.7243189100700846E-2</v>
      </c>
      <c r="V2" s="245">
        <v>1.7319182249018784E-3</v>
      </c>
      <c r="W2" s="245">
        <v>0.25114078027496484</v>
      </c>
      <c r="X2" s="245">
        <v>7.5356549690505092E-2</v>
      </c>
      <c r="Y2" s="245">
        <v>0.76013580051126117</v>
      </c>
      <c r="Z2" s="245">
        <v>0.76013580051126117</v>
      </c>
      <c r="AA2" s="247">
        <v>8.0659837064077089E-2</v>
      </c>
    </row>
    <row r="3" spans="1:27" s="233" customFormat="1">
      <c r="A3" s="244" t="s">
        <v>695</v>
      </c>
      <c r="B3" s="122">
        <v>289</v>
      </c>
      <c r="C3" s="245">
        <v>9.3095680473372799E-2</v>
      </c>
      <c r="D3" s="245">
        <v>7.9923617622355614E-2</v>
      </c>
      <c r="E3" s="245">
        <v>0.13938187028979596</v>
      </c>
      <c r="F3" s="245">
        <v>0.16177288034464532</v>
      </c>
      <c r="G3" s="246">
        <v>0.90338325999219782</v>
      </c>
      <c r="H3" s="246">
        <v>0.98430307414573659</v>
      </c>
      <c r="I3" s="245">
        <v>0.10189382705274172</v>
      </c>
      <c r="J3" s="245">
        <v>0.35101018860014016</v>
      </c>
      <c r="K3" s="245">
        <v>6.4354999999999996E-2</v>
      </c>
      <c r="L3" s="245">
        <v>0.17197348630021456</v>
      </c>
      <c r="M3" s="245">
        <v>9.2635890133273613E-2</v>
      </c>
      <c r="N3" s="246">
        <v>1.832261980772774</v>
      </c>
      <c r="O3" s="246">
        <v>2.2616278665454335</v>
      </c>
      <c r="P3" s="246">
        <v>17.907632080275885</v>
      </c>
      <c r="Q3" s="246">
        <v>27.409853803101679</v>
      </c>
      <c r="R3" s="246">
        <v>4.4675789858150114</v>
      </c>
      <c r="S3" s="246">
        <v>77.145601859135155</v>
      </c>
      <c r="T3" s="245">
        <v>0.38805333617951365</v>
      </c>
      <c r="U3" s="245">
        <v>3.5404721692020857E-2</v>
      </c>
      <c r="V3" s="245">
        <v>2.1536227284770421E-2</v>
      </c>
      <c r="W3" s="245">
        <v>0.40167246380722366</v>
      </c>
      <c r="X3" s="245">
        <v>0.14143383047792696</v>
      </c>
      <c r="Y3" s="245">
        <v>0.44958156371112074</v>
      </c>
      <c r="Z3" s="245">
        <v>0.44958156371112068</v>
      </c>
      <c r="AA3" s="247">
        <v>8.359700918676137E-2</v>
      </c>
    </row>
    <row r="4" spans="1:27" s="233" customFormat="1">
      <c r="A4" s="244" t="s">
        <v>696</v>
      </c>
      <c r="B4" s="122">
        <v>155</v>
      </c>
      <c r="C4" s="245">
        <v>2.4834959999999993E-2</v>
      </c>
      <c r="D4" s="245">
        <v>7.2832786186452753E-2</v>
      </c>
      <c r="E4" s="245">
        <v>7.6090439467841289E-2</v>
      </c>
      <c r="F4" s="245">
        <v>0.1807932286202501</v>
      </c>
      <c r="G4" s="246">
        <v>0.81040340851220216</v>
      </c>
      <c r="H4" s="246">
        <v>1.2872127648104197</v>
      </c>
      <c r="I4" s="245">
        <v>0.12131033822434791</v>
      </c>
      <c r="J4" s="245">
        <v>0.30061794269989939</v>
      </c>
      <c r="K4" s="245">
        <v>6.4354999999999996E-2</v>
      </c>
      <c r="L4" s="245">
        <v>0.5098168184151185</v>
      </c>
      <c r="M4" s="245">
        <v>8.3966243925460496E-2</v>
      </c>
      <c r="N4" s="246">
        <v>1.1974037614368913</v>
      </c>
      <c r="O4" s="246">
        <v>1.4160606754934064</v>
      </c>
      <c r="P4" s="246">
        <v>8.4210655337795917</v>
      </c>
      <c r="Q4" s="246">
        <v>18.088756940528786</v>
      </c>
      <c r="R4" s="246">
        <v>2.4000358145682918</v>
      </c>
      <c r="S4" s="246">
        <v>96.63158394397243</v>
      </c>
      <c r="T4" s="245">
        <v>-2.8523145438302533E-2</v>
      </c>
      <c r="U4" s="245">
        <v>9.8728590436067104E-2</v>
      </c>
      <c r="V4" s="245">
        <v>3.4606502475835459E-2</v>
      </c>
      <c r="W4" s="245">
        <v>0.3036030119027146</v>
      </c>
      <c r="X4" s="245">
        <v>0.19646294458461791</v>
      </c>
      <c r="Y4" s="245">
        <v>0.25209574595687112</v>
      </c>
      <c r="Z4" s="245">
        <v>0.25209574595687112</v>
      </c>
      <c r="AA4" s="247">
        <v>7.2336876698605931E-2</v>
      </c>
    </row>
    <row r="5" spans="1:27" s="233" customFormat="1">
      <c r="A5" s="244" t="s">
        <v>697</v>
      </c>
      <c r="B5" s="122">
        <v>1152</v>
      </c>
      <c r="C5" s="245">
        <v>2.9902592592592647E-2</v>
      </c>
      <c r="D5" s="245">
        <v>0.14639551002807649</v>
      </c>
      <c r="E5" s="245">
        <v>0.21314799858212871</v>
      </c>
      <c r="F5" s="245">
        <v>0.25306546003931041</v>
      </c>
      <c r="G5" s="246">
        <v>0.77946573342923353</v>
      </c>
      <c r="H5" s="246">
        <v>0.8327732999954236</v>
      </c>
      <c r="I5" s="245">
        <v>9.2180768529706664E-2</v>
      </c>
      <c r="J5" s="245">
        <v>0.32723668608398665</v>
      </c>
      <c r="K5" s="245">
        <v>6.4354999999999996E-2</v>
      </c>
      <c r="L5" s="245">
        <v>0.14561415127969835</v>
      </c>
      <c r="M5" s="245">
        <v>8.5756205989288903E-2</v>
      </c>
      <c r="N5" s="246">
        <v>1.6689116104178496</v>
      </c>
      <c r="O5" s="246">
        <v>2.4393038474523534</v>
      </c>
      <c r="P5" s="246">
        <v>13.192840233095488</v>
      </c>
      <c r="Q5" s="246">
        <v>16.125324871999986</v>
      </c>
      <c r="R5" s="246">
        <v>3.6292338849372463</v>
      </c>
      <c r="S5" s="246">
        <v>42.488215468913204</v>
      </c>
      <c r="T5" s="245">
        <v>0.22428068163286738</v>
      </c>
      <c r="U5" s="245">
        <v>5.1634120766826712E-2</v>
      </c>
      <c r="V5" s="245">
        <v>3.4267562712317463E-2</v>
      </c>
      <c r="W5" s="245">
        <v>0.52147230642361864</v>
      </c>
      <c r="X5" s="245">
        <v>0.17062717492423177</v>
      </c>
      <c r="Y5" s="245">
        <v>0.42378359803405485</v>
      </c>
      <c r="Z5" s="245">
        <v>0.42378359803405485</v>
      </c>
      <c r="AA5" s="247">
        <v>0.1480413804203404</v>
      </c>
    </row>
    <row r="6" spans="1:27" s="233" customFormat="1">
      <c r="A6" s="244" t="s">
        <v>505</v>
      </c>
      <c r="B6" s="122">
        <v>165</v>
      </c>
      <c r="C6" s="245">
        <v>8.1321568627451005E-2</v>
      </c>
      <c r="D6" s="245">
        <v>7.5594608796639998E-2</v>
      </c>
      <c r="E6" s="245">
        <v>8.6167570629544429E-2</v>
      </c>
      <c r="F6" s="245">
        <v>0.21881134556526194</v>
      </c>
      <c r="G6" s="246">
        <v>1.1030216126379662</v>
      </c>
      <c r="H6" s="246">
        <v>1.3606863499868866</v>
      </c>
      <c r="I6" s="245">
        <v>0.12601999503415945</v>
      </c>
      <c r="J6" s="245">
        <v>0.36463723432108103</v>
      </c>
      <c r="K6" s="245">
        <v>6.4354999999999996E-2</v>
      </c>
      <c r="L6" s="245">
        <v>0.35609740761964193</v>
      </c>
      <c r="M6" s="245">
        <v>9.8258754719041108E-2</v>
      </c>
      <c r="N6" s="246">
        <v>1.2339366809197057</v>
      </c>
      <c r="O6" s="246">
        <v>1.2010454020784698</v>
      </c>
      <c r="P6" s="246">
        <v>9.8422842102529184</v>
      </c>
      <c r="Q6" s="246">
        <v>15.278938923875362</v>
      </c>
      <c r="R6" s="246">
        <v>1.6673634307963558</v>
      </c>
      <c r="S6" s="246">
        <v>42.264064058692334</v>
      </c>
      <c r="T6" s="245">
        <v>2.1279099706557173E-2</v>
      </c>
      <c r="U6" s="245">
        <v>6.0660184486618751E-2</v>
      </c>
      <c r="V6" s="245">
        <v>3.4611750465439226E-2</v>
      </c>
      <c r="W6" s="245">
        <v>0.70382133445662309</v>
      </c>
      <c r="X6" s="245">
        <v>0.14502972145556844</v>
      </c>
      <c r="Y6" s="245">
        <v>0.26552011184291902</v>
      </c>
      <c r="Z6" s="245">
        <v>0.26552011184291902</v>
      </c>
      <c r="AA6" s="247">
        <v>7.7383712559417714E-2</v>
      </c>
    </row>
    <row r="7" spans="1:27" s="233" customFormat="1">
      <c r="A7" s="244" t="s">
        <v>698</v>
      </c>
      <c r="B7" s="122">
        <v>761</v>
      </c>
      <c r="C7" s="245">
        <v>6.8719931740614457E-2</v>
      </c>
      <c r="D7" s="245">
        <v>5.0112864897864803E-2</v>
      </c>
      <c r="E7" s="245">
        <v>6.9513426919346172E-2</v>
      </c>
      <c r="F7" s="245">
        <v>0.24077430357322982</v>
      </c>
      <c r="G7" s="246">
        <v>1.2090551528976201</v>
      </c>
      <c r="H7" s="246">
        <v>1.3055576462563983</v>
      </c>
      <c r="I7" s="245">
        <v>0.12248624512503513</v>
      </c>
      <c r="J7" s="245">
        <v>0.30389336137361062</v>
      </c>
      <c r="K7" s="245">
        <v>6.4354999999999996E-2</v>
      </c>
      <c r="L7" s="245">
        <v>0.23444226966537252</v>
      </c>
      <c r="M7" s="245">
        <v>0.10503766091012319</v>
      </c>
      <c r="N7" s="246">
        <v>1.7302940449169695</v>
      </c>
      <c r="O7" s="246">
        <v>0.82655482438861694</v>
      </c>
      <c r="P7" s="246">
        <v>8.5539997462023134</v>
      </c>
      <c r="Q7" s="246">
        <v>15.807321844185415</v>
      </c>
      <c r="R7" s="246">
        <v>1.4984185462279598</v>
      </c>
      <c r="S7" s="246">
        <v>130.48897980538902</v>
      </c>
      <c r="T7" s="245">
        <v>0.11764661032295171</v>
      </c>
      <c r="U7" s="245">
        <v>5.3688520658493728E-2</v>
      </c>
      <c r="V7" s="245">
        <v>3.8473888094413308E-2</v>
      </c>
      <c r="W7" s="245">
        <v>1.1613589310967309</v>
      </c>
      <c r="X7" s="245">
        <v>7.5788200409424869E-2</v>
      </c>
      <c r="Y7" s="245">
        <v>0.41658239132927549</v>
      </c>
      <c r="Z7" s="245">
        <v>0.41658239132927544</v>
      </c>
      <c r="AA7" s="247">
        <v>4.8274277955413517E-2</v>
      </c>
    </row>
    <row r="8" spans="1:27" s="233" customFormat="1">
      <c r="A8" s="244" t="s">
        <v>699</v>
      </c>
      <c r="B8" s="122">
        <v>607</v>
      </c>
      <c r="C8" s="245">
        <v>0.12026280219780222</v>
      </c>
      <c r="D8" s="245">
        <v>2.836437566956165E-3</v>
      </c>
      <c r="E8" s="245">
        <v>3.8710600933369518E-4</v>
      </c>
      <c r="F8" s="245">
        <v>0.18590464159135889</v>
      </c>
      <c r="G8" s="246">
        <v>0.42062215883943554</v>
      </c>
      <c r="H8" s="246">
        <v>0.87661222593848698</v>
      </c>
      <c r="I8" s="245">
        <v>9.499084368265702E-2</v>
      </c>
      <c r="J8" s="245">
        <v>0.21280779215491177</v>
      </c>
      <c r="K8" s="245">
        <v>5.8542999999999998E-2</v>
      </c>
      <c r="L8" s="245">
        <v>0.74422547902114233</v>
      </c>
      <c r="M8" s="245">
        <v>5.6833710288961531E-2</v>
      </c>
      <c r="N8" s="246">
        <v>0.15911567619584571</v>
      </c>
      <c r="O8" s="246">
        <v>6.7699193362529693</v>
      </c>
      <c r="P8" s="246">
        <v>189.89899252176048</v>
      </c>
      <c r="Q8" s="246" t="s">
        <v>96</v>
      </c>
      <c r="R8" s="246">
        <v>0.84234956897519375</v>
      </c>
      <c r="S8" s="246">
        <v>14.729077831666997</v>
      </c>
      <c r="T8" s="245" t="s">
        <v>96</v>
      </c>
      <c r="U8" s="245">
        <v>3.3254363502624396E-2</v>
      </c>
      <c r="V8" s="245">
        <v>5.0798671170112046E-2</v>
      </c>
      <c r="W8" s="245">
        <v>19.575019416478412</v>
      </c>
      <c r="X8" s="245">
        <v>0.12654306384811947</v>
      </c>
      <c r="Y8" s="245">
        <v>0.3069542161513743</v>
      </c>
      <c r="Z8" s="245">
        <v>0.3069542161513743</v>
      </c>
      <c r="AA8" s="247">
        <v>3.1046482550396858E-3</v>
      </c>
    </row>
    <row r="9" spans="1:27" s="233" customFormat="1">
      <c r="A9" s="244" t="s">
        <v>700</v>
      </c>
      <c r="B9" s="122">
        <v>881</v>
      </c>
      <c r="C9" s="245">
        <v>8.4004418282548593E-2</v>
      </c>
      <c r="D9" s="245">
        <v>-1.0767472807027948E-4</v>
      </c>
      <c r="E9" s="245">
        <v>-1.4741659961087388E-4</v>
      </c>
      <c r="F9" s="245">
        <v>0.19178309540764671</v>
      </c>
      <c r="G9" s="246">
        <v>0.28391223862464121</v>
      </c>
      <c r="H9" s="246">
        <v>0.52308360515971275</v>
      </c>
      <c r="I9" s="245">
        <v>7.2329659090737589E-2</v>
      </c>
      <c r="J9" s="245">
        <v>0.1829555737562317</v>
      </c>
      <c r="K9" s="245">
        <v>5.8542999999999998E-2</v>
      </c>
      <c r="L9" s="245">
        <v>0.71756531239429977</v>
      </c>
      <c r="M9" s="245">
        <v>5.1800297269076687E-2</v>
      </c>
      <c r="N9" s="246">
        <v>0.17196644382490753</v>
      </c>
      <c r="O9" s="246">
        <v>5.8371202375026803</v>
      </c>
      <c r="P9" s="246" t="s">
        <v>96</v>
      </c>
      <c r="Q9" s="246" t="s">
        <v>96</v>
      </c>
      <c r="R9" s="246">
        <v>0.7449859762005423</v>
      </c>
      <c r="S9" s="246">
        <v>28.980754193617013</v>
      </c>
      <c r="T9" s="245" t="s">
        <v>96</v>
      </c>
      <c r="U9" s="245">
        <v>2.958498139413368E-2</v>
      </c>
      <c r="V9" s="245">
        <v>-4.2662562656123115E-2</v>
      </c>
      <c r="W9" s="245" t="s">
        <v>96</v>
      </c>
      <c r="X9" s="245">
        <v>9.8266834992314978E-2</v>
      </c>
      <c r="Y9" s="245">
        <v>0.29089509088479176</v>
      </c>
      <c r="Z9" s="245">
        <v>0.29089509088479182</v>
      </c>
      <c r="AA9" s="247">
        <v>-1.0386505223670634E-3</v>
      </c>
    </row>
    <row r="10" spans="1:27" s="233" customFormat="1">
      <c r="A10" s="244" t="s">
        <v>701</v>
      </c>
      <c r="B10" s="122">
        <v>220</v>
      </c>
      <c r="C10" s="245">
        <v>8.2478474576271152E-2</v>
      </c>
      <c r="D10" s="245">
        <v>0.21689011757613924</v>
      </c>
      <c r="E10" s="245">
        <v>0.16067497723977506</v>
      </c>
      <c r="F10" s="245">
        <v>0.21945068244758553</v>
      </c>
      <c r="G10" s="246">
        <v>0.68658211006811931</v>
      </c>
      <c r="H10" s="246">
        <v>0.74556336192485029</v>
      </c>
      <c r="I10" s="245">
        <v>8.6590611499382908E-2</v>
      </c>
      <c r="J10" s="245">
        <v>0.27489398256287167</v>
      </c>
      <c r="K10" s="245">
        <v>6.4354999999999996E-2</v>
      </c>
      <c r="L10" s="245">
        <v>0.15736771820899165</v>
      </c>
      <c r="M10" s="245">
        <v>8.052718649999141E-2</v>
      </c>
      <c r="N10" s="246">
        <v>0.88209059613817564</v>
      </c>
      <c r="O10" s="246">
        <v>3.6455194860978168</v>
      </c>
      <c r="P10" s="246">
        <v>13.890019429473542</v>
      </c>
      <c r="Q10" s="246">
        <v>16.682460386274574</v>
      </c>
      <c r="R10" s="246">
        <v>3.176189348594515</v>
      </c>
      <c r="S10" s="246">
        <v>49.806144684265178</v>
      </c>
      <c r="T10" s="245">
        <v>0.10799586197824766</v>
      </c>
      <c r="U10" s="245">
        <v>5.1080512951848511E-2</v>
      </c>
      <c r="V10" s="245">
        <v>2.917893619654361E-2</v>
      </c>
      <c r="W10" s="245">
        <v>0.39674912424489028</v>
      </c>
      <c r="X10" s="245">
        <v>0.16528003825197413</v>
      </c>
      <c r="Y10" s="245">
        <v>0.44614569767062995</v>
      </c>
      <c r="Z10" s="245">
        <v>0.44614569767062995</v>
      </c>
      <c r="AA10" s="247">
        <v>0.21737063325584272</v>
      </c>
    </row>
    <row r="11" spans="1:27" s="233" customFormat="1">
      <c r="A11" s="244" t="s">
        <v>702</v>
      </c>
      <c r="B11" s="122">
        <v>100</v>
      </c>
      <c r="C11" s="245">
        <v>0.13106444444444451</v>
      </c>
      <c r="D11" s="245">
        <v>0.16712851609847532</v>
      </c>
      <c r="E11" s="245">
        <v>0.2608297340208956</v>
      </c>
      <c r="F11" s="245">
        <v>0.20408115504017885</v>
      </c>
      <c r="G11" s="246">
        <v>0.65633360985128586</v>
      </c>
      <c r="H11" s="246">
        <v>0.70711615968510422</v>
      </c>
      <c r="I11" s="245">
        <v>8.412614583581518E-2</v>
      </c>
      <c r="J11" s="245">
        <v>0.32238073188669158</v>
      </c>
      <c r="K11" s="245">
        <v>6.4354999999999996E-2</v>
      </c>
      <c r="L11" s="245">
        <v>0.14148944903633848</v>
      </c>
      <c r="M11" s="245">
        <v>7.9023211160328455E-2</v>
      </c>
      <c r="N11" s="246">
        <v>1.7627547191775155</v>
      </c>
      <c r="O11" s="246">
        <v>3.5378584257458057</v>
      </c>
      <c r="P11" s="246">
        <v>17.269454444972265</v>
      </c>
      <c r="Q11" s="246">
        <v>21.066831643634497</v>
      </c>
      <c r="R11" s="246">
        <v>6.2212477334543177</v>
      </c>
      <c r="S11" s="246">
        <v>34.11006197729769</v>
      </c>
      <c r="T11" s="245">
        <v>-4.6222997524781692E-2</v>
      </c>
      <c r="U11" s="245">
        <v>4.6679170313504027E-2</v>
      </c>
      <c r="V11" s="245">
        <v>2.2693158799400592E-2</v>
      </c>
      <c r="W11" s="245">
        <v>0.28353809683457926</v>
      </c>
      <c r="X11" s="245">
        <v>0.2576342081193243</v>
      </c>
      <c r="Y11" s="245">
        <v>0.63108793040666566</v>
      </c>
      <c r="Z11" s="245">
        <v>0.63108793040666566</v>
      </c>
      <c r="AA11" s="247">
        <v>0.16780765336144987</v>
      </c>
    </row>
    <row r="12" spans="1:27" s="233" customFormat="1">
      <c r="A12" s="244" t="s">
        <v>703</v>
      </c>
      <c r="B12" s="122">
        <v>130</v>
      </c>
      <c r="C12" s="245">
        <v>4.030675925925923E-2</v>
      </c>
      <c r="D12" s="245">
        <v>9.9129608106528558E-2</v>
      </c>
      <c r="E12" s="245">
        <v>8.8152853321582583E-2</v>
      </c>
      <c r="F12" s="245">
        <v>0.25292769638038876</v>
      </c>
      <c r="G12" s="246">
        <v>0.66373823913789409</v>
      </c>
      <c r="H12" s="246">
        <v>0.98196857098756574</v>
      </c>
      <c r="I12" s="245">
        <v>0.10174418540030297</v>
      </c>
      <c r="J12" s="245">
        <v>0.31539632930060441</v>
      </c>
      <c r="K12" s="245">
        <v>6.4354999999999996E-2</v>
      </c>
      <c r="L12" s="245">
        <v>0.46662626831965853</v>
      </c>
      <c r="M12" s="245">
        <v>7.6693880819827157E-2</v>
      </c>
      <c r="N12" s="246">
        <v>1.0482622756377238</v>
      </c>
      <c r="O12" s="246">
        <v>1.1859945658791715</v>
      </c>
      <c r="P12" s="246">
        <v>7.8705781500574945</v>
      </c>
      <c r="Q12" s="246">
        <v>11.666819517509953</v>
      </c>
      <c r="R12" s="246">
        <v>0.74709201201005304</v>
      </c>
      <c r="S12" s="246">
        <v>45.336231476624697</v>
      </c>
      <c r="T12" s="245">
        <v>0.12358975266083913</v>
      </c>
      <c r="U12" s="245">
        <v>3.7688122982498302E-2</v>
      </c>
      <c r="V12" s="245">
        <v>-2.745963089018547E-3</v>
      </c>
      <c r="W12" s="245">
        <v>1.536797306304446</v>
      </c>
      <c r="X12" s="245">
        <v>-3.5567526500278491E-3</v>
      </c>
      <c r="Y12" s="245">
        <v>4.7085165407288673E-3</v>
      </c>
      <c r="Z12" s="245">
        <v>4.708516540728902E-3</v>
      </c>
      <c r="AA12" s="247">
        <v>9.8763142965122647E-2</v>
      </c>
    </row>
    <row r="13" spans="1:27" s="233" customFormat="1">
      <c r="A13" s="244" t="s">
        <v>704</v>
      </c>
      <c r="B13" s="122">
        <v>590</v>
      </c>
      <c r="C13" s="245">
        <v>0.10416122249388746</v>
      </c>
      <c r="D13" s="245">
        <v>1.1775589724179554E-2</v>
      </c>
      <c r="E13" s="245">
        <v>1.8058244106970486E-3</v>
      </c>
      <c r="F13" s="245">
        <v>0.18959734608836737</v>
      </c>
      <c r="G13" s="246">
        <v>0.39976610514833744</v>
      </c>
      <c r="H13" s="246">
        <v>0.92867816558663385</v>
      </c>
      <c r="I13" s="245">
        <v>9.8328270414103233E-2</v>
      </c>
      <c r="J13" s="245">
        <v>0.31951733900502816</v>
      </c>
      <c r="K13" s="245">
        <v>6.4354999999999996E-2</v>
      </c>
      <c r="L13" s="245">
        <v>0.71231609094302373</v>
      </c>
      <c r="M13" s="245">
        <v>6.2521596201514928E-2</v>
      </c>
      <c r="N13" s="246">
        <v>0.18374812093580101</v>
      </c>
      <c r="O13" s="246">
        <v>6.8227983793976916</v>
      </c>
      <c r="P13" s="246">
        <v>189.17464263492164</v>
      </c>
      <c r="Q13" s="246" t="s">
        <v>96</v>
      </c>
      <c r="R13" s="246">
        <v>1.2584232975164984</v>
      </c>
      <c r="S13" s="246">
        <v>115.17713682796492</v>
      </c>
      <c r="T13" s="245" t="s">
        <v>96</v>
      </c>
      <c r="U13" s="245">
        <v>3.2147267807055589E-2</v>
      </c>
      <c r="V13" s="245">
        <v>1.784038062272536E-2</v>
      </c>
      <c r="W13" s="245">
        <v>8.4602071210860217</v>
      </c>
      <c r="X13" s="245">
        <v>7.6645177486536833E-2</v>
      </c>
      <c r="Y13" s="245">
        <v>0.59630235260648212</v>
      </c>
      <c r="Z13" s="245">
        <v>0.59630235260648212</v>
      </c>
      <c r="AA13" s="247">
        <v>1.1347044853309701E-2</v>
      </c>
    </row>
    <row r="14" spans="1:27" s="233" customFormat="1">
      <c r="A14" s="244" t="s">
        <v>705</v>
      </c>
      <c r="B14" s="122">
        <v>457</v>
      </c>
      <c r="C14" s="245">
        <v>6.0341779661016975E-2</v>
      </c>
      <c r="D14" s="245">
        <v>0.10639298425330174</v>
      </c>
      <c r="E14" s="245">
        <v>0.16730290380377014</v>
      </c>
      <c r="F14" s="245">
        <v>0.22838372211226882</v>
      </c>
      <c r="G14" s="246">
        <v>0.94049139107378144</v>
      </c>
      <c r="H14" s="246">
        <v>1.0314797894224859</v>
      </c>
      <c r="I14" s="245">
        <v>0.10491785450198135</v>
      </c>
      <c r="J14" s="245">
        <v>0.28001303760534801</v>
      </c>
      <c r="K14" s="245">
        <v>6.4354999999999996E-2</v>
      </c>
      <c r="L14" s="245">
        <v>0.17800859680469788</v>
      </c>
      <c r="M14" s="245">
        <v>9.4796723499457378E-2</v>
      </c>
      <c r="N14" s="246">
        <v>1.8434295701551509</v>
      </c>
      <c r="O14" s="246">
        <v>1.7142682425921849</v>
      </c>
      <c r="P14" s="246">
        <v>11.505961873812181</v>
      </c>
      <c r="Q14" s="246">
        <v>15.690307278203431</v>
      </c>
      <c r="R14" s="246">
        <v>2.8207400308199988</v>
      </c>
      <c r="S14" s="246">
        <v>28.790076883849167</v>
      </c>
      <c r="T14" s="245">
        <v>0.17489299179969522</v>
      </c>
      <c r="U14" s="245">
        <v>4.3511059957789401E-2</v>
      </c>
      <c r="V14" s="245">
        <v>5.1551982456434026E-2</v>
      </c>
      <c r="W14" s="245">
        <v>0.67999326816282113</v>
      </c>
      <c r="X14" s="245">
        <v>0.13388147527037284</v>
      </c>
      <c r="Y14" s="245">
        <v>0.388872338450932</v>
      </c>
      <c r="Z14" s="245">
        <v>0.38887233845093205</v>
      </c>
      <c r="AA14" s="247">
        <v>0.10786546811677485</v>
      </c>
    </row>
    <row r="15" spans="1:27" s="233" customFormat="1">
      <c r="A15" s="244" t="s">
        <v>706</v>
      </c>
      <c r="B15" s="122">
        <v>980</v>
      </c>
      <c r="C15" s="245">
        <v>7.4751886503067494E-2</v>
      </c>
      <c r="D15" s="245">
        <v>9.1545350405106973E-2</v>
      </c>
      <c r="E15" s="245">
        <v>0.21051840184826312</v>
      </c>
      <c r="F15" s="245">
        <v>0.24712005235110177</v>
      </c>
      <c r="G15" s="246">
        <v>0.96407247528666307</v>
      </c>
      <c r="H15" s="246">
        <v>1.0420886881980234</v>
      </c>
      <c r="I15" s="245">
        <v>0.1055978849134933</v>
      </c>
      <c r="J15" s="245">
        <v>0.33306409769419965</v>
      </c>
      <c r="K15" s="245">
        <v>6.4354999999999996E-2</v>
      </c>
      <c r="L15" s="245">
        <v>0.16018506974822763</v>
      </c>
      <c r="M15" s="245">
        <v>9.6381225103571791E-2</v>
      </c>
      <c r="N15" s="246">
        <v>2.715334288051404</v>
      </c>
      <c r="O15" s="246">
        <v>2.0557335896830184</v>
      </c>
      <c r="P15" s="246">
        <v>15.444300197282416</v>
      </c>
      <c r="Q15" s="246">
        <v>21.523989925145624</v>
      </c>
      <c r="R15" s="246">
        <v>4.4253804849140437</v>
      </c>
      <c r="S15" s="246">
        <v>215.34905421682527</v>
      </c>
      <c r="T15" s="245">
        <v>0.10538724930811728</v>
      </c>
      <c r="U15" s="245">
        <v>2.710004729962024E-2</v>
      </c>
      <c r="V15" s="245">
        <v>1.4473205088458613E-2</v>
      </c>
      <c r="W15" s="245">
        <v>0.30416219191382826</v>
      </c>
      <c r="X15" s="245">
        <v>0.13588911707732601</v>
      </c>
      <c r="Y15" s="245">
        <v>0.54379558964753638</v>
      </c>
      <c r="Z15" s="245">
        <v>0.54379558964753638</v>
      </c>
      <c r="AA15" s="247">
        <v>9.3079704150063891E-2</v>
      </c>
    </row>
    <row r="16" spans="1:27" s="233" customFormat="1">
      <c r="A16" s="244" t="s">
        <v>707</v>
      </c>
      <c r="B16" s="122">
        <v>48</v>
      </c>
      <c r="C16" s="245">
        <v>4.1942682926829289E-2</v>
      </c>
      <c r="D16" s="245">
        <v>0.18608743617896145</v>
      </c>
      <c r="E16" s="245">
        <v>0.12004314941711695</v>
      </c>
      <c r="F16" s="245">
        <v>0.25003543339469997</v>
      </c>
      <c r="G16" s="246">
        <v>0.60757745917594519</v>
      </c>
      <c r="H16" s="246">
        <v>1.0211435017770623</v>
      </c>
      <c r="I16" s="245">
        <v>0.1042552984639097</v>
      </c>
      <c r="J16" s="245">
        <v>0.30910674067589428</v>
      </c>
      <c r="K16" s="245">
        <v>6.4354999999999996E-2</v>
      </c>
      <c r="L16" s="245">
        <v>0.49229680226199318</v>
      </c>
      <c r="M16" s="245">
        <v>7.6590687309164573E-2</v>
      </c>
      <c r="N16" s="246">
        <v>0.75937230431464287</v>
      </c>
      <c r="O16" s="246">
        <v>2.5412604191516617</v>
      </c>
      <c r="P16" s="246">
        <v>7.8754763695141152</v>
      </c>
      <c r="Q16" s="246">
        <v>13.842133335680833</v>
      </c>
      <c r="R16" s="246">
        <v>1.8679221543730586</v>
      </c>
      <c r="S16" s="246">
        <v>34.875965970574853</v>
      </c>
      <c r="T16" s="245">
        <v>7.5306298202324311E-3</v>
      </c>
      <c r="U16" s="245">
        <v>0.14155246221551379</v>
      </c>
      <c r="V16" s="245">
        <v>1.4127987573296598E-2</v>
      </c>
      <c r="W16" s="245">
        <v>0.18025282473487292</v>
      </c>
      <c r="X16" s="245">
        <v>0.15882582093501948</v>
      </c>
      <c r="Y16" s="245">
        <v>0.24726748870441223</v>
      </c>
      <c r="Z16" s="245">
        <v>0.24726748870441217</v>
      </c>
      <c r="AA16" s="247">
        <v>0.18267772317044448</v>
      </c>
    </row>
    <row r="17" spans="1:27" s="233" customFormat="1">
      <c r="A17" s="244" t="s">
        <v>708</v>
      </c>
      <c r="B17" s="122">
        <v>888</v>
      </c>
      <c r="C17" s="245">
        <v>8.5872087087087254E-2</v>
      </c>
      <c r="D17" s="245">
        <v>4.654223591776669E-2</v>
      </c>
      <c r="E17" s="245">
        <v>4.6390050897023735E-2</v>
      </c>
      <c r="F17" s="245">
        <v>0.19898679373546302</v>
      </c>
      <c r="G17" s="246">
        <v>0.90192728654346632</v>
      </c>
      <c r="H17" s="246">
        <v>1.0727320656318433</v>
      </c>
      <c r="I17" s="245">
        <v>0.10756212540700116</v>
      </c>
      <c r="J17" s="245">
        <v>0.28877338728448732</v>
      </c>
      <c r="K17" s="245">
        <v>6.4354999999999996E-2</v>
      </c>
      <c r="L17" s="245">
        <v>0.30060028166786401</v>
      </c>
      <c r="M17" s="245">
        <v>8.9675864138308484E-2</v>
      </c>
      <c r="N17" s="246">
        <v>1.142331199467975</v>
      </c>
      <c r="O17" s="246">
        <v>1.3267680881060939</v>
      </c>
      <c r="P17" s="246">
        <v>12.709580510846019</v>
      </c>
      <c r="Q17" s="246">
        <v>26.906774069294407</v>
      </c>
      <c r="R17" s="246">
        <v>1.4647625666630479</v>
      </c>
      <c r="S17" s="246">
        <v>113.95451115517619</v>
      </c>
      <c r="T17" s="245">
        <v>0.13109121704272025</v>
      </c>
      <c r="U17" s="245">
        <v>9.3408741940223597E-2</v>
      </c>
      <c r="V17" s="245">
        <v>6.6481922015061645E-2</v>
      </c>
      <c r="W17" s="245">
        <v>1.9459032804024459</v>
      </c>
      <c r="X17" s="245">
        <v>3.8401073053239365E-2</v>
      </c>
      <c r="Y17" s="245">
        <v>1.4179036744594127</v>
      </c>
      <c r="Z17" s="245">
        <v>1.4179036744594127</v>
      </c>
      <c r="AA17" s="247">
        <v>4.7045768741900654E-2</v>
      </c>
    </row>
    <row r="18" spans="1:27" s="233" customFormat="1">
      <c r="A18" s="244" t="s">
        <v>709</v>
      </c>
      <c r="B18" s="122">
        <v>64</v>
      </c>
      <c r="C18" s="245">
        <v>8.104345454545453E-2</v>
      </c>
      <c r="D18" s="245">
        <v>6.623860123534521E-2</v>
      </c>
      <c r="E18" s="245">
        <v>5.4454418663555132E-2</v>
      </c>
      <c r="F18" s="245">
        <v>0.22367776062870592</v>
      </c>
      <c r="G18" s="246">
        <v>0.84636700760429417</v>
      </c>
      <c r="H18" s="246">
        <v>1.0926752561445319</v>
      </c>
      <c r="I18" s="245">
        <v>0.1088404839188645</v>
      </c>
      <c r="J18" s="245">
        <v>0.22362857363875668</v>
      </c>
      <c r="K18" s="245">
        <v>5.8542999999999998E-2</v>
      </c>
      <c r="L18" s="245">
        <v>0.35776016912734643</v>
      </c>
      <c r="M18" s="245">
        <v>8.5542937238606079E-2</v>
      </c>
      <c r="N18" s="246">
        <v>1.0817263319048771</v>
      </c>
      <c r="O18" s="246">
        <v>1.0157982256985356</v>
      </c>
      <c r="P18" s="246">
        <v>7.9802615466451119</v>
      </c>
      <c r="Q18" s="246">
        <v>14.42353398816341</v>
      </c>
      <c r="R18" s="246">
        <v>1.1205497743065977</v>
      </c>
      <c r="S18" s="246">
        <v>82.991453933495322</v>
      </c>
      <c r="T18" s="245">
        <v>0.19327838179916976</v>
      </c>
      <c r="U18" s="245">
        <v>7.257792118322362E-2</v>
      </c>
      <c r="V18" s="245">
        <v>2.9991930051235523E-2</v>
      </c>
      <c r="W18" s="245">
        <v>0.49016869584410516</v>
      </c>
      <c r="X18" s="245">
        <v>2.9144222762520329E-2</v>
      </c>
      <c r="Y18" s="245">
        <v>1.7073693515687167</v>
      </c>
      <c r="Z18" s="245">
        <v>1.7073693515687167</v>
      </c>
      <c r="AA18" s="247">
        <v>6.5288297229942199E-2</v>
      </c>
    </row>
    <row r="19" spans="1:27" s="233" customFormat="1">
      <c r="A19" s="244" t="s">
        <v>710</v>
      </c>
      <c r="B19" s="122">
        <v>949</v>
      </c>
      <c r="C19" s="245">
        <v>9.4848671874999943E-2</v>
      </c>
      <c r="D19" s="245">
        <v>0.11947289608979775</v>
      </c>
      <c r="E19" s="245">
        <v>0.12380681994346758</v>
      </c>
      <c r="F19" s="245">
        <v>0.20888360954709173</v>
      </c>
      <c r="G19" s="246">
        <v>0.94095302064487263</v>
      </c>
      <c r="H19" s="246">
        <v>1.0268135146120052</v>
      </c>
      <c r="I19" s="245">
        <v>0.10461874628662954</v>
      </c>
      <c r="J19" s="245">
        <v>0.31217963918359742</v>
      </c>
      <c r="K19" s="245">
        <v>6.4354999999999996E-2</v>
      </c>
      <c r="L19" s="245">
        <v>0.17874753360855916</v>
      </c>
      <c r="M19" s="245">
        <v>9.4509066010627807E-2</v>
      </c>
      <c r="N19" s="246">
        <v>1.2093762157449224</v>
      </c>
      <c r="O19" s="246">
        <v>2.2521789021943541</v>
      </c>
      <c r="P19" s="246">
        <v>12.466233046293389</v>
      </c>
      <c r="Q19" s="246">
        <v>18.488180723537521</v>
      </c>
      <c r="R19" s="246">
        <v>2.4503177323688599</v>
      </c>
      <c r="S19" s="246">
        <v>46.349690338048291</v>
      </c>
      <c r="T19" s="245">
        <v>0.18241924623939815</v>
      </c>
      <c r="U19" s="245">
        <v>8.8331116330068696E-2</v>
      </c>
      <c r="V19" s="245">
        <v>6.7377140830119739E-2</v>
      </c>
      <c r="W19" s="245">
        <v>0.7886187208447869</v>
      </c>
      <c r="X19" s="245">
        <v>0.12070412277404113</v>
      </c>
      <c r="Y19" s="245">
        <v>0.5171976243077383</v>
      </c>
      <c r="Z19" s="245">
        <v>0.5171976243077383</v>
      </c>
      <c r="AA19" s="247">
        <v>0.11942987979894916</v>
      </c>
    </row>
    <row r="20" spans="1:27" s="233" customFormat="1">
      <c r="A20" s="244" t="s">
        <v>711</v>
      </c>
      <c r="B20" s="122">
        <v>215</v>
      </c>
      <c r="C20" s="245">
        <v>0.14781403669724769</v>
      </c>
      <c r="D20" s="245">
        <v>0.24031355444243951</v>
      </c>
      <c r="E20" s="245">
        <v>0.32220933558353676</v>
      </c>
      <c r="F20" s="245">
        <v>0.22559346242492304</v>
      </c>
      <c r="G20" s="246">
        <v>1.0773641639143725</v>
      </c>
      <c r="H20" s="246">
        <v>1.0062570197628331</v>
      </c>
      <c r="I20" s="245">
        <v>0.10330107496679761</v>
      </c>
      <c r="J20" s="245">
        <v>0.50421472982286319</v>
      </c>
      <c r="K20" s="245">
        <v>6.7024E-2</v>
      </c>
      <c r="L20" s="245">
        <v>0.16520601635212578</v>
      </c>
      <c r="M20" s="245">
        <v>9.4504259058901377E-2</v>
      </c>
      <c r="N20" s="246">
        <v>1.4921479319729078</v>
      </c>
      <c r="O20" s="246">
        <v>1.307114805453607</v>
      </c>
      <c r="P20" s="246">
        <v>4.0711931172113465</v>
      </c>
      <c r="Q20" s="246">
        <v>5.1735912674569757</v>
      </c>
      <c r="R20" s="246">
        <v>1.5046538096423796</v>
      </c>
      <c r="S20" s="246">
        <v>25.295557069036441</v>
      </c>
      <c r="T20" s="245">
        <v>-3.0186938808872188E-2</v>
      </c>
      <c r="U20" s="245">
        <v>9.0487992187492899E-2</v>
      </c>
      <c r="V20" s="245">
        <v>5.1223276068080345E-2</v>
      </c>
      <c r="W20" s="245">
        <v>0.24945089536313925</v>
      </c>
      <c r="X20" s="245">
        <v>0.21362534829389418</v>
      </c>
      <c r="Y20" s="245">
        <v>0.76433441749502462</v>
      </c>
      <c r="Z20" s="245">
        <v>0.76433441749502462</v>
      </c>
      <c r="AA20" s="247">
        <v>0.2407923047427524</v>
      </c>
    </row>
    <row r="21" spans="1:27" s="233" customFormat="1">
      <c r="A21" s="244" t="s">
        <v>712</v>
      </c>
      <c r="B21" s="122">
        <v>1164</v>
      </c>
      <c r="C21" s="245">
        <v>0.10303601552393267</v>
      </c>
      <c r="D21" s="245">
        <v>7.5579066178782559E-2</v>
      </c>
      <c r="E21" s="245">
        <v>0.21094949668920507</v>
      </c>
      <c r="F21" s="245">
        <v>0.23628691375717001</v>
      </c>
      <c r="G21" s="246">
        <v>1.001453208627515</v>
      </c>
      <c r="H21" s="246">
        <v>1.0414842742265753</v>
      </c>
      <c r="I21" s="245">
        <v>0.10555914197792349</v>
      </c>
      <c r="J21" s="245">
        <v>0.32895362923180793</v>
      </c>
      <c r="K21" s="245">
        <v>6.4354999999999996E-2</v>
      </c>
      <c r="L21" s="245">
        <v>0.12391040167313523</v>
      </c>
      <c r="M21" s="245">
        <v>9.8434439107444482E-2</v>
      </c>
      <c r="N21" s="246">
        <v>3.2861205177683659</v>
      </c>
      <c r="O21" s="246">
        <v>1.5245898873969437</v>
      </c>
      <c r="P21" s="246">
        <v>14.677564171647038</v>
      </c>
      <c r="Q21" s="246">
        <v>19.463101367592586</v>
      </c>
      <c r="R21" s="246">
        <v>3.9981872658666</v>
      </c>
      <c r="S21" s="246">
        <v>64.471243455611642</v>
      </c>
      <c r="T21" s="245">
        <v>0.15358638268892377</v>
      </c>
      <c r="U21" s="245">
        <v>1.5317632718716551E-2</v>
      </c>
      <c r="V21" s="245">
        <v>1.1342015868972563E-2</v>
      </c>
      <c r="W21" s="245">
        <v>0.2766352009390598</v>
      </c>
      <c r="X21" s="245">
        <v>0.16017730806734773</v>
      </c>
      <c r="Y21" s="245">
        <v>0.53071092220335547</v>
      </c>
      <c r="Z21" s="245">
        <v>0.53071092220335547</v>
      </c>
      <c r="AA21" s="247">
        <v>7.6819538899117717E-2</v>
      </c>
    </row>
    <row r="22" spans="1:27" s="233" customFormat="1">
      <c r="A22" s="244" t="s">
        <v>713</v>
      </c>
      <c r="B22" s="122">
        <v>338</v>
      </c>
      <c r="C22" s="245">
        <v>5.7764980544747248E-3</v>
      </c>
      <c r="D22" s="245">
        <v>0.11390914392035245</v>
      </c>
      <c r="E22" s="245">
        <v>0.15747684459567854</v>
      </c>
      <c r="F22" s="245">
        <v>0.150965347853491</v>
      </c>
      <c r="G22" s="246">
        <v>1.2534021480264679</v>
      </c>
      <c r="H22" s="246">
        <v>1.2665979213694358</v>
      </c>
      <c r="I22" s="245">
        <v>0.11998892675978085</v>
      </c>
      <c r="J22" s="245">
        <v>0.32935741174104016</v>
      </c>
      <c r="K22" s="245">
        <v>6.4354999999999996E-2</v>
      </c>
      <c r="L22" s="245">
        <v>7.0298242348147855E-2</v>
      </c>
      <c r="M22" s="245">
        <v>0.11493247170822769</v>
      </c>
      <c r="N22" s="246">
        <v>1.6364958004251178</v>
      </c>
      <c r="O22" s="246">
        <v>3.0481583211129686</v>
      </c>
      <c r="P22" s="246">
        <v>18.661505715430845</v>
      </c>
      <c r="Q22" s="246">
        <v>26.4426629923273</v>
      </c>
      <c r="R22" s="246">
        <v>6.7989481055691368</v>
      </c>
      <c r="S22" s="246">
        <v>54.682422056511975</v>
      </c>
      <c r="T22" s="245">
        <v>2.0955925405338062E-2</v>
      </c>
      <c r="U22" s="245">
        <v>5.6849932065830659E-2</v>
      </c>
      <c r="V22" s="245">
        <v>3.4593624971602087E-2</v>
      </c>
      <c r="W22" s="245">
        <v>0.38943365679267322</v>
      </c>
      <c r="X22" s="245">
        <v>0.28447577234191701</v>
      </c>
      <c r="Y22" s="245">
        <v>0.24867757226688211</v>
      </c>
      <c r="Z22" s="245">
        <v>0.24867757226688214</v>
      </c>
      <c r="AA22" s="247">
        <v>0.11013239847595391</v>
      </c>
    </row>
    <row r="23" spans="1:27" s="233" customFormat="1">
      <c r="A23" s="244" t="s">
        <v>714</v>
      </c>
      <c r="B23" s="122">
        <v>453</v>
      </c>
      <c r="C23" s="245">
        <v>9.4758753541076601E-2</v>
      </c>
      <c r="D23" s="245">
        <v>9.8854729669745123E-2</v>
      </c>
      <c r="E23" s="245">
        <v>7.7513426872213131E-2</v>
      </c>
      <c r="F23" s="245">
        <v>0.22830902130589892</v>
      </c>
      <c r="G23" s="246">
        <v>0.73700427741656926</v>
      </c>
      <c r="H23" s="246">
        <v>0.89500190186379802</v>
      </c>
      <c r="I23" s="245">
        <v>9.6169621909469455E-2</v>
      </c>
      <c r="J23" s="245">
        <v>0.26865017026949123</v>
      </c>
      <c r="K23" s="245">
        <v>6.4354999999999996E-2</v>
      </c>
      <c r="L23" s="245">
        <v>0.29922439180863503</v>
      </c>
      <c r="M23" s="245">
        <v>8.1774143509924097E-2</v>
      </c>
      <c r="N23" s="246">
        <v>0.94894787582701789</v>
      </c>
      <c r="O23" s="246">
        <v>1.6529551905702238</v>
      </c>
      <c r="P23" s="246">
        <v>10.165000157653116</v>
      </c>
      <c r="Q23" s="246">
        <v>16.387287224486034</v>
      </c>
      <c r="R23" s="246">
        <v>1.3202122622121673</v>
      </c>
      <c r="S23" s="246">
        <v>82.491170550200664</v>
      </c>
      <c r="T23" s="245">
        <v>0.1329862764554581</v>
      </c>
      <c r="U23" s="245">
        <v>7.8721678720395372E-2</v>
      </c>
      <c r="V23" s="245">
        <v>4.200794563938072E-2</v>
      </c>
      <c r="W23" s="245">
        <v>0.7819342931226485</v>
      </c>
      <c r="X23" s="245">
        <v>8.3677485685436037E-2</v>
      </c>
      <c r="Y23" s="245">
        <v>0.4649157952623415</v>
      </c>
      <c r="Z23" s="245">
        <v>0.4649157952623415</v>
      </c>
      <c r="AA23" s="247">
        <v>9.853962250230687E-2</v>
      </c>
    </row>
    <row r="24" spans="1:27" s="233" customFormat="1">
      <c r="A24" s="244" t="s">
        <v>715</v>
      </c>
      <c r="B24" s="122">
        <v>326</v>
      </c>
      <c r="C24" s="245">
        <v>8.0914939759036103E-2</v>
      </c>
      <c r="D24" s="245">
        <v>0.15638955743055635</v>
      </c>
      <c r="E24" s="245">
        <v>0.11943531860178909</v>
      </c>
      <c r="F24" s="245">
        <v>0.17383650907577233</v>
      </c>
      <c r="G24" s="246">
        <v>0.74470552214311936</v>
      </c>
      <c r="H24" s="246">
        <v>0.95356749790141293</v>
      </c>
      <c r="I24" s="245">
        <v>9.9923676615480572E-2</v>
      </c>
      <c r="J24" s="245">
        <v>0.27139035177107124</v>
      </c>
      <c r="K24" s="245">
        <v>6.4354999999999996E-2</v>
      </c>
      <c r="L24" s="245">
        <v>0.34006148234701139</v>
      </c>
      <c r="M24" s="245">
        <v>8.228694464495967E-2</v>
      </c>
      <c r="N24" s="246">
        <v>0.85444722366752124</v>
      </c>
      <c r="O24" s="246">
        <v>1.8308485319739563</v>
      </c>
      <c r="P24" s="246">
        <v>8.9318342403153697</v>
      </c>
      <c r="Q24" s="246">
        <v>11.141035054865846</v>
      </c>
      <c r="R24" s="246">
        <v>1.2240143580284992</v>
      </c>
      <c r="S24" s="246">
        <v>18.171079196107403</v>
      </c>
      <c r="T24" s="245">
        <v>-9.4527901245703039E-2</v>
      </c>
      <c r="U24" s="245">
        <v>4.8969042848116234E-2</v>
      </c>
      <c r="V24" s="245">
        <v>3.6123723176753823E-2</v>
      </c>
      <c r="W24" s="245">
        <v>0.37089583397223813</v>
      </c>
      <c r="X24" s="245">
        <v>0.1309759974200245</v>
      </c>
      <c r="Y24" s="245">
        <v>0.20065345310626242</v>
      </c>
      <c r="Z24" s="245">
        <v>0.20065345310626248</v>
      </c>
      <c r="AA24" s="247">
        <v>0.16233635937033883</v>
      </c>
    </row>
    <row r="25" spans="1:27" s="233" customFormat="1">
      <c r="A25" s="244" t="s">
        <v>716</v>
      </c>
      <c r="B25" s="122">
        <v>1259</v>
      </c>
      <c r="C25" s="245">
        <v>0.20205506249999991</v>
      </c>
      <c r="D25" s="245">
        <v>-4.3496541654489069E-3</v>
      </c>
      <c r="E25" s="245">
        <v>6.9302625462042151E-3</v>
      </c>
      <c r="F25" s="245">
        <v>0.16290318362799447</v>
      </c>
      <c r="G25" s="246">
        <v>1.1499580759492702</v>
      </c>
      <c r="H25" s="246">
        <v>1.1735861272458452</v>
      </c>
      <c r="I25" s="245">
        <v>0.11402687075645869</v>
      </c>
      <c r="J25" s="245">
        <v>0.53278356840303376</v>
      </c>
      <c r="K25" s="245">
        <v>6.7024E-2</v>
      </c>
      <c r="L25" s="245">
        <v>0.1253938861785375</v>
      </c>
      <c r="M25" s="245">
        <v>0.10600500409450409</v>
      </c>
      <c r="N25" s="246">
        <v>0.4224018531621076</v>
      </c>
      <c r="O25" s="246">
        <v>6.9645349708093063</v>
      </c>
      <c r="P25" s="246">
        <v>15.315541154043329</v>
      </c>
      <c r="Q25" s="246" t="s">
        <v>96</v>
      </c>
      <c r="R25" s="246">
        <v>5.1098850921129495</v>
      </c>
      <c r="S25" s="246">
        <v>127.8356537479798</v>
      </c>
      <c r="T25" s="245">
        <v>0.17156984512745332</v>
      </c>
      <c r="U25" s="245">
        <v>5.6708801142149011E-2</v>
      </c>
      <c r="V25" s="245">
        <v>9.623601001085437E-2</v>
      </c>
      <c r="W25" s="245" t="s">
        <v>96</v>
      </c>
      <c r="X25" s="245">
        <v>-8.8267685401764287E-2</v>
      </c>
      <c r="Y25" s="245">
        <v>4.660050948575847E-3</v>
      </c>
      <c r="Z25" s="245">
        <v>4.6600509485758002E-3</v>
      </c>
      <c r="AA25" s="247">
        <v>1.6293477284612508E-2</v>
      </c>
    </row>
    <row r="26" spans="1:27" s="233" customFormat="1">
      <c r="A26" s="244" t="s">
        <v>717</v>
      </c>
      <c r="B26" s="122">
        <v>1299</v>
      </c>
      <c r="C26" s="245">
        <v>0.18011462915601037</v>
      </c>
      <c r="D26" s="245">
        <v>0.18171077589188137</v>
      </c>
      <c r="E26" s="245">
        <v>0.1286808812517202</v>
      </c>
      <c r="F26" s="245">
        <v>0.16609341613188641</v>
      </c>
      <c r="G26" s="246">
        <v>0.88577513704468624</v>
      </c>
      <c r="H26" s="246">
        <v>0.94631769643881536</v>
      </c>
      <c r="I26" s="245">
        <v>9.9458964341728073E-2</v>
      </c>
      <c r="J26" s="245">
        <v>0.41512557065255307</v>
      </c>
      <c r="K26" s="245">
        <v>6.4354999999999996E-2</v>
      </c>
      <c r="L26" s="245">
        <v>0.13356717205915372</v>
      </c>
      <c r="M26" s="245">
        <v>9.2593791967926192E-2</v>
      </c>
      <c r="N26" s="246">
        <v>0.71335755782872068</v>
      </c>
      <c r="O26" s="246">
        <v>4.0501862957271095</v>
      </c>
      <c r="P26" s="246">
        <v>14.601133383339445</v>
      </c>
      <c r="Q26" s="246">
        <v>21.710340042553305</v>
      </c>
      <c r="R26" s="246">
        <v>3.8805328784136299</v>
      </c>
      <c r="S26" s="246">
        <v>41.506467032240018</v>
      </c>
      <c r="T26" s="245">
        <v>0.15494978149385577</v>
      </c>
      <c r="U26" s="245">
        <v>5.0126176906218629E-2</v>
      </c>
      <c r="V26" s="245">
        <v>5.7092303524868299E-2</v>
      </c>
      <c r="W26" s="245">
        <v>0.44219808615144085</v>
      </c>
      <c r="X26" s="245">
        <v>0.13204955368081195</v>
      </c>
      <c r="Y26" s="245">
        <v>0.63542627245784833</v>
      </c>
      <c r="Z26" s="245">
        <v>0.63542627245784833</v>
      </c>
      <c r="AA26" s="247">
        <v>0.19790654724473056</v>
      </c>
    </row>
    <row r="27" spans="1:27" s="233" customFormat="1">
      <c r="A27" s="244" t="s">
        <v>718</v>
      </c>
      <c r="B27" s="122">
        <v>260</v>
      </c>
      <c r="C27" s="245">
        <v>0.10492715231788083</v>
      </c>
      <c r="D27" s="245">
        <v>0.11068501831140405</v>
      </c>
      <c r="E27" s="245">
        <v>9.268476409209106E-2</v>
      </c>
      <c r="F27" s="245">
        <v>0.20115514479499433</v>
      </c>
      <c r="G27" s="246">
        <v>0.76004819384725264</v>
      </c>
      <c r="H27" s="246">
        <v>0.83104389516931254</v>
      </c>
      <c r="I27" s="245">
        <v>9.2069913680352944E-2</v>
      </c>
      <c r="J27" s="245">
        <v>0.3452563908096794</v>
      </c>
      <c r="K27" s="245">
        <v>6.4354999999999996E-2</v>
      </c>
      <c r="L27" s="245">
        <v>0.22381750152516147</v>
      </c>
      <c r="M27" s="245">
        <v>8.2219795036773791E-2</v>
      </c>
      <c r="N27" s="246">
        <v>0.97000135269600185</v>
      </c>
      <c r="O27" s="246">
        <v>2.2863341200289162</v>
      </c>
      <c r="P27" s="246">
        <v>10.920841334368044</v>
      </c>
      <c r="Q27" s="246">
        <v>18.170084325962243</v>
      </c>
      <c r="R27" s="246">
        <v>1.9459812751217249</v>
      </c>
      <c r="S27" s="246">
        <v>125.42376482692572</v>
      </c>
      <c r="T27" s="245">
        <v>3.4761840543722541E-2</v>
      </c>
      <c r="U27" s="245">
        <v>5.7202129044108062E-2</v>
      </c>
      <c r="V27" s="245">
        <v>3.0121776656189984E-2</v>
      </c>
      <c r="W27" s="245">
        <v>0.57594986577843921</v>
      </c>
      <c r="X27" s="245">
        <v>5.1181871388765302E-2</v>
      </c>
      <c r="Y27" s="245">
        <v>0.5770804164162725</v>
      </c>
      <c r="Z27" s="245">
        <v>0.5770804164162725</v>
      </c>
      <c r="AA27" s="247">
        <v>0.1089354913518312</v>
      </c>
    </row>
    <row r="28" spans="1:27" s="233" customFormat="1">
      <c r="A28" s="244" t="s">
        <v>719</v>
      </c>
      <c r="B28" s="122">
        <v>1072</v>
      </c>
      <c r="C28" s="245">
        <v>0.1064847262247839</v>
      </c>
      <c r="D28" s="245">
        <v>7.1256670372997793E-2</v>
      </c>
      <c r="E28" s="245">
        <v>0.10900312865728087</v>
      </c>
      <c r="F28" s="245">
        <v>0.18776405697688758</v>
      </c>
      <c r="G28" s="246">
        <v>1.1038380140290214</v>
      </c>
      <c r="H28" s="246">
        <v>1.1304437779998269</v>
      </c>
      <c r="I28" s="245">
        <v>0.11126144616978891</v>
      </c>
      <c r="J28" s="245">
        <v>0.35113385118094476</v>
      </c>
      <c r="K28" s="245">
        <v>6.4354999999999996E-2</v>
      </c>
      <c r="L28" s="245">
        <v>0.14982261726599735</v>
      </c>
      <c r="M28" s="245">
        <v>0.10179248713393692</v>
      </c>
      <c r="N28" s="246">
        <v>1.6654991268788271</v>
      </c>
      <c r="O28" s="246">
        <v>1.9374739155908258</v>
      </c>
      <c r="P28" s="246">
        <v>15.546386961505632</v>
      </c>
      <c r="Q28" s="246">
        <v>24.885788764738365</v>
      </c>
      <c r="R28" s="246">
        <v>2.8201040669778954</v>
      </c>
      <c r="S28" s="246">
        <v>97.348730318681916</v>
      </c>
      <c r="T28" s="245">
        <v>0.21724570207617155</v>
      </c>
      <c r="U28" s="245">
        <v>6.8861988795424267E-2</v>
      </c>
      <c r="V28" s="245">
        <v>6.0263839932513705E-2</v>
      </c>
      <c r="W28" s="245">
        <v>1.6223760120244064</v>
      </c>
      <c r="X28" s="245">
        <v>0.10855337528235151</v>
      </c>
      <c r="Y28" s="245">
        <v>0.39383156604280162</v>
      </c>
      <c r="Z28" s="245">
        <v>0.39383156604280156</v>
      </c>
      <c r="AA28" s="247">
        <v>7.392852706932726E-2</v>
      </c>
    </row>
    <row r="29" spans="1:27" s="233" customFormat="1">
      <c r="A29" s="244" t="s">
        <v>720</v>
      </c>
      <c r="B29" s="122">
        <v>127</v>
      </c>
      <c r="C29" s="245">
        <v>3.0448865979381429E-2</v>
      </c>
      <c r="D29" s="245">
        <v>4.6753507335937999E-2</v>
      </c>
      <c r="E29" s="245">
        <v>6.2281608986361356E-2</v>
      </c>
      <c r="F29" s="245">
        <v>0.1451118884594938</v>
      </c>
      <c r="G29" s="246">
        <v>1.1252477543580408</v>
      </c>
      <c r="H29" s="246">
        <v>1.2272209019035958</v>
      </c>
      <c r="I29" s="245">
        <v>0.1174648598120205</v>
      </c>
      <c r="J29" s="245">
        <v>0.33860993934953365</v>
      </c>
      <c r="K29" s="245">
        <v>6.4354999999999996E-2</v>
      </c>
      <c r="L29" s="245">
        <v>0.2324042985755658</v>
      </c>
      <c r="M29" s="245">
        <v>0.10133494502462215</v>
      </c>
      <c r="N29" s="246">
        <v>1.4795010697699906</v>
      </c>
      <c r="O29" s="246">
        <v>0.93723070954136545</v>
      </c>
      <c r="P29" s="246">
        <v>11.435556560776211</v>
      </c>
      <c r="Q29" s="246">
        <v>19.485953759181267</v>
      </c>
      <c r="R29" s="246">
        <v>1.7221991828297827</v>
      </c>
      <c r="S29" s="246">
        <v>40.793477581559046</v>
      </c>
      <c r="T29" s="245">
        <v>6.6260613553561026E-2</v>
      </c>
      <c r="U29" s="245">
        <v>4.1996586219820449E-2</v>
      </c>
      <c r="V29" s="245">
        <v>2.6957624809844108E-2</v>
      </c>
      <c r="W29" s="245">
        <v>0.87121609949845347</v>
      </c>
      <c r="X29" s="245">
        <v>7.3103505235122948E-2</v>
      </c>
      <c r="Y29" s="245">
        <v>0.32240989273865533</v>
      </c>
      <c r="Z29" s="245">
        <v>0.32240989273865539</v>
      </c>
      <c r="AA29" s="247">
        <v>4.7475838673722487E-2</v>
      </c>
    </row>
    <row r="30" spans="1:27" s="233" customFormat="1">
      <c r="A30" s="244" t="s">
        <v>721</v>
      </c>
      <c r="B30" s="122">
        <v>1486</v>
      </c>
      <c r="C30" s="245">
        <v>5.8386102941176465E-2</v>
      </c>
      <c r="D30" s="245">
        <v>5.2816362664381306E-2</v>
      </c>
      <c r="E30" s="245">
        <v>6.4420130081040833E-2</v>
      </c>
      <c r="F30" s="245">
        <v>0.1836337303776496</v>
      </c>
      <c r="G30" s="246">
        <v>1.2783308812571212</v>
      </c>
      <c r="H30" s="246">
        <v>1.2819639249630848</v>
      </c>
      <c r="I30" s="245">
        <v>0.12097388759013374</v>
      </c>
      <c r="J30" s="245">
        <v>0.32533098524566445</v>
      </c>
      <c r="K30" s="245">
        <v>6.4354999999999996E-2</v>
      </c>
      <c r="L30" s="245">
        <v>0.15707809396113118</v>
      </c>
      <c r="M30" s="245">
        <v>0.10952076242670086</v>
      </c>
      <c r="N30" s="246">
        <v>1.3596420054060323</v>
      </c>
      <c r="O30" s="246">
        <v>1.5902472235868723</v>
      </c>
      <c r="P30" s="246">
        <v>14.162266281966454</v>
      </c>
      <c r="Q30" s="246">
        <v>28.293547866055913</v>
      </c>
      <c r="R30" s="246">
        <v>2.2713680154060274</v>
      </c>
      <c r="S30" s="246">
        <v>102.00098657127523</v>
      </c>
      <c r="T30" s="245">
        <v>0.18920480550752619</v>
      </c>
      <c r="U30" s="245">
        <v>6.3112176801240233E-2</v>
      </c>
      <c r="V30" s="245">
        <v>3.5719374448328227E-2</v>
      </c>
      <c r="W30" s="245">
        <v>0.96580469979159833</v>
      </c>
      <c r="X30" s="245">
        <v>6.6824042377909704E-2</v>
      </c>
      <c r="Y30" s="245">
        <v>0.619116019722317</v>
      </c>
      <c r="Z30" s="245">
        <v>0.619116019722317</v>
      </c>
      <c r="AA30" s="247">
        <v>5.3403823327133532E-2</v>
      </c>
    </row>
    <row r="31" spans="1:27" s="233" customFormat="1">
      <c r="A31" s="244" t="s">
        <v>722</v>
      </c>
      <c r="B31" s="122">
        <v>1623</v>
      </c>
      <c r="C31" s="245">
        <v>6.3632522045855178E-2</v>
      </c>
      <c r="D31" s="245">
        <v>5.683067060683776E-2</v>
      </c>
      <c r="E31" s="245">
        <v>8.7832768862487365E-2</v>
      </c>
      <c r="F31" s="245">
        <v>0.22550850515663787</v>
      </c>
      <c r="G31" s="246">
        <v>0.80829889996262527</v>
      </c>
      <c r="H31" s="246">
        <v>1.0134173356230618</v>
      </c>
      <c r="I31" s="245">
        <v>0.10376005121343827</v>
      </c>
      <c r="J31" s="245">
        <v>0.30521754682079866</v>
      </c>
      <c r="K31" s="245">
        <v>6.4354999999999996E-2</v>
      </c>
      <c r="L31" s="245">
        <v>0.40137684403371537</v>
      </c>
      <c r="M31" s="245">
        <v>8.1403466477201133E-2</v>
      </c>
      <c r="N31" s="246">
        <v>1.7955399896450586</v>
      </c>
      <c r="O31" s="246">
        <v>0.78265543041132646</v>
      </c>
      <c r="P31" s="246">
        <v>9.3963917182680792</v>
      </c>
      <c r="Q31" s="246">
        <v>13.169860467897617</v>
      </c>
      <c r="R31" s="246">
        <v>1.3065437278987848</v>
      </c>
      <c r="S31" s="246">
        <v>42.84328069717462</v>
      </c>
      <c r="T31" s="245">
        <v>0.15922667115136757</v>
      </c>
      <c r="U31" s="245">
        <v>3.3671219608567483E-2</v>
      </c>
      <c r="V31" s="245">
        <v>2.2302215975110659E-2</v>
      </c>
      <c r="W31" s="245">
        <v>1.0727986619930456</v>
      </c>
      <c r="X31" s="245">
        <v>0.10080519129528005</v>
      </c>
      <c r="Y31" s="245">
        <v>0.53466878872103096</v>
      </c>
      <c r="Z31" s="245">
        <v>0.53466878872103096</v>
      </c>
      <c r="AA31" s="247">
        <v>5.7689742785627086E-2</v>
      </c>
    </row>
    <row r="32" spans="1:27" s="233" customFormat="1">
      <c r="A32" s="244" t="s">
        <v>723</v>
      </c>
      <c r="B32" s="122">
        <v>741</v>
      </c>
      <c r="C32" s="245">
        <v>9.6076651785714326E-2</v>
      </c>
      <c r="D32" s="245">
        <v>7.3014559299551599E-2</v>
      </c>
      <c r="E32" s="245">
        <v>7.471394705446395E-2</v>
      </c>
      <c r="F32" s="245">
        <v>0.22104866126785247</v>
      </c>
      <c r="G32" s="246">
        <v>1.0326456976819207</v>
      </c>
      <c r="H32" s="246">
        <v>1.1080717666251705</v>
      </c>
      <c r="I32" s="245">
        <v>0.10982740024067343</v>
      </c>
      <c r="J32" s="245">
        <v>0.41350767359783558</v>
      </c>
      <c r="K32" s="245">
        <v>6.4354999999999996E-2</v>
      </c>
      <c r="L32" s="245">
        <v>0.18212968708614163</v>
      </c>
      <c r="M32" s="245">
        <v>9.8577780151436867E-2</v>
      </c>
      <c r="N32" s="246">
        <v>1.0903964728990392</v>
      </c>
      <c r="O32" s="246">
        <v>2.9125408254770848</v>
      </c>
      <c r="P32" s="246">
        <v>15.776376409406517</v>
      </c>
      <c r="Q32" s="246">
        <v>36.435754194977008</v>
      </c>
      <c r="R32" s="246">
        <v>2.4782437577445737</v>
      </c>
      <c r="S32" s="246">
        <v>156.16716168811146</v>
      </c>
      <c r="T32" s="245">
        <v>3.9983541310407288E-2</v>
      </c>
      <c r="U32" s="245">
        <v>3.7191470751384646E-2</v>
      </c>
      <c r="V32" s="245">
        <v>-2.5549451493464159E-2</v>
      </c>
      <c r="W32" s="245">
        <v>-0.34121714598614566</v>
      </c>
      <c r="X32" s="245">
        <v>2.2666950555256592E-2</v>
      </c>
      <c r="Y32" s="245">
        <v>0.89236563217857057</v>
      </c>
      <c r="Z32" s="245">
        <v>0.89236563217857057</v>
      </c>
      <c r="AA32" s="247">
        <v>7.4795523395495875E-2</v>
      </c>
    </row>
    <row r="33" spans="1:27" s="233" customFormat="1">
      <c r="A33" s="244" t="s">
        <v>724</v>
      </c>
      <c r="B33" s="122">
        <v>383</v>
      </c>
      <c r="C33" s="245">
        <v>8.2141268292682965E-2</v>
      </c>
      <c r="D33" s="245">
        <v>0.10594277625043484</v>
      </c>
      <c r="E33" s="245">
        <v>0.10776035869992419</v>
      </c>
      <c r="F33" s="245">
        <v>0.22828572809639688</v>
      </c>
      <c r="G33" s="246">
        <v>0.82790885643594558</v>
      </c>
      <c r="H33" s="246">
        <v>1.0018793316240375</v>
      </c>
      <c r="I33" s="245">
        <v>0.10302046515710081</v>
      </c>
      <c r="J33" s="245">
        <v>0.33888162240655167</v>
      </c>
      <c r="K33" s="245">
        <v>6.4354999999999996E-2</v>
      </c>
      <c r="L33" s="245">
        <v>0.2593042957980482</v>
      </c>
      <c r="M33" s="245">
        <v>8.8769061864354501E-2</v>
      </c>
      <c r="N33" s="246">
        <v>1.1590208058340052</v>
      </c>
      <c r="O33" s="246">
        <v>2.7759010980617176</v>
      </c>
      <c r="P33" s="246">
        <v>14.044705041117071</v>
      </c>
      <c r="Q33" s="246">
        <v>24.861013118730213</v>
      </c>
      <c r="R33" s="246">
        <v>3.0192593691541796</v>
      </c>
      <c r="S33" s="246">
        <v>39.262852946191032</v>
      </c>
      <c r="T33" s="245">
        <v>0.14714493884822635</v>
      </c>
      <c r="U33" s="245">
        <v>8.6490349945850892E-2</v>
      </c>
      <c r="V33" s="245">
        <v>7.4507316645837679E-2</v>
      </c>
      <c r="W33" s="245">
        <v>1.3468736213993504</v>
      </c>
      <c r="X33" s="245">
        <v>8.0683416835074878E-2</v>
      </c>
      <c r="Y33" s="245">
        <v>0.63167403228275598</v>
      </c>
      <c r="Z33" s="245">
        <v>0.63167403228275598</v>
      </c>
      <c r="AA33" s="247">
        <v>0.10712905533260317</v>
      </c>
    </row>
    <row r="34" spans="1:27" s="233" customFormat="1">
      <c r="A34" s="244" t="s">
        <v>725</v>
      </c>
      <c r="B34" s="122">
        <v>430</v>
      </c>
      <c r="C34" s="245">
        <v>0.11069166112956816</v>
      </c>
      <c r="D34" s="245">
        <v>8.1559188535383548E-2</v>
      </c>
      <c r="E34" s="245">
        <v>0.10564638698267619</v>
      </c>
      <c r="F34" s="245">
        <v>0.21465598191652296</v>
      </c>
      <c r="G34" s="246">
        <v>0.57398339009652077</v>
      </c>
      <c r="H34" s="246">
        <v>0.77392078568097156</v>
      </c>
      <c r="I34" s="245">
        <v>8.840832236215028E-2</v>
      </c>
      <c r="J34" s="245">
        <v>0.34054792350706298</v>
      </c>
      <c r="K34" s="245">
        <v>6.4354999999999996E-2</v>
      </c>
      <c r="L34" s="245">
        <v>0.36687002403495417</v>
      </c>
      <c r="M34" s="245">
        <v>7.3605847564565674E-2</v>
      </c>
      <c r="N34" s="246">
        <v>1.4546832049254672</v>
      </c>
      <c r="O34" s="246">
        <v>1.0834451563271217</v>
      </c>
      <c r="P34" s="246">
        <v>9.7489631349602046</v>
      </c>
      <c r="Q34" s="246">
        <v>12.67416573044666</v>
      </c>
      <c r="R34" s="246">
        <v>1.8261410113292817</v>
      </c>
      <c r="S34" s="246">
        <v>26.811988355670824</v>
      </c>
      <c r="T34" s="245">
        <v>0.16202092453582581</v>
      </c>
      <c r="U34" s="245">
        <v>4.1915409513242907E-2</v>
      </c>
      <c r="V34" s="245">
        <v>2.7119979747894662E-2</v>
      </c>
      <c r="W34" s="245">
        <v>0.59827152032280362</v>
      </c>
      <c r="X34" s="245">
        <v>0.14471013504560329</v>
      </c>
      <c r="Y34" s="245">
        <v>0.33023374015623391</v>
      </c>
      <c r="Z34" s="245">
        <v>0.33023374015623386</v>
      </c>
      <c r="AA34" s="247">
        <v>8.3784584997103756E-2</v>
      </c>
    </row>
    <row r="35" spans="1:27" s="233" customFormat="1">
      <c r="A35" s="244" t="s">
        <v>726</v>
      </c>
      <c r="B35" s="122">
        <v>1258</v>
      </c>
      <c r="C35" s="245">
        <v>0.12562276102088155</v>
      </c>
      <c r="D35" s="245">
        <v>0.12676163798911091</v>
      </c>
      <c r="E35" s="245">
        <v>9.4098181088869016E-3</v>
      </c>
      <c r="F35" s="245">
        <v>0.17186208101028672</v>
      </c>
      <c r="G35" s="246">
        <v>0.2776441797272336</v>
      </c>
      <c r="H35" s="246">
        <v>0.90644110399544486</v>
      </c>
      <c r="I35" s="245">
        <v>9.690287476610801E-2</v>
      </c>
      <c r="J35" s="245">
        <v>0.34608474286553148</v>
      </c>
      <c r="K35" s="245">
        <v>6.4354999999999996E-2</v>
      </c>
      <c r="L35" s="245">
        <v>0.76985807306097498</v>
      </c>
      <c r="M35" s="245">
        <v>5.9301035051348518E-2</v>
      </c>
      <c r="N35" s="246">
        <v>8.5866412970866848E-2</v>
      </c>
      <c r="O35" s="246">
        <v>14.427254021387071</v>
      </c>
      <c r="P35" s="246">
        <v>48.685477908120063</v>
      </c>
      <c r="Q35" s="246">
        <v>67.192850005900056</v>
      </c>
      <c r="R35" s="246">
        <v>2.2423073424556663</v>
      </c>
      <c r="S35" s="246">
        <v>75.538287711042699</v>
      </c>
      <c r="T35" s="245" t="s">
        <v>96</v>
      </c>
      <c r="U35" s="245">
        <v>4.0021053863203239E-2</v>
      </c>
      <c r="V35" s="245">
        <v>-7.3819923469829268E-2</v>
      </c>
      <c r="W35" s="245">
        <v>-0.6865570915945256</v>
      </c>
      <c r="X35" s="245">
        <v>0.18044609855817889</v>
      </c>
      <c r="Y35" s="245">
        <v>0.2575697213281396</v>
      </c>
      <c r="Z35" s="245">
        <v>0.2575697213281396</v>
      </c>
      <c r="AA35" s="247">
        <v>0.12765948329353535</v>
      </c>
    </row>
    <row r="36" spans="1:27" s="233" customFormat="1">
      <c r="A36" s="244" t="s">
        <v>727</v>
      </c>
      <c r="B36" s="122">
        <v>1657</v>
      </c>
      <c r="C36" s="245">
        <v>8.4663066322136285E-2</v>
      </c>
      <c r="D36" s="245">
        <v>7.6612695884300946E-2</v>
      </c>
      <c r="E36" s="245">
        <v>0.11456980803957247</v>
      </c>
      <c r="F36" s="245">
        <v>0.2327782300648896</v>
      </c>
      <c r="G36" s="246">
        <v>0.61262227849712791</v>
      </c>
      <c r="H36" s="246">
        <v>0.72111815648247701</v>
      </c>
      <c r="I36" s="245">
        <v>8.502367383052678E-2</v>
      </c>
      <c r="J36" s="245">
        <v>0.28613126653666682</v>
      </c>
      <c r="K36" s="245">
        <v>6.4354999999999996E-2</v>
      </c>
      <c r="L36" s="245">
        <v>0.25097433371859046</v>
      </c>
      <c r="M36" s="245">
        <v>7.5746819225059811E-2</v>
      </c>
      <c r="N36" s="246">
        <v>1.7590980021212301</v>
      </c>
      <c r="O36" s="246">
        <v>1.3920067294617591</v>
      </c>
      <c r="P36" s="246">
        <v>12.154853394418311</v>
      </c>
      <c r="Q36" s="246">
        <v>17.800402450275442</v>
      </c>
      <c r="R36" s="246">
        <v>2.2665404472388109</v>
      </c>
      <c r="S36" s="246">
        <v>46.464614561299086</v>
      </c>
      <c r="T36" s="245">
        <v>0.10527081694441977</v>
      </c>
      <c r="U36" s="245">
        <v>4.61542625964197E-2</v>
      </c>
      <c r="V36" s="245">
        <v>2.540525481477706E-2</v>
      </c>
      <c r="W36" s="245">
        <v>0.61952641603318992</v>
      </c>
      <c r="X36" s="245">
        <v>9.9151351163687021E-2</v>
      </c>
      <c r="Y36" s="245">
        <v>0.6585422014379031</v>
      </c>
      <c r="Z36" s="245">
        <v>0.6585422014379031</v>
      </c>
      <c r="AA36" s="247">
        <v>7.7140853019638148E-2</v>
      </c>
    </row>
    <row r="37" spans="1:27" s="233" customFormat="1">
      <c r="A37" s="244" t="s">
        <v>728</v>
      </c>
      <c r="B37" s="122">
        <v>173</v>
      </c>
      <c r="C37" s="245">
        <v>7.7620737704918022E-2</v>
      </c>
      <c r="D37" s="245">
        <v>2.4705012768152908E-2</v>
      </c>
      <c r="E37" s="245">
        <v>0.10682869077036926</v>
      </c>
      <c r="F37" s="245">
        <v>0.24528806061661854</v>
      </c>
      <c r="G37" s="246">
        <v>0.49621392699558364</v>
      </c>
      <c r="H37" s="246">
        <v>0.66918428111740691</v>
      </c>
      <c r="I37" s="245">
        <v>8.1694712419625781E-2</v>
      </c>
      <c r="J37" s="245">
        <v>0.30822330506089052</v>
      </c>
      <c r="K37" s="245">
        <v>6.4354999999999996E-2</v>
      </c>
      <c r="L37" s="245">
        <v>0.36579861840107675</v>
      </c>
      <c r="M37" s="245">
        <v>6.9391295946975309E-2</v>
      </c>
      <c r="N37" s="246">
        <v>5.2660011730306495</v>
      </c>
      <c r="O37" s="246">
        <v>0.37040946105270611</v>
      </c>
      <c r="P37" s="246">
        <v>9.7054737615662035</v>
      </c>
      <c r="Q37" s="246">
        <v>14.908328811292225</v>
      </c>
      <c r="R37" s="246">
        <v>2.148424462767339</v>
      </c>
      <c r="S37" s="246">
        <v>49.788416639124691</v>
      </c>
      <c r="T37" s="245">
        <v>5.8735090381477825E-2</v>
      </c>
      <c r="U37" s="245">
        <v>1.4196921545210836E-2</v>
      </c>
      <c r="V37" s="245">
        <v>9.0395737255761013E-3</v>
      </c>
      <c r="W37" s="245">
        <v>0.48474528312897769</v>
      </c>
      <c r="X37" s="245">
        <v>8.9141667937208555E-2</v>
      </c>
      <c r="Y37" s="245">
        <v>0.56945565182432534</v>
      </c>
      <c r="Z37" s="245">
        <v>0.56945565182432534</v>
      </c>
      <c r="AA37" s="247">
        <v>2.4650661855536993E-2</v>
      </c>
    </row>
    <row r="38" spans="1:27" s="233" customFormat="1">
      <c r="A38" s="244" t="s">
        <v>729</v>
      </c>
      <c r="B38" s="122">
        <v>383</v>
      </c>
      <c r="C38" s="245">
        <v>5.1528208955223892E-2</v>
      </c>
      <c r="D38" s="245">
        <v>7.2368210587611725E-2</v>
      </c>
      <c r="E38" s="245">
        <v>0.13128509792883256</v>
      </c>
      <c r="F38" s="245">
        <v>0.18188020982467482</v>
      </c>
      <c r="G38" s="246">
        <v>0.93432143008864488</v>
      </c>
      <c r="H38" s="246">
        <v>0.94909498548676219</v>
      </c>
      <c r="I38" s="245">
        <v>9.9636988569701462E-2</v>
      </c>
      <c r="J38" s="245">
        <v>0.29724029020693765</v>
      </c>
      <c r="K38" s="245">
        <v>6.4354999999999996E-2</v>
      </c>
      <c r="L38" s="245">
        <v>0.21842611560401576</v>
      </c>
      <c r="M38" s="245">
        <v>8.8371295887669149E-2</v>
      </c>
      <c r="N38" s="246">
        <v>2.0889192774633893</v>
      </c>
      <c r="O38" s="246">
        <v>1.0263903171402882</v>
      </c>
      <c r="P38" s="246">
        <v>9.7423343969953571</v>
      </c>
      <c r="Q38" s="246">
        <v>13.621346679027321</v>
      </c>
      <c r="R38" s="246">
        <v>2.0500313773089878</v>
      </c>
      <c r="S38" s="246">
        <v>37.844392452209227</v>
      </c>
      <c r="T38" s="245">
        <v>4.9111422471124627E-2</v>
      </c>
      <c r="U38" s="245">
        <v>3.5884467044278917E-2</v>
      </c>
      <c r="V38" s="245">
        <v>3.0953297052442055E-2</v>
      </c>
      <c r="W38" s="245">
        <v>0.53441064412846351</v>
      </c>
      <c r="X38" s="245">
        <v>0.11207479182881588</v>
      </c>
      <c r="Y38" s="245">
        <v>0.70048041958910656</v>
      </c>
      <c r="Z38" s="245">
        <v>0.70048041958910656</v>
      </c>
      <c r="AA38" s="247">
        <v>7.3326344593334855E-2</v>
      </c>
    </row>
    <row r="39" spans="1:27" s="233" customFormat="1">
      <c r="A39" s="244" t="s">
        <v>506</v>
      </c>
      <c r="B39" s="122">
        <v>253</v>
      </c>
      <c r="C39" s="245">
        <v>0.1356263043478261</v>
      </c>
      <c r="D39" s="245">
        <v>0.29235498362320717</v>
      </c>
      <c r="E39" s="245">
        <v>7.1734086908301936E-2</v>
      </c>
      <c r="F39" s="245">
        <v>0.15996917387477591</v>
      </c>
      <c r="G39" s="246">
        <v>0.60906204827929356</v>
      </c>
      <c r="H39" s="246">
        <v>0.86538504824737184</v>
      </c>
      <c r="I39" s="245">
        <v>9.4271181592656544E-2</v>
      </c>
      <c r="J39" s="245">
        <v>0.33373654343742754</v>
      </c>
      <c r="K39" s="245">
        <v>6.4354999999999996E-2</v>
      </c>
      <c r="L39" s="245">
        <v>0.39204417303862843</v>
      </c>
      <c r="M39" s="245">
        <v>7.6154480221895957E-2</v>
      </c>
      <c r="N39" s="246">
        <v>0.27487754973856493</v>
      </c>
      <c r="O39" s="246">
        <v>7.4006674058734268</v>
      </c>
      <c r="P39" s="246">
        <v>13.945213693183824</v>
      </c>
      <c r="Q39" s="246">
        <v>22.786692369740855</v>
      </c>
      <c r="R39" s="246">
        <v>2.0118013936278087</v>
      </c>
      <c r="S39" s="246">
        <v>49.912197435728991</v>
      </c>
      <c r="T39" s="245">
        <v>9.7204348765701068E-2</v>
      </c>
      <c r="U39" s="245">
        <v>0.41558883937595664</v>
      </c>
      <c r="V39" s="245">
        <v>0.36675488468864414</v>
      </c>
      <c r="W39" s="245">
        <v>1.5213911510431768</v>
      </c>
      <c r="X39" s="245">
        <v>0.10750114708648668</v>
      </c>
      <c r="Y39" s="245">
        <v>0.66386814302251296</v>
      </c>
      <c r="Z39" s="245">
        <v>0.66386814302251296</v>
      </c>
      <c r="AA39" s="247">
        <v>0.29146341841001988</v>
      </c>
    </row>
    <row r="40" spans="1:27" s="233" customFormat="1">
      <c r="A40" s="244" t="s">
        <v>730</v>
      </c>
      <c r="B40" s="122">
        <v>849</v>
      </c>
      <c r="C40" s="245">
        <v>0.15227076604554862</v>
      </c>
      <c r="D40" s="245">
        <v>0.12429654755321912</v>
      </c>
      <c r="E40" s="245">
        <v>0.11043987670936686</v>
      </c>
      <c r="F40" s="245">
        <v>0.20586319075844869</v>
      </c>
      <c r="G40" s="246">
        <v>1.0434097110903413</v>
      </c>
      <c r="H40" s="246">
        <v>1.098082283316312</v>
      </c>
      <c r="I40" s="245">
        <v>0.10918707436057561</v>
      </c>
      <c r="J40" s="245">
        <v>0.42342967151692168</v>
      </c>
      <c r="K40" s="245">
        <v>6.4354999999999996E-2</v>
      </c>
      <c r="L40" s="245">
        <v>0.11702454945172516</v>
      </c>
      <c r="M40" s="245">
        <v>0.10203374276993568</v>
      </c>
      <c r="N40" s="246">
        <v>0.93443822467200832</v>
      </c>
      <c r="O40" s="246">
        <v>4.4129152045299929</v>
      </c>
      <c r="P40" s="246">
        <v>20.066047522071429</v>
      </c>
      <c r="Q40" s="246">
        <v>33.885138474146686</v>
      </c>
      <c r="R40" s="246">
        <v>3.5770653286876031</v>
      </c>
      <c r="S40" s="246">
        <v>94.725775076678076</v>
      </c>
      <c r="T40" s="245">
        <v>0.25687716784940617</v>
      </c>
      <c r="U40" s="245">
        <v>5.4258400035237353E-2</v>
      </c>
      <c r="V40" s="245">
        <v>3.4683575243890569E-2</v>
      </c>
      <c r="W40" s="245">
        <v>0.67329218346160158</v>
      </c>
      <c r="X40" s="245">
        <v>7.5782160420110767E-2</v>
      </c>
      <c r="Y40" s="245">
        <v>0.50703233350245924</v>
      </c>
      <c r="Z40" s="245">
        <v>0.50703233350245924</v>
      </c>
      <c r="AA40" s="247">
        <v>0.12860324255827571</v>
      </c>
    </row>
    <row r="41" spans="1:27" s="233" customFormat="1">
      <c r="A41" s="244" t="s">
        <v>731</v>
      </c>
      <c r="B41" s="122">
        <v>463</v>
      </c>
      <c r="C41" s="245">
        <v>0.12621486891385769</v>
      </c>
      <c r="D41" s="245">
        <v>3.9498903915860417E-2</v>
      </c>
      <c r="E41" s="245">
        <v>0.28931239582267765</v>
      </c>
      <c r="F41" s="245">
        <v>0.23065813714388517</v>
      </c>
      <c r="G41" s="246">
        <v>0.82121098792821812</v>
      </c>
      <c r="H41" s="246">
        <v>0.91020463902819626</v>
      </c>
      <c r="I41" s="245">
        <v>9.7144117361707388E-2</v>
      </c>
      <c r="J41" s="245">
        <v>0.37805793675314886</v>
      </c>
      <c r="K41" s="245">
        <v>6.4354999999999996E-2</v>
      </c>
      <c r="L41" s="245">
        <v>0.23001142999201959</v>
      </c>
      <c r="M41" s="245">
        <v>8.585428156103396E-2</v>
      </c>
      <c r="N41" s="246">
        <v>8.6589822233698293</v>
      </c>
      <c r="O41" s="246">
        <v>0.60840308550508448</v>
      </c>
      <c r="P41" s="246">
        <v>11.056727598441423</v>
      </c>
      <c r="Q41" s="246">
        <v>15.221991037238867</v>
      </c>
      <c r="R41" s="246">
        <v>2.6222805850362048</v>
      </c>
      <c r="S41" s="246">
        <v>57.50089542846316</v>
      </c>
      <c r="T41" s="245">
        <v>-2.7295865370918826E-2</v>
      </c>
      <c r="U41" s="245">
        <v>8.7350112156806166E-3</v>
      </c>
      <c r="V41" s="245">
        <v>1.6595145817757926E-2</v>
      </c>
      <c r="W41" s="245">
        <v>0.57451390541094605</v>
      </c>
      <c r="X41" s="245">
        <v>0.12150320012763607</v>
      </c>
      <c r="Y41" s="245">
        <v>0.36882228936540518</v>
      </c>
      <c r="Z41" s="245">
        <v>0.36882228936540518</v>
      </c>
      <c r="AA41" s="247">
        <v>3.9065887894485084E-2</v>
      </c>
    </row>
    <row r="42" spans="1:27" s="233" customFormat="1">
      <c r="A42" s="244" t="s">
        <v>732</v>
      </c>
      <c r="B42" s="122">
        <v>443</v>
      </c>
      <c r="C42" s="245">
        <v>0.16608049792531127</v>
      </c>
      <c r="D42" s="245">
        <v>0.13603420361779647</v>
      </c>
      <c r="E42" s="245">
        <v>0.12755597641996128</v>
      </c>
      <c r="F42" s="245">
        <v>0.1406302678057966</v>
      </c>
      <c r="G42" s="246">
        <v>1.1706770255280208</v>
      </c>
      <c r="H42" s="246">
        <v>1.2336178357798584</v>
      </c>
      <c r="I42" s="245">
        <v>0.11787490327348893</v>
      </c>
      <c r="J42" s="245">
        <v>0.44932940143243788</v>
      </c>
      <c r="K42" s="245">
        <v>6.4354999999999996E-2</v>
      </c>
      <c r="L42" s="245">
        <v>0.12088709657117508</v>
      </c>
      <c r="M42" s="245">
        <v>0.10943522027790775</v>
      </c>
      <c r="N42" s="246">
        <v>0.98068088541117582</v>
      </c>
      <c r="O42" s="246">
        <v>5.2454773109882984</v>
      </c>
      <c r="P42" s="246">
        <v>21.657557844698783</v>
      </c>
      <c r="Q42" s="246">
        <v>36.682736929477983</v>
      </c>
      <c r="R42" s="246">
        <v>3.9372988306267311</v>
      </c>
      <c r="S42" s="246">
        <v>128.07264346669311</v>
      </c>
      <c r="T42" s="245">
        <v>0.2389800084815025</v>
      </c>
      <c r="U42" s="245">
        <v>7.1519539748230346E-2</v>
      </c>
      <c r="V42" s="245">
        <v>6.1350006469499251E-2</v>
      </c>
      <c r="W42" s="245">
        <v>0.71590477768051486</v>
      </c>
      <c r="X42" s="245">
        <v>6.025565979669429E-2</v>
      </c>
      <c r="Y42" s="245">
        <v>0.24427342031412549</v>
      </c>
      <c r="Z42" s="245">
        <v>0.24427342031412547</v>
      </c>
      <c r="AA42" s="247">
        <v>0.13842721531237037</v>
      </c>
    </row>
    <row r="43" spans="1:27" s="233" customFormat="1">
      <c r="A43" s="244" t="s">
        <v>733</v>
      </c>
      <c r="B43" s="122">
        <v>173</v>
      </c>
      <c r="C43" s="245">
        <v>7.8341888111888122E-2</v>
      </c>
      <c r="D43" s="245">
        <v>0.132841717030939</v>
      </c>
      <c r="E43" s="245">
        <v>0.14415922427185879</v>
      </c>
      <c r="F43" s="245">
        <v>0.24284596243598935</v>
      </c>
      <c r="G43" s="246">
        <v>1.0113882281398234</v>
      </c>
      <c r="H43" s="246">
        <v>1.094707449030331</v>
      </c>
      <c r="I43" s="245">
        <v>0.10897074748284423</v>
      </c>
      <c r="J43" s="245">
        <v>0.28965125158318689</v>
      </c>
      <c r="K43" s="245">
        <v>6.4354999999999996E-2</v>
      </c>
      <c r="L43" s="245">
        <v>0.2310829232799077</v>
      </c>
      <c r="M43" s="245">
        <v>9.4895386455382216E-2</v>
      </c>
      <c r="N43" s="246">
        <v>1.3895015946994185</v>
      </c>
      <c r="O43" s="246">
        <v>1.1836835844750719</v>
      </c>
      <c r="P43" s="246">
        <v>8.0294493119680102</v>
      </c>
      <c r="Q43" s="246">
        <v>9.1651713540934789</v>
      </c>
      <c r="R43" s="246">
        <v>1.5788152644485345</v>
      </c>
      <c r="S43" s="246">
        <v>20.550712047888325</v>
      </c>
      <c r="T43" s="245">
        <v>0.60934413809759824</v>
      </c>
      <c r="U43" s="245">
        <v>6.9435145953745721E-3</v>
      </c>
      <c r="V43" s="245">
        <v>5.1463807767742845E-3</v>
      </c>
      <c r="W43" s="245">
        <v>0.2028709193735046</v>
      </c>
      <c r="X43" s="245">
        <v>0.16610003799748513</v>
      </c>
      <c r="Y43" s="245">
        <v>0.18138712820097366</v>
      </c>
      <c r="Z43" s="245">
        <v>0.18138712820097369</v>
      </c>
      <c r="AA43" s="247">
        <v>0.12789569443934776</v>
      </c>
    </row>
    <row r="44" spans="1:27" s="233" customFormat="1">
      <c r="A44" s="244" t="s">
        <v>734</v>
      </c>
      <c r="B44" s="122">
        <v>232</v>
      </c>
      <c r="C44" s="245">
        <v>0.11022302631578944</v>
      </c>
      <c r="D44" s="245">
        <v>0.1085649671737164</v>
      </c>
      <c r="E44" s="245">
        <v>0.12323476437453092</v>
      </c>
      <c r="F44" s="245">
        <v>0.20089465914726259</v>
      </c>
      <c r="G44" s="246">
        <v>0.5802219144187124</v>
      </c>
      <c r="H44" s="246">
        <v>0.76494921443065134</v>
      </c>
      <c r="I44" s="245">
        <v>8.7833244645004749E-2</v>
      </c>
      <c r="J44" s="245">
        <v>0.29529431178708559</v>
      </c>
      <c r="K44" s="245">
        <v>6.4354999999999996E-2</v>
      </c>
      <c r="L44" s="245">
        <v>0.32208491721063115</v>
      </c>
      <c r="M44" s="245">
        <v>7.502298357098422E-2</v>
      </c>
      <c r="N44" s="246">
        <v>1.3816578903093077</v>
      </c>
      <c r="O44" s="246">
        <v>2.3100825241398097</v>
      </c>
      <c r="P44" s="246">
        <v>12.437422816930145</v>
      </c>
      <c r="Q44" s="246">
        <v>20.576674304329792</v>
      </c>
      <c r="R44" s="246">
        <v>4.0772283903041666</v>
      </c>
      <c r="S44" s="246">
        <v>41.979480731891236</v>
      </c>
      <c r="T44" s="245">
        <v>6.9638858534704903E-2</v>
      </c>
      <c r="U44" s="245">
        <v>7.1738627678908068E-2</v>
      </c>
      <c r="V44" s="245">
        <v>2.4492221939418666E-2</v>
      </c>
      <c r="W44" s="245">
        <v>0.40774981615374539</v>
      </c>
      <c r="X44" s="245">
        <v>0.1194972327229354</v>
      </c>
      <c r="Y44" s="245">
        <v>0.45894118236118964</v>
      </c>
      <c r="Z44" s="245">
        <v>0.45894118236118964</v>
      </c>
      <c r="AA44" s="247">
        <v>0.10768274675714404</v>
      </c>
    </row>
    <row r="45" spans="1:27" s="233" customFormat="1">
      <c r="A45" s="244" t="s">
        <v>735</v>
      </c>
      <c r="B45" s="122">
        <v>650</v>
      </c>
      <c r="C45" s="245">
        <v>3.4793381147540978E-2</v>
      </c>
      <c r="D45" s="245">
        <v>0.14018791934418812</v>
      </c>
      <c r="E45" s="245">
        <v>8.265390639495232E-2</v>
      </c>
      <c r="F45" s="245">
        <v>0.20563328333825057</v>
      </c>
      <c r="G45" s="246">
        <v>0.78536962610461014</v>
      </c>
      <c r="H45" s="246">
        <v>0.97912748286770979</v>
      </c>
      <c r="I45" s="245">
        <v>0.1015620716518202</v>
      </c>
      <c r="J45" s="245">
        <v>0.33832876960999636</v>
      </c>
      <c r="K45" s="245">
        <v>6.4354999999999996E-2</v>
      </c>
      <c r="L45" s="245">
        <v>0.31642144634643121</v>
      </c>
      <c r="M45" s="245">
        <v>8.4632968113555002E-2</v>
      </c>
      <c r="N45" s="246">
        <v>0.75800943092181328</v>
      </c>
      <c r="O45" s="246">
        <v>3.5637067515271936</v>
      </c>
      <c r="P45" s="246">
        <v>15.089381235478534</v>
      </c>
      <c r="Q45" s="246">
        <v>28.372077561065506</v>
      </c>
      <c r="R45" s="246">
        <v>3.9615827071660785</v>
      </c>
      <c r="S45" s="246">
        <v>60.185329176533351</v>
      </c>
      <c r="T45" s="245">
        <v>-1.9780753051029248E-2</v>
      </c>
      <c r="U45" s="245">
        <v>6.3055972025909804E-2</v>
      </c>
      <c r="V45" s="245">
        <v>8.460904068733224E-3</v>
      </c>
      <c r="W45" s="245">
        <v>0.16016478095524214</v>
      </c>
      <c r="X45" s="245">
        <v>0.10909196658632202</v>
      </c>
      <c r="Y45" s="245">
        <v>0.27136929836694884</v>
      </c>
      <c r="Z45" s="245">
        <v>0.2713692983669489</v>
      </c>
      <c r="AA45" s="247">
        <v>0.12340733671522261</v>
      </c>
    </row>
    <row r="46" spans="1:27" s="233" customFormat="1">
      <c r="A46" s="244" t="s">
        <v>736</v>
      </c>
      <c r="B46" s="122">
        <v>178</v>
      </c>
      <c r="C46" s="245">
        <v>3.9548646616541346E-2</v>
      </c>
      <c r="D46" s="245">
        <v>0.16559847149871118</v>
      </c>
      <c r="E46" s="245">
        <v>0.25243132693267323</v>
      </c>
      <c r="F46" s="245">
        <v>0.22232585436453201</v>
      </c>
      <c r="G46" s="246">
        <v>0.67520464252812851</v>
      </c>
      <c r="H46" s="246">
        <v>0.72747137702950271</v>
      </c>
      <c r="I46" s="245">
        <v>8.5430915267591126E-2</v>
      </c>
      <c r="J46" s="245">
        <v>0.29781296073261149</v>
      </c>
      <c r="K46" s="245">
        <v>6.4354999999999996E-2</v>
      </c>
      <c r="L46" s="245">
        <v>0.13333771641577577</v>
      </c>
      <c r="M46" s="245">
        <v>8.0448004633486031E-2</v>
      </c>
      <c r="N46" s="246">
        <v>1.7783180364776956</v>
      </c>
      <c r="O46" s="246">
        <v>3.1017983609088646</v>
      </c>
      <c r="P46" s="246">
        <v>15.108858578061582</v>
      </c>
      <c r="Q46" s="246">
        <v>18.460413376699474</v>
      </c>
      <c r="R46" s="246">
        <v>6.0419945471550296</v>
      </c>
      <c r="S46" s="246">
        <v>53.668868712038581</v>
      </c>
      <c r="T46" s="245">
        <v>5.3235793969237562E-2</v>
      </c>
      <c r="U46" s="245">
        <v>3.5742251654174183E-2</v>
      </c>
      <c r="V46" s="245">
        <v>1.3238666896878337E-2</v>
      </c>
      <c r="W46" s="245">
        <v>7.0553053513611574E-2</v>
      </c>
      <c r="X46" s="245">
        <v>0.26800939213262565</v>
      </c>
      <c r="Y46" s="245">
        <v>0.65689100844343251</v>
      </c>
      <c r="Z46" s="245">
        <v>0.65689100844343251</v>
      </c>
      <c r="AA46" s="247">
        <v>0.16660654992579219</v>
      </c>
    </row>
    <row r="47" spans="1:27" s="233" customFormat="1">
      <c r="A47" s="244" t="s">
        <v>737</v>
      </c>
      <c r="B47" s="122">
        <v>81</v>
      </c>
      <c r="C47" s="245">
        <v>2.0683617021276589E-2</v>
      </c>
      <c r="D47" s="245">
        <v>0.10927793514353079</v>
      </c>
      <c r="E47" s="245">
        <v>0.21875033210744055</v>
      </c>
      <c r="F47" s="245">
        <v>0.25722215886696154</v>
      </c>
      <c r="G47" s="246">
        <v>1.0228619556904517</v>
      </c>
      <c r="H47" s="246">
        <v>1.2103298958985118</v>
      </c>
      <c r="I47" s="245">
        <v>0.11638214632709461</v>
      </c>
      <c r="J47" s="245">
        <v>0.33631953220947924</v>
      </c>
      <c r="K47" s="245">
        <v>6.4354999999999996E-2</v>
      </c>
      <c r="L47" s="245">
        <v>0.25719480780938697</v>
      </c>
      <c r="M47" s="245">
        <v>9.881012579254235E-2</v>
      </c>
      <c r="N47" s="246">
        <v>2.3003858434396283</v>
      </c>
      <c r="O47" s="246">
        <v>1.9345203801039386</v>
      </c>
      <c r="P47" s="246">
        <v>11.38060048642396</v>
      </c>
      <c r="Q47" s="246">
        <v>16.969841193408303</v>
      </c>
      <c r="R47" s="246">
        <v>3.3749990528836591</v>
      </c>
      <c r="S47" s="246">
        <v>143.50472685181344</v>
      </c>
      <c r="T47" s="245">
        <v>0.14317420782326645</v>
      </c>
      <c r="U47" s="245">
        <v>1.9734900420309842E-2</v>
      </c>
      <c r="V47" s="245">
        <v>-1.3947351432358736E-2</v>
      </c>
      <c r="W47" s="245">
        <v>1.4962129840574126E-3</v>
      </c>
      <c r="X47" s="245">
        <v>8.9820800042825985E-2</v>
      </c>
      <c r="Y47" s="245">
        <v>0.55284058091686328</v>
      </c>
      <c r="Z47" s="245">
        <v>0.55284058091686328</v>
      </c>
      <c r="AA47" s="247">
        <v>0.1138079272677219</v>
      </c>
    </row>
    <row r="48" spans="1:27" s="233" customFormat="1">
      <c r="A48" s="244" t="s">
        <v>738</v>
      </c>
      <c r="B48" s="122">
        <v>202</v>
      </c>
      <c r="C48" s="245">
        <v>8.4602603550295863E-2</v>
      </c>
      <c r="D48" s="245">
        <v>0.11829078864545525</v>
      </c>
      <c r="E48" s="245">
        <v>0.1815670557202762</v>
      </c>
      <c r="F48" s="245">
        <v>0.20990187857546369</v>
      </c>
      <c r="G48" s="246">
        <v>0.62939429078398101</v>
      </c>
      <c r="H48" s="246">
        <v>0.68507622266360246</v>
      </c>
      <c r="I48" s="245">
        <v>8.2713385872736925E-2</v>
      </c>
      <c r="J48" s="245">
        <v>0.24786892322452811</v>
      </c>
      <c r="K48" s="245">
        <v>5.8542999999999998E-2</v>
      </c>
      <c r="L48" s="245">
        <v>0.26006451089662946</v>
      </c>
      <c r="M48" s="245">
        <v>7.2572567265888899E-2</v>
      </c>
      <c r="N48" s="246">
        <v>1.8091101184233098</v>
      </c>
      <c r="O48" s="246">
        <v>1.169134129847309</v>
      </c>
      <c r="P48" s="246">
        <v>8.1421543031470112</v>
      </c>
      <c r="Q48" s="246">
        <v>8.5980381763760416</v>
      </c>
      <c r="R48" s="246">
        <v>1.7824284117595675</v>
      </c>
      <c r="S48" s="246">
        <v>22.772643938729356</v>
      </c>
      <c r="T48" s="245">
        <v>-1.5909868291309952E-2</v>
      </c>
      <c r="U48" s="245">
        <v>7.5983583944395005E-3</v>
      </c>
      <c r="V48" s="245">
        <v>4.2288337720457351E-3</v>
      </c>
      <c r="W48" s="245">
        <v>2.0168608230211157E-2</v>
      </c>
      <c r="X48" s="245">
        <v>0.15203983853675418</v>
      </c>
      <c r="Y48" s="245">
        <v>0.4245453994262916</v>
      </c>
      <c r="Z48" s="245">
        <v>0.42454539942629155</v>
      </c>
      <c r="AA48" s="247">
        <v>0.1184053018887523</v>
      </c>
    </row>
    <row r="49" spans="1:27" s="233" customFormat="1">
      <c r="A49" s="244" t="s">
        <v>739</v>
      </c>
      <c r="B49" s="122">
        <v>137</v>
      </c>
      <c r="C49" s="245">
        <v>8.2657570093457935E-2</v>
      </c>
      <c r="D49" s="245">
        <v>0.10819946113762266</v>
      </c>
      <c r="E49" s="245">
        <v>9.6416580120373102E-2</v>
      </c>
      <c r="F49" s="245">
        <v>0.14300985402084812</v>
      </c>
      <c r="G49" s="246">
        <v>0.7749958133235606</v>
      </c>
      <c r="H49" s="246">
        <v>0.88662318345492797</v>
      </c>
      <c r="I49" s="245">
        <v>9.5632546059460893E-2</v>
      </c>
      <c r="J49" s="245">
        <v>0.25290884975248129</v>
      </c>
      <c r="K49" s="245">
        <v>6.4354999999999996E-2</v>
      </c>
      <c r="L49" s="245">
        <v>0.50932175441628835</v>
      </c>
      <c r="M49" s="245">
        <v>7.1402973365437467E-2</v>
      </c>
      <c r="N49" s="246">
        <v>1.0309138465092278</v>
      </c>
      <c r="O49" s="246">
        <v>1.0625828777250275</v>
      </c>
      <c r="P49" s="246">
        <v>7.2156792634234428</v>
      </c>
      <c r="Q49" s="246">
        <v>8.8058900860566141</v>
      </c>
      <c r="R49" s="246">
        <v>1.1248722994828504</v>
      </c>
      <c r="S49" s="246">
        <v>45.466420035837494</v>
      </c>
      <c r="T49" s="245">
        <v>-0.96189182737838586</v>
      </c>
      <c r="U49" s="245">
        <v>6.8793425377158711E-3</v>
      </c>
      <c r="V49" s="245">
        <v>4.7986822649044936E-3</v>
      </c>
      <c r="W49" s="245">
        <v>-7.8830681023021473E-2</v>
      </c>
      <c r="X49" s="245">
        <v>7.4159728954237961E-2</v>
      </c>
      <c r="Y49" s="245">
        <v>0.6190700745883686</v>
      </c>
      <c r="Z49" s="245">
        <v>0.6190700745883686</v>
      </c>
      <c r="AA49" s="247">
        <v>0.10832802165624872</v>
      </c>
    </row>
    <row r="50" spans="1:27" s="233" customFormat="1">
      <c r="A50" s="244" t="s">
        <v>740</v>
      </c>
      <c r="B50" s="122">
        <v>228</v>
      </c>
      <c r="C50" s="245">
        <v>9.0641658031088077E-2</v>
      </c>
      <c r="D50" s="245">
        <v>9.7581466004191875E-2</v>
      </c>
      <c r="E50" s="245">
        <v>0.13311212828485519</v>
      </c>
      <c r="F50" s="245">
        <v>0.18702298039483281</v>
      </c>
      <c r="G50" s="246">
        <v>0.66476894823629862</v>
      </c>
      <c r="H50" s="246">
        <v>0.71082250665406388</v>
      </c>
      <c r="I50" s="245">
        <v>8.4363722676525504E-2</v>
      </c>
      <c r="J50" s="245">
        <v>0.26743776755542148</v>
      </c>
      <c r="K50" s="245">
        <v>6.4354999999999996E-2</v>
      </c>
      <c r="L50" s="245">
        <v>0.18249067562498464</v>
      </c>
      <c r="M50" s="245">
        <v>7.7738689099656436E-2</v>
      </c>
      <c r="N50" s="246">
        <v>1.6491131323911132</v>
      </c>
      <c r="O50" s="246">
        <v>1.1297486196935083</v>
      </c>
      <c r="P50" s="246">
        <v>9.2472286919352698</v>
      </c>
      <c r="Q50" s="246">
        <v>10.817649285030543</v>
      </c>
      <c r="R50" s="246">
        <v>1.5899488639029249</v>
      </c>
      <c r="S50" s="246">
        <v>19.552938187213641</v>
      </c>
      <c r="T50" s="245">
        <v>-0.28476029827138211</v>
      </c>
      <c r="U50" s="245">
        <v>6.965993910183885E-3</v>
      </c>
      <c r="V50" s="245">
        <v>-3.1311810875102627E-3</v>
      </c>
      <c r="W50" s="245">
        <v>0.19017906155847933</v>
      </c>
      <c r="X50" s="245">
        <v>0.12312293515838731</v>
      </c>
      <c r="Y50" s="245">
        <v>0.31767302616536391</v>
      </c>
      <c r="Z50" s="245">
        <v>0.31767302616536397</v>
      </c>
      <c r="AA50" s="247">
        <v>9.7921920811046684E-2</v>
      </c>
    </row>
    <row r="51" spans="1:27" s="233" customFormat="1">
      <c r="A51" s="244" t="s">
        <v>741</v>
      </c>
      <c r="B51" s="122">
        <v>1374</v>
      </c>
      <c r="C51" s="245">
        <v>0.11473422264875235</v>
      </c>
      <c r="D51" s="245">
        <v>0.17622005224472409</v>
      </c>
      <c r="E51" s="245">
        <v>5.5770237112366595E-2</v>
      </c>
      <c r="F51" s="245">
        <v>0.17295984619363799</v>
      </c>
      <c r="G51" s="246">
        <v>0.53979286446123986</v>
      </c>
      <c r="H51" s="246">
        <v>0.7538219195489253</v>
      </c>
      <c r="I51" s="245">
        <v>8.7119985043086115E-2</v>
      </c>
      <c r="J51" s="245">
        <v>0.29524731282444133</v>
      </c>
      <c r="K51" s="245">
        <v>6.4354999999999996E-2</v>
      </c>
      <c r="L51" s="245">
        <v>0.42424609492116599</v>
      </c>
      <c r="M51" s="245">
        <v>7.0549072134151486E-2</v>
      </c>
      <c r="N51" s="246">
        <v>0.34866273077820698</v>
      </c>
      <c r="O51" s="246">
        <v>4.6552157668738818</v>
      </c>
      <c r="P51" s="246">
        <v>16.809441335551345</v>
      </c>
      <c r="Q51" s="246">
        <v>20.170578625395265</v>
      </c>
      <c r="R51" s="246">
        <v>1.3814510990522937</v>
      </c>
      <c r="S51" s="246">
        <v>56.350072695147695</v>
      </c>
      <c r="T51" s="245" t="s">
        <v>96</v>
      </c>
      <c r="U51" s="245">
        <v>3.600827575408963E-2</v>
      </c>
      <c r="V51" s="245">
        <v>7.6788117841486078E-2</v>
      </c>
      <c r="W51" s="245">
        <v>0.52420609676460339</v>
      </c>
      <c r="X51" s="245">
        <v>0.10448446992594369</v>
      </c>
      <c r="Y51" s="245">
        <v>0.56047596516159481</v>
      </c>
      <c r="Z51" s="245">
        <v>0.56047596516159481</v>
      </c>
      <c r="AA51" s="247">
        <v>0.17504604457389827</v>
      </c>
    </row>
    <row r="52" spans="1:27" s="233" customFormat="1">
      <c r="A52" s="244" t="s">
        <v>742</v>
      </c>
      <c r="B52" s="122">
        <v>1492</v>
      </c>
      <c r="C52" s="245">
        <v>6.0736806953339488E-2</v>
      </c>
      <c r="D52" s="245">
        <v>9.9188091807699746E-2</v>
      </c>
      <c r="E52" s="245">
        <v>0.12714981972762704</v>
      </c>
      <c r="F52" s="245">
        <v>0.21301565480909104</v>
      </c>
      <c r="G52" s="246">
        <v>1.0383610269809804</v>
      </c>
      <c r="H52" s="246">
        <v>1.0707088534325078</v>
      </c>
      <c r="I52" s="245">
        <v>0.10743243750502375</v>
      </c>
      <c r="J52" s="245">
        <v>0.29756519697738837</v>
      </c>
      <c r="K52" s="245">
        <v>6.4354999999999996E-2</v>
      </c>
      <c r="L52" s="245">
        <v>0.13307684167690589</v>
      </c>
      <c r="M52" s="245">
        <v>9.9531382825323991E-2</v>
      </c>
      <c r="N52" s="246">
        <v>1.4758444913873308</v>
      </c>
      <c r="O52" s="246">
        <v>2.1520511804771969</v>
      </c>
      <c r="P52" s="246">
        <v>14.740091472662543</v>
      </c>
      <c r="Q52" s="246">
        <v>20.507888137578245</v>
      </c>
      <c r="R52" s="246">
        <v>2.9318971669892666</v>
      </c>
      <c r="S52" s="246">
        <v>59.821455161114287</v>
      </c>
      <c r="T52" s="245">
        <v>0.28320474661866296</v>
      </c>
      <c r="U52" s="245">
        <v>4.1859504460015663E-2</v>
      </c>
      <c r="V52" s="245">
        <v>4.2353512106588428E-2</v>
      </c>
      <c r="W52" s="245">
        <v>0.91591251057606826</v>
      </c>
      <c r="X52" s="245">
        <v>0.11997300767360307</v>
      </c>
      <c r="Y52" s="245">
        <v>0.41450280864813127</v>
      </c>
      <c r="Z52" s="245">
        <v>0.41450280864813127</v>
      </c>
      <c r="AA52" s="247">
        <v>0.10081767143303756</v>
      </c>
    </row>
    <row r="53" spans="1:27" s="233" customFormat="1">
      <c r="A53" s="244" t="s">
        <v>743</v>
      </c>
      <c r="B53" s="122">
        <v>1815</v>
      </c>
      <c r="C53" s="245">
        <v>0.19804777777777752</v>
      </c>
      <c r="D53" s="245">
        <v>0.1066486206425039</v>
      </c>
      <c r="E53" s="245">
        <v>0.14836568932569863</v>
      </c>
      <c r="F53" s="245">
        <v>0.30835376594192654</v>
      </c>
      <c r="G53" s="246">
        <v>0.98882838286003538</v>
      </c>
      <c r="H53" s="246">
        <v>1.0907339755589991</v>
      </c>
      <c r="I53" s="245">
        <v>0.10871604783333184</v>
      </c>
      <c r="J53" s="245">
        <v>0.57513373902119769</v>
      </c>
      <c r="K53" s="245">
        <v>6.7024E-2</v>
      </c>
      <c r="L53" s="245">
        <v>0.21730036180967932</v>
      </c>
      <c r="M53" s="245">
        <v>9.5968660005839604E-2</v>
      </c>
      <c r="N53" s="246">
        <v>1.4403961344658236</v>
      </c>
      <c r="O53" s="246">
        <v>1.3218409435391527</v>
      </c>
      <c r="P53" s="246">
        <v>7.8168870617573027</v>
      </c>
      <c r="Q53" s="246">
        <v>11.719208861545544</v>
      </c>
      <c r="R53" s="246">
        <v>1.8383154452637784</v>
      </c>
      <c r="S53" s="246">
        <v>54.204297468339057</v>
      </c>
      <c r="T53" s="245">
        <v>0.11976332846375269</v>
      </c>
      <c r="U53" s="245">
        <v>8.001763962680733E-2</v>
      </c>
      <c r="V53" s="245">
        <v>4.8951300244026628E-2</v>
      </c>
      <c r="W53" s="245">
        <v>0.84861810600502985</v>
      </c>
      <c r="X53" s="245">
        <v>0.10498912521603543</v>
      </c>
      <c r="Y53" s="245">
        <v>0.85950262197204541</v>
      </c>
      <c r="Z53" s="245">
        <v>0.85950262197204541</v>
      </c>
      <c r="AA53" s="247">
        <v>0.10717263648228532</v>
      </c>
    </row>
    <row r="54" spans="1:27" s="233" customFormat="1">
      <c r="A54" s="244" t="s">
        <v>744</v>
      </c>
      <c r="B54" s="122">
        <v>137</v>
      </c>
      <c r="C54" s="245">
        <v>7.1007029702970265E-2</v>
      </c>
      <c r="D54" s="245">
        <v>7.0961579936263952E-2</v>
      </c>
      <c r="E54" s="245">
        <v>0.11212639112128629</v>
      </c>
      <c r="F54" s="245">
        <v>0.26676749544617556</v>
      </c>
      <c r="G54" s="246">
        <v>0.77554815342767547</v>
      </c>
      <c r="H54" s="246">
        <v>0.82887590656792509</v>
      </c>
      <c r="I54" s="245">
        <v>9.1930945611004011E-2</v>
      </c>
      <c r="J54" s="245">
        <v>0.2790876657137058</v>
      </c>
      <c r="K54" s="245">
        <v>6.4354999999999996E-2</v>
      </c>
      <c r="L54" s="245">
        <v>0.22256683686744955</v>
      </c>
      <c r="M54" s="245">
        <v>8.2166797901965696E-2</v>
      </c>
      <c r="N54" s="246">
        <v>1.9486920792014812</v>
      </c>
      <c r="O54" s="246">
        <v>1.0643054466715693</v>
      </c>
      <c r="P54" s="246">
        <v>9.43316440474951</v>
      </c>
      <c r="Q54" s="246">
        <v>14.408234304339361</v>
      </c>
      <c r="R54" s="246">
        <v>1.8408621168699564</v>
      </c>
      <c r="S54" s="246">
        <v>148.70651436275134</v>
      </c>
      <c r="T54" s="245">
        <v>0.13322722592940051</v>
      </c>
      <c r="U54" s="245">
        <v>2.4677177006253253E-2</v>
      </c>
      <c r="V54" s="245">
        <v>1.6106125519195953E-2</v>
      </c>
      <c r="W54" s="245">
        <v>0.30437740451249901</v>
      </c>
      <c r="X54" s="245">
        <v>8.2629468165346887E-2</v>
      </c>
      <c r="Y54" s="245">
        <v>0.52401832957131256</v>
      </c>
      <c r="Z54" s="245">
        <v>0.52401832957131256</v>
      </c>
      <c r="AA54" s="247">
        <v>7.1497526286580126E-2</v>
      </c>
    </row>
    <row r="55" spans="1:27" s="233" customFormat="1">
      <c r="A55" s="244" t="s">
        <v>745</v>
      </c>
      <c r="B55" s="122">
        <v>36</v>
      </c>
      <c r="C55" s="245">
        <v>0.17374848484848482</v>
      </c>
      <c r="D55" s="245">
        <v>0.18330450455077879</v>
      </c>
      <c r="E55" s="245">
        <v>0.21955647007213316</v>
      </c>
      <c r="F55" s="245">
        <v>0.41146504501815462</v>
      </c>
      <c r="G55" s="246">
        <v>0.93789803915060777</v>
      </c>
      <c r="H55" s="246">
        <v>0.99082952615484288</v>
      </c>
      <c r="I55" s="245">
        <v>0.10231217262652544</v>
      </c>
      <c r="J55" s="245">
        <v>0.26835269009888651</v>
      </c>
      <c r="K55" s="245">
        <v>6.4354999999999996E-2</v>
      </c>
      <c r="L55" s="245">
        <v>0.14876666788463416</v>
      </c>
      <c r="M55" s="245">
        <v>9.424130439210901E-2</v>
      </c>
      <c r="N55" s="246">
        <v>1.6577440240335313</v>
      </c>
      <c r="O55" s="246">
        <v>1.2699079204434363</v>
      </c>
      <c r="P55" s="246">
        <v>5.329375681172027</v>
      </c>
      <c r="Q55" s="246">
        <v>6.9103766360635088</v>
      </c>
      <c r="R55" s="246">
        <v>1.9959989938763145</v>
      </c>
      <c r="S55" s="246">
        <v>14.031826818454119</v>
      </c>
      <c r="T55" s="245">
        <v>3.2549087570827216E-2</v>
      </c>
      <c r="U55" s="245">
        <v>7.5515814514412374E-2</v>
      </c>
      <c r="V55" s="245">
        <v>1.7882863221327785E-2</v>
      </c>
      <c r="W55" s="245">
        <v>0.1470972992362721</v>
      </c>
      <c r="X55" s="245">
        <v>0.21117990075672649</v>
      </c>
      <c r="Y55" s="245">
        <v>0.48938589191024878</v>
      </c>
      <c r="Z55" s="245">
        <v>0.48938589191024873</v>
      </c>
      <c r="AA55" s="247">
        <v>0.18395151105610733</v>
      </c>
    </row>
    <row r="56" spans="1:27" s="233" customFormat="1">
      <c r="A56" s="244" t="s">
        <v>746</v>
      </c>
      <c r="B56" s="122">
        <v>590</v>
      </c>
      <c r="C56" s="245">
        <v>0.26669155223880614</v>
      </c>
      <c r="D56" s="245">
        <v>0.36359811391786417</v>
      </c>
      <c r="E56" s="245">
        <v>0.24158267687634824</v>
      </c>
      <c r="F56" s="245">
        <v>0.31260731207135428</v>
      </c>
      <c r="G56" s="246">
        <v>0.96400287636378446</v>
      </c>
      <c r="H56" s="246">
        <v>1.088855941735434</v>
      </c>
      <c r="I56" s="245">
        <v>0.10859566586524133</v>
      </c>
      <c r="J56" s="245">
        <v>0.48387766980457797</v>
      </c>
      <c r="K56" s="245">
        <v>6.4354999999999996E-2</v>
      </c>
      <c r="L56" s="245">
        <v>0.21367468576413548</v>
      </c>
      <c r="M56" s="245">
        <v>9.5660793577814512E-2</v>
      </c>
      <c r="N56" s="246">
        <v>0.72177787759688772</v>
      </c>
      <c r="O56" s="246">
        <v>2.3810527342876315</v>
      </c>
      <c r="P56" s="246">
        <v>4.2234317999172477</v>
      </c>
      <c r="Q56" s="246">
        <v>6.3968445728922925</v>
      </c>
      <c r="R56" s="246">
        <v>1.5420415249160988</v>
      </c>
      <c r="S56" s="246">
        <v>17.550483815303338</v>
      </c>
      <c r="T56" s="245">
        <v>1.1379439275655217E-2</v>
      </c>
      <c r="U56" s="245">
        <v>0.27791758398609795</v>
      </c>
      <c r="V56" s="245">
        <v>0.14230625112830322</v>
      </c>
      <c r="W56" s="245">
        <v>0.53680367572185095</v>
      </c>
      <c r="X56" s="245">
        <v>0.21873526979182842</v>
      </c>
      <c r="Y56" s="245">
        <v>0.38354605719548041</v>
      </c>
      <c r="Z56" s="245">
        <v>0.38354605719548041</v>
      </c>
      <c r="AA56" s="247">
        <v>0.36597778616024979</v>
      </c>
    </row>
    <row r="57" spans="1:27" s="233" customFormat="1">
      <c r="A57" s="244" t="s">
        <v>747</v>
      </c>
      <c r="B57" s="122">
        <v>174</v>
      </c>
      <c r="C57" s="245">
        <v>0.14224071428571419</v>
      </c>
      <c r="D57" s="245">
        <v>0.20652391715940321</v>
      </c>
      <c r="E57" s="245">
        <v>0.12634031115186051</v>
      </c>
      <c r="F57" s="245">
        <v>0.17576164835069483</v>
      </c>
      <c r="G57" s="246">
        <v>0.58306892157959134</v>
      </c>
      <c r="H57" s="246">
        <v>0.85477327531748326</v>
      </c>
      <c r="I57" s="245">
        <v>9.3590966947850684E-2</v>
      </c>
      <c r="J57" s="245">
        <v>0.29604834790023915</v>
      </c>
      <c r="K57" s="245">
        <v>6.4354999999999996E-2</v>
      </c>
      <c r="L57" s="245">
        <v>0.41344813826810339</v>
      </c>
      <c r="M57" s="245">
        <v>7.4766403252430683E-2</v>
      </c>
      <c r="N57" s="246">
        <v>0.70119353498470294</v>
      </c>
      <c r="O57" s="246">
        <v>2.4350441266320879</v>
      </c>
      <c r="P57" s="246">
        <v>8.6538309913820974</v>
      </c>
      <c r="Q57" s="246">
        <v>11.667657427910877</v>
      </c>
      <c r="R57" s="246">
        <v>1.7319473403576051</v>
      </c>
      <c r="S57" s="246">
        <v>379.61372013410056</v>
      </c>
      <c r="T57" s="245">
        <v>4.0400031397025173E-2</v>
      </c>
      <c r="U57" s="245">
        <v>0.11718132418192696</v>
      </c>
      <c r="V57" s="245">
        <v>8.0230525406116748E-2</v>
      </c>
      <c r="W57" s="245">
        <v>0.47879736709681725</v>
      </c>
      <c r="X57" s="245">
        <v>0.19802991406641668</v>
      </c>
      <c r="Y57" s="245">
        <v>0.58133831922958967</v>
      </c>
      <c r="Z57" s="245">
        <v>0.58133831922958967</v>
      </c>
      <c r="AA57" s="247">
        <v>0.20766740281227819</v>
      </c>
    </row>
    <row r="58" spans="1:27" s="233" customFormat="1">
      <c r="A58" s="244" t="s">
        <v>748</v>
      </c>
      <c r="B58" s="122">
        <v>444</v>
      </c>
      <c r="C58" s="245">
        <v>7.7933924418604542E-2</v>
      </c>
      <c r="D58" s="245">
        <v>6.7211945796333383E-2</v>
      </c>
      <c r="E58" s="245">
        <v>0.14553325656056432</v>
      </c>
      <c r="F58" s="245">
        <v>0.23018694802682557</v>
      </c>
      <c r="G58" s="246">
        <v>0.81650032260313887</v>
      </c>
      <c r="H58" s="246">
        <v>0.97654622433771521</v>
      </c>
      <c r="I58" s="245">
        <v>0.10139661298004755</v>
      </c>
      <c r="J58" s="245">
        <v>0.36102582329931987</v>
      </c>
      <c r="K58" s="245">
        <v>6.4354999999999996E-2</v>
      </c>
      <c r="L58" s="245">
        <v>0.29357721636774026</v>
      </c>
      <c r="M58" s="245">
        <v>8.5738290794127661E-2</v>
      </c>
      <c r="N58" s="246">
        <v>2.4835718538686238</v>
      </c>
      <c r="O58" s="246">
        <v>0.64414147900341523</v>
      </c>
      <c r="P58" s="246">
        <v>6.4382791191869799</v>
      </c>
      <c r="Q58" s="246">
        <v>8.8875254665849557</v>
      </c>
      <c r="R58" s="246">
        <v>1.4899584515535069</v>
      </c>
      <c r="S58" s="246">
        <v>46.826721740920014</v>
      </c>
      <c r="T58" s="245">
        <v>6.4448066148705088E-2</v>
      </c>
      <c r="U58" s="245">
        <v>3.9255162065945412E-2</v>
      </c>
      <c r="V58" s="245">
        <v>2.1534721834103415E-2</v>
      </c>
      <c r="W58" s="245">
        <v>0.41173452769247471</v>
      </c>
      <c r="X58" s="245">
        <v>0.1671058520345248</v>
      </c>
      <c r="Y58" s="245">
        <v>0.25278543214691185</v>
      </c>
      <c r="Z58" s="245">
        <v>0.25278543214691185</v>
      </c>
      <c r="AA58" s="247">
        <v>6.7815316278665161E-2</v>
      </c>
    </row>
    <row r="59" spans="1:27" s="233" customFormat="1">
      <c r="A59" s="244" t="s">
        <v>749</v>
      </c>
      <c r="B59" s="122">
        <v>164</v>
      </c>
      <c r="C59" s="245">
        <v>5.7694754098360626E-2</v>
      </c>
      <c r="D59" s="245">
        <v>9.1697469290684869E-2</v>
      </c>
      <c r="E59" s="245">
        <v>0.12158429116691415</v>
      </c>
      <c r="F59" s="245">
        <v>0.21199308348189852</v>
      </c>
      <c r="G59" s="246">
        <v>0.63169706370972833</v>
      </c>
      <c r="H59" s="246">
        <v>0.82652071493614188</v>
      </c>
      <c r="I59" s="245">
        <v>9.1779977827406697E-2</v>
      </c>
      <c r="J59" s="245">
        <v>0.2595251335373906</v>
      </c>
      <c r="K59" s="245">
        <v>6.4354999999999996E-2</v>
      </c>
      <c r="L59" s="245">
        <v>0.34484163116723443</v>
      </c>
      <c r="M59" s="245">
        <v>7.6703617639080637E-2</v>
      </c>
      <c r="N59" s="246">
        <v>1.563525798101618</v>
      </c>
      <c r="O59" s="246">
        <v>1.4040689663460026</v>
      </c>
      <c r="P59" s="246">
        <v>9.2921989769964295</v>
      </c>
      <c r="Q59" s="246">
        <v>15.085462079349663</v>
      </c>
      <c r="R59" s="246">
        <v>2.2006560571887719</v>
      </c>
      <c r="S59" s="246">
        <v>29.949387233831278</v>
      </c>
      <c r="T59" s="245">
        <v>0.13503323145959242</v>
      </c>
      <c r="U59" s="245">
        <v>7.3430271754610754E-2</v>
      </c>
      <c r="V59" s="245">
        <v>4.0861988250109449E-2</v>
      </c>
      <c r="W59" s="245">
        <v>0.76467093347497295</v>
      </c>
      <c r="X59" s="245">
        <v>0.12437615563003381</v>
      </c>
      <c r="Y59" s="245">
        <v>0.40548111787380564</v>
      </c>
      <c r="Z59" s="245">
        <v>0.40548111787380559</v>
      </c>
      <c r="AA59" s="247">
        <v>9.2122168444348992E-2</v>
      </c>
    </row>
    <row r="60" spans="1:27" s="233" customFormat="1">
      <c r="A60" s="244" t="s">
        <v>750</v>
      </c>
      <c r="B60" s="122">
        <v>266</v>
      </c>
      <c r="C60" s="245">
        <v>3.0151770334928208E-2</v>
      </c>
      <c r="D60" s="245">
        <v>6.5469265151261863E-2</v>
      </c>
      <c r="E60" s="245">
        <v>4.9573756287668594E-2</v>
      </c>
      <c r="F60" s="245">
        <v>0.208529801624149</v>
      </c>
      <c r="G60" s="246">
        <v>0.67452726357603943</v>
      </c>
      <c r="H60" s="246">
        <v>0.91123562267706948</v>
      </c>
      <c r="I60" s="245">
        <v>9.7210203413600149E-2</v>
      </c>
      <c r="J60" s="245">
        <v>0.29232142502794328</v>
      </c>
      <c r="K60" s="245">
        <v>6.4354999999999996E-2</v>
      </c>
      <c r="L60" s="245">
        <v>0.39221477839053925</v>
      </c>
      <c r="M60" s="245">
        <v>7.7932890429325469E-2</v>
      </c>
      <c r="N60" s="246">
        <v>0.86614493988644492</v>
      </c>
      <c r="O60" s="246">
        <v>1.3103287441086131</v>
      </c>
      <c r="P60" s="246">
        <v>10.145296025613924</v>
      </c>
      <c r="Q60" s="246">
        <v>19.409725734324383</v>
      </c>
      <c r="R60" s="246">
        <v>1.0700113153525874</v>
      </c>
      <c r="S60" s="246">
        <v>53.229040853217001</v>
      </c>
      <c r="T60" s="245">
        <v>0.19301023843083542</v>
      </c>
      <c r="U60" s="245">
        <v>0.10356254127142554</v>
      </c>
      <c r="V60" s="245">
        <v>6.8286821802886769E-2</v>
      </c>
      <c r="W60" s="245">
        <v>1.5270401595610297</v>
      </c>
      <c r="X60" s="245">
        <v>6.4685812884941685E-2</v>
      </c>
      <c r="Y60" s="245">
        <v>0.55881830017691447</v>
      </c>
      <c r="Z60" s="245">
        <v>0.55881830017691447</v>
      </c>
      <c r="AA60" s="247">
        <v>6.5270026738935519E-2</v>
      </c>
    </row>
    <row r="61" spans="1:27" s="233" customFormat="1">
      <c r="A61" s="244" t="s">
        <v>751</v>
      </c>
      <c r="B61" s="122">
        <v>488</v>
      </c>
      <c r="C61" s="245">
        <v>0.10553491271820446</v>
      </c>
      <c r="D61" s="245">
        <v>0.13542991805419821</v>
      </c>
      <c r="E61" s="245">
        <v>7.7773290566387959E-2</v>
      </c>
      <c r="F61" s="245">
        <v>0.20805972007633658</v>
      </c>
      <c r="G61" s="246">
        <v>0.44709739928296827</v>
      </c>
      <c r="H61" s="246">
        <v>0.73654518278252623</v>
      </c>
      <c r="I61" s="245">
        <v>8.6012546216359925E-2</v>
      </c>
      <c r="J61" s="245">
        <v>0.25342379632553674</v>
      </c>
      <c r="K61" s="245">
        <v>6.4354999999999996E-2</v>
      </c>
      <c r="L61" s="245">
        <v>0.49590794161286106</v>
      </c>
      <c r="M61" s="245">
        <v>6.7191732858331563E-2</v>
      </c>
      <c r="N61" s="246">
        <v>0.68526874049072972</v>
      </c>
      <c r="O61" s="246">
        <v>1.9842440306784828</v>
      </c>
      <c r="P61" s="246">
        <v>8.7108600321499665</v>
      </c>
      <c r="Q61" s="246">
        <v>14.113054268619704</v>
      </c>
      <c r="R61" s="246">
        <v>1.3054398461869166</v>
      </c>
      <c r="S61" s="246">
        <v>19.746454537908715</v>
      </c>
      <c r="T61" s="245">
        <v>5.1321052580214174E-2</v>
      </c>
      <c r="U61" s="245">
        <v>0.16145031366596388</v>
      </c>
      <c r="V61" s="245">
        <v>9.7845997009163577E-2</v>
      </c>
      <c r="W61" s="245">
        <v>0.93997521797198369</v>
      </c>
      <c r="X61" s="245">
        <v>0.12425005928175513</v>
      </c>
      <c r="Y61" s="245">
        <v>0.63064006144032125</v>
      </c>
      <c r="Z61" s="245">
        <v>0.63064006144032125</v>
      </c>
      <c r="AA61" s="247">
        <v>0.13547671716176615</v>
      </c>
    </row>
    <row r="62" spans="1:27" s="233" customFormat="1">
      <c r="A62" s="244" t="s">
        <v>752</v>
      </c>
      <c r="B62" s="122">
        <v>853</v>
      </c>
      <c r="C62" s="245">
        <v>0.39661279569892466</v>
      </c>
      <c r="D62" s="245">
        <v>0.11716428482873288</v>
      </c>
      <c r="E62" s="245">
        <v>9.0931099417145486E-2</v>
      </c>
      <c r="F62" s="245">
        <v>0.25659862660670979</v>
      </c>
      <c r="G62" s="246">
        <v>1.0402350701665943</v>
      </c>
      <c r="H62" s="246">
        <v>1.0916417105034704</v>
      </c>
      <c r="I62" s="245">
        <v>0.10877423364327246</v>
      </c>
      <c r="J62" s="245">
        <v>0.60159260726154473</v>
      </c>
      <c r="K62" s="245">
        <v>6.7024E-2</v>
      </c>
      <c r="L62" s="245">
        <v>0.15542889273887234</v>
      </c>
      <c r="M62" s="245">
        <v>9.9647338638234689E-2</v>
      </c>
      <c r="N62" s="246">
        <v>0.8076654779709096</v>
      </c>
      <c r="O62" s="246">
        <v>2.388243444540735</v>
      </c>
      <c r="P62" s="246">
        <v>8.8129811908686815</v>
      </c>
      <c r="Q62" s="246">
        <v>18.827938179346596</v>
      </c>
      <c r="R62" s="246">
        <v>1.6763220630025462</v>
      </c>
      <c r="S62" s="246">
        <v>250.16739966900235</v>
      </c>
      <c r="T62" s="245">
        <v>0.10876920780761588</v>
      </c>
      <c r="U62" s="245">
        <v>0.18593105272862404</v>
      </c>
      <c r="V62" s="245">
        <v>0.11279334038614539</v>
      </c>
      <c r="W62" s="245">
        <v>1.560681789819641</v>
      </c>
      <c r="X62" s="245">
        <v>4.3236320854281259E-2</v>
      </c>
      <c r="Y62" s="245">
        <v>0.98308006126650493</v>
      </c>
      <c r="Z62" s="245">
        <v>0.98308006126650493</v>
      </c>
      <c r="AA62" s="247">
        <v>0.11750297486073459</v>
      </c>
    </row>
    <row r="63" spans="1:27" s="233" customFormat="1">
      <c r="A63" s="244" t="s">
        <v>753</v>
      </c>
      <c r="B63" s="122">
        <v>205</v>
      </c>
      <c r="C63" s="245">
        <v>2.5649285714285718E-2</v>
      </c>
      <c r="D63" s="245">
        <v>7.5733670014209539E-2</v>
      </c>
      <c r="E63" s="245">
        <v>9.1693019012514851E-2</v>
      </c>
      <c r="F63" s="245">
        <v>0.118450253445926</v>
      </c>
      <c r="G63" s="246">
        <v>0.98174439942557767</v>
      </c>
      <c r="H63" s="246">
        <v>0.98667454557159306</v>
      </c>
      <c r="I63" s="245">
        <v>0.10204583837113912</v>
      </c>
      <c r="J63" s="245">
        <v>0.30045957687616837</v>
      </c>
      <c r="K63" s="245">
        <v>6.4354999999999996E-2</v>
      </c>
      <c r="L63" s="245">
        <v>0.17696837446783933</v>
      </c>
      <c r="M63" s="245">
        <v>9.2492107878384716E-2</v>
      </c>
      <c r="N63" s="246">
        <v>1.4375094926430516</v>
      </c>
      <c r="O63" s="246">
        <v>1.544761587796009</v>
      </c>
      <c r="P63" s="246">
        <v>12.19735357007114</v>
      </c>
      <c r="Q63" s="246">
        <v>19.632013175283291</v>
      </c>
      <c r="R63" s="246">
        <v>1.6779599293789245</v>
      </c>
      <c r="S63" s="246">
        <v>41.064074331233321</v>
      </c>
      <c r="T63" s="245">
        <v>8.4396816377801928E-2</v>
      </c>
      <c r="U63" s="245">
        <v>3.023021107723154E-2</v>
      </c>
      <c r="V63" s="245">
        <v>-1.3126563486090452E-2</v>
      </c>
      <c r="W63" s="245">
        <v>-0.10842879148619908</v>
      </c>
      <c r="X63" s="245">
        <v>8.9123022177273498E-2</v>
      </c>
      <c r="Y63" s="245">
        <v>0.41364930060750954</v>
      </c>
      <c r="Z63" s="245">
        <v>0.41364930060750948</v>
      </c>
      <c r="AA63" s="247">
        <v>7.3676111504347927E-2</v>
      </c>
    </row>
    <row r="64" spans="1:27" s="233" customFormat="1">
      <c r="A64" s="244" t="s">
        <v>754</v>
      </c>
      <c r="B64" s="122">
        <v>633</v>
      </c>
      <c r="C64" s="245">
        <v>9.1772292576419237E-2</v>
      </c>
      <c r="D64" s="245">
        <v>0.30402639114664837</v>
      </c>
      <c r="E64" s="245">
        <v>3.1870624041347918E-2</v>
      </c>
      <c r="F64" s="245">
        <v>3.2850631372118813E-2</v>
      </c>
      <c r="G64" s="246">
        <v>0.51715701412377979</v>
      </c>
      <c r="H64" s="246">
        <v>0.80382166555826706</v>
      </c>
      <c r="I64" s="245">
        <v>9.0324968762284921E-2</v>
      </c>
      <c r="J64" s="245">
        <v>0.19440345710965456</v>
      </c>
      <c r="K64" s="245">
        <v>5.8542999999999998E-2</v>
      </c>
      <c r="L64" s="245">
        <v>0.44103424923766665</v>
      </c>
      <c r="M64" s="245">
        <v>6.9770542718865444E-2</v>
      </c>
      <c r="N64" s="246">
        <v>0.11461297944621147</v>
      </c>
      <c r="O64" s="246">
        <v>11.928153053441946</v>
      </c>
      <c r="P64" s="246">
        <v>21.659963653072243</v>
      </c>
      <c r="Q64" s="246">
        <v>36.907123476218715</v>
      </c>
      <c r="R64" s="246">
        <v>1.4873329243681386</v>
      </c>
      <c r="S64" s="246">
        <v>65.224529819282452</v>
      </c>
      <c r="T64" s="245">
        <v>0.94396697344893565</v>
      </c>
      <c r="U64" s="245">
        <v>6.0725251904459342E-2</v>
      </c>
      <c r="V64" s="245">
        <v>-5.9045135347357683E-2</v>
      </c>
      <c r="W64" s="245">
        <v>-0.18402675200436258</v>
      </c>
      <c r="X64" s="245">
        <v>2.0324312920631606E-2</v>
      </c>
      <c r="Y64" s="245">
        <v>3.4298055269373591</v>
      </c>
      <c r="Z64" s="245">
        <v>3.4298055269373591</v>
      </c>
      <c r="AA64" s="247">
        <v>0.28379516755336087</v>
      </c>
    </row>
    <row r="65" spans="1:27" s="233" customFormat="1">
      <c r="A65" s="244" t="s">
        <v>755</v>
      </c>
      <c r="B65" s="122">
        <v>884</v>
      </c>
      <c r="C65" s="245">
        <v>0.10489185582822072</v>
      </c>
      <c r="D65" s="245">
        <v>5.0080867769680779E-2</v>
      </c>
      <c r="E65" s="245">
        <v>2.0519444443367243E-2</v>
      </c>
      <c r="F65" s="245">
        <v>0.29363272379157651</v>
      </c>
      <c r="G65" s="246">
        <v>0.4151846023610043</v>
      </c>
      <c r="H65" s="246">
        <v>0.98381928935145857</v>
      </c>
      <c r="I65" s="245">
        <v>0.10186281644742851</v>
      </c>
      <c r="J65" s="245">
        <v>0.32264079845830512</v>
      </c>
      <c r="K65" s="245">
        <v>6.4354999999999996E-2</v>
      </c>
      <c r="L65" s="245">
        <v>0.71338918457751455</v>
      </c>
      <c r="M65" s="245">
        <v>6.348069309822775E-2</v>
      </c>
      <c r="N65" s="246">
        <v>0.48136054077406221</v>
      </c>
      <c r="O65" s="246">
        <v>1.6844769371768094</v>
      </c>
      <c r="P65" s="246">
        <v>13.21058928721682</v>
      </c>
      <c r="Q65" s="246">
        <v>25.061544895916871</v>
      </c>
      <c r="R65" s="246">
        <v>0.47499232700938854</v>
      </c>
      <c r="S65" s="246">
        <v>85.617825124817145</v>
      </c>
      <c r="T65" s="245">
        <v>1.9372904748389623</v>
      </c>
      <c r="U65" s="245">
        <v>2.4175751924503074E-2</v>
      </c>
      <c r="V65" s="245">
        <v>1.5641880147807902E-2</v>
      </c>
      <c r="W65" s="245">
        <v>-2.4874862323222326</v>
      </c>
      <c r="X65" s="245">
        <v>-3.4840201694336069E-2</v>
      </c>
      <c r="Y65" s="245">
        <v>7.9532474775776667E-3</v>
      </c>
      <c r="Z65" s="245">
        <v>7.9532474775776407E-3</v>
      </c>
      <c r="AA65" s="247">
        <v>4.9828779780654801E-2</v>
      </c>
    </row>
    <row r="66" spans="1:27" s="233" customFormat="1">
      <c r="A66" s="244" t="s">
        <v>756</v>
      </c>
      <c r="B66" s="122">
        <v>336</v>
      </c>
      <c r="C66" s="245">
        <v>4.3873405797101465E-2</v>
      </c>
      <c r="D66" s="245">
        <v>0.15167474002655593</v>
      </c>
      <c r="E66" s="245">
        <v>3.5054354887619474E-2</v>
      </c>
      <c r="F66" s="245">
        <v>0.28115061326406465</v>
      </c>
      <c r="G66" s="246">
        <v>0.54027621202156262</v>
      </c>
      <c r="H66" s="246">
        <v>0.94126979574630987</v>
      </c>
      <c r="I66" s="245">
        <v>9.913539390733847E-2</v>
      </c>
      <c r="J66" s="245">
        <v>0.25548788218587742</v>
      </c>
      <c r="K66" s="245">
        <v>6.4354999999999996E-2</v>
      </c>
      <c r="L66" s="245">
        <v>0.54735806735395398</v>
      </c>
      <c r="M66" s="245">
        <v>7.1179036879308918E-2</v>
      </c>
      <c r="N66" s="246">
        <v>0.26352308133588775</v>
      </c>
      <c r="O66" s="246">
        <v>3.3452161322956986</v>
      </c>
      <c r="P66" s="246">
        <v>13.533672644677281</v>
      </c>
      <c r="Q66" s="246">
        <v>19.755324773603924</v>
      </c>
      <c r="R66" s="246">
        <v>0.67632359153553245</v>
      </c>
      <c r="S66" s="246">
        <v>82.378100398027456</v>
      </c>
      <c r="T66" s="245">
        <v>1.1297095601126699</v>
      </c>
      <c r="U66" s="245">
        <v>8.6251862945798785E-2</v>
      </c>
      <c r="V66" s="245">
        <v>8.263981951953811E-2</v>
      </c>
      <c r="W66" s="245">
        <v>1.1017161071666843</v>
      </c>
      <c r="X66" s="245">
        <v>3.9727774034120228E-2</v>
      </c>
      <c r="Y66" s="245">
        <v>0.57547165687174862</v>
      </c>
      <c r="Z66" s="245">
        <v>0.57547165687174862</v>
      </c>
      <c r="AA66" s="247">
        <v>0.15726657130404778</v>
      </c>
    </row>
    <row r="67" spans="1:27" s="233" customFormat="1">
      <c r="A67" s="244" t="s">
        <v>757</v>
      </c>
      <c r="B67" s="122">
        <v>748</v>
      </c>
      <c r="C67" s="245">
        <v>8.5338026565465006E-2</v>
      </c>
      <c r="D67" s="245">
        <v>0.16934513350573324</v>
      </c>
      <c r="E67" s="245">
        <v>3.9065889833080299E-2</v>
      </c>
      <c r="F67" s="245">
        <v>0.20979484449374183</v>
      </c>
      <c r="G67" s="246">
        <v>0.56013966502407275</v>
      </c>
      <c r="H67" s="246">
        <v>0.87519911806776363</v>
      </c>
      <c r="I67" s="245">
        <v>9.4900263468143647E-2</v>
      </c>
      <c r="J67" s="245">
        <v>0.28966941137178137</v>
      </c>
      <c r="K67" s="245">
        <v>6.4354999999999996E-2</v>
      </c>
      <c r="L67" s="245">
        <v>0.47132844724291262</v>
      </c>
      <c r="M67" s="245">
        <v>7.2823262816387013E-2</v>
      </c>
      <c r="N67" s="246">
        <v>0.25417193766136481</v>
      </c>
      <c r="O67" s="246">
        <v>4.0704803621905601</v>
      </c>
      <c r="P67" s="246">
        <v>16.501271688502577</v>
      </c>
      <c r="Q67" s="246">
        <v>21.262656069801153</v>
      </c>
      <c r="R67" s="246">
        <v>0.91823573499989108</v>
      </c>
      <c r="S67" s="246">
        <v>66.290745319241054</v>
      </c>
      <c r="T67" s="245">
        <v>0.19381853732242252</v>
      </c>
      <c r="U67" s="245">
        <v>2.5089112611829594E-2</v>
      </c>
      <c r="V67" s="245">
        <v>2.3190835360523514E-2</v>
      </c>
      <c r="W67" s="245">
        <v>0.13557623813278311</v>
      </c>
      <c r="X67" s="245">
        <v>-2.8154334130633382E-2</v>
      </c>
      <c r="Y67" s="245">
        <v>6.5958463668374101E-3</v>
      </c>
      <c r="Z67" s="245">
        <v>6.5958463668374101E-3</v>
      </c>
      <c r="AA67" s="247">
        <v>0.17582372303902682</v>
      </c>
    </row>
    <row r="68" spans="1:27" s="233" customFormat="1">
      <c r="A68" s="244" t="s">
        <v>758</v>
      </c>
      <c r="B68" s="122">
        <v>326</v>
      </c>
      <c r="C68" s="245">
        <v>6.7453374485596698E-2</v>
      </c>
      <c r="D68" s="245">
        <v>0.11257736658811469</v>
      </c>
      <c r="E68" s="245">
        <v>0.1118567611101358</v>
      </c>
      <c r="F68" s="245">
        <v>0.24549862040910825</v>
      </c>
      <c r="G68" s="246">
        <v>0.90095338579692241</v>
      </c>
      <c r="H68" s="246">
        <v>0.99486811366784356</v>
      </c>
      <c r="I68" s="245">
        <v>0.10257104608610877</v>
      </c>
      <c r="J68" s="245">
        <v>0.31551562219003843</v>
      </c>
      <c r="K68" s="245">
        <v>6.4354999999999996E-2</v>
      </c>
      <c r="L68" s="245">
        <v>0.21268298134588476</v>
      </c>
      <c r="M68" s="245">
        <v>9.0977541070688381E-2</v>
      </c>
      <c r="N68" s="246">
        <v>1.2170497477677569</v>
      </c>
      <c r="O68" s="246">
        <v>2.1605517731648614</v>
      </c>
      <c r="P68" s="246">
        <v>11.793257016689154</v>
      </c>
      <c r="Q68" s="246">
        <v>19.324996402942183</v>
      </c>
      <c r="R68" s="246">
        <v>3.0397868598630824</v>
      </c>
      <c r="S68" s="246">
        <v>65.706363445765007</v>
      </c>
      <c r="T68" s="245">
        <v>0.16351049819930016</v>
      </c>
      <c r="U68" s="245">
        <v>6.2188333287252054E-2</v>
      </c>
      <c r="V68" s="245">
        <v>3.0626786553431942E-2</v>
      </c>
      <c r="W68" s="245">
        <v>0.4828574746721972</v>
      </c>
      <c r="X68" s="245">
        <v>9.452247803676618E-2</v>
      </c>
      <c r="Y68" s="245">
        <v>0.4868889544762211</v>
      </c>
      <c r="Z68" s="245">
        <v>0.48688895447622116</v>
      </c>
      <c r="AA68" s="247">
        <v>0.10633930550184408</v>
      </c>
    </row>
    <row r="69" spans="1:27" s="233" customFormat="1">
      <c r="A69" s="244" t="s">
        <v>759</v>
      </c>
      <c r="B69" s="122">
        <v>34</v>
      </c>
      <c r="C69" s="245">
        <v>8.0257586206896561E-2</v>
      </c>
      <c r="D69" s="245">
        <v>0.10234972842353283</v>
      </c>
      <c r="E69" s="245">
        <v>0.23300411586091974</v>
      </c>
      <c r="F69" s="245">
        <v>0.17106530742952844</v>
      </c>
      <c r="G69" s="246">
        <v>1.0857693512076685</v>
      </c>
      <c r="H69" s="246">
        <v>1.1410235796208721</v>
      </c>
      <c r="I69" s="245">
        <v>0.11193961145369791</v>
      </c>
      <c r="J69" s="245">
        <v>0.23429812694853552</v>
      </c>
      <c r="K69" s="245">
        <v>5.8542999999999998E-2</v>
      </c>
      <c r="L69" s="245">
        <v>0.21538998013834515</v>
      </c>
      <c r="M69" s="245">
        <v>9.7245771829478023E-2</v>
      </c>
      <c r="N69" s="246">
        <v>2.6148396847258599</v>
      </c>
      <c r="O69" s="246">
        <v>0.75713755752094358</v>
      </c>
      <c r="P69" s="246">
        <v>8.5181858887897732</v>
      </c>
      <c r="Q69" s="246">
        <v>7.3798604971670629</v>
      </c>
      <c r="R69" s="246">
        <v>1.3386475086303296</v>
      </c>
      <c r="S69" s="246">
        <v>13.499805347113609</v>
      </c>
      <c r="T69" s="245">
        <v>-0.69732768167972969</v>
      </c>
      <c r="U69" s="245">
        <v>6.7383761889283872E-4</v>
      </c>
      <c r="V69" s="245">
        <v>1.8491228366908426E-2</v>
      </c>
      <c r="W69" s="245">
        <v>0.31393549854645547</v>
      </c>
      <c r="X69" s="245">
        <v>0.18999090330907187</v>
      </c>
      <c r="Y69" s="245">
        <v>0.21042384692812813</v>
      </c>
      <c r="Z69" s="245">
        <v>0.2104238469281281</v>
      </c>
      <c r="AA69" s="247">
        <v>0.10227896161981583</v>
      </c>
    </row>
    <row r="70" spans="1:27" s="233" customFormat="1">
      <c r="A70" s="244" t="s">
        <v>760</v>
      </c>
      <c r="B70" s="122">
        <v>394</v>
      </c>
      <c r="C70" s="245">
        <v>3.6257622377622346E-2</v>
      </c>
      <c r="D70" s="245">
        <v>9.5059010957297199E-2</v>
      </c>
      <c r="E70" s="245">
        <v>0.12877333183735615</v>
      </c>
      <c r="F70" s="245">
        <v>0.19200454245697118</v>
      </c>
      <c r="G70" s="246">
        <v>0.84691209454718896</v>
      </c>
      <c r="H70" s="246">
        <v>0.98015356869100667</v>
      </c>
      <c r="I70" s="245">
        <v>0.10162784375309353</v>
      </c>
      <c r="J70" s="245">
        <v>0.29860207290824442</v>
      </c>
      <c r="K70" s="245">
        <v>6.4354999999999996E-2</v>
      </c>
      <c r="L70" s="245">
        <v>0.21472117827075884</v>
      </c>
      <c r="M70" s="245">
        <v>9.0125760647455352E-2</v>
      </c>
      <c r="N70" s="246">
        <v>1.7170453671868751</v>
      </c>
      <c r="O70" s="246">
        <v>2.6891541496559115</v>
      </c>
      <c r="P70" s="246">
        <v>16.48286806183112</v>
      </c>
      <c r="Q70" s="246">
        <v>29.127158687564172</v>
      </c>
      <c r="R70" s="246">
        <v>9.1911841941799413</v>
      </c>
      <c r="S70" s="246">
        <v>79.594383511185526</v>
      </c>
      <c r="T70" s="245">
        <v>-1.5570926850960395E-2</v>
      </c>
      <c r="U70" s="245">
        <v>4.2112293334399038E-2</v>
      </c>
      <c r="V70" s="245">
        <v>1.6541780294223832E-2</v>
      </c>
      <c r="W70" s="245">
        <v>0.2483825751653094</v>
      </c>
      <c r="X70" s="245">
        <v>0.24646866445962604</v>
      </c>
      <c r="Y70" s="245">
        <v>0.64040252806340192</v>
      </c>
      <c r="Z70" s="245">
        <v>0.64040252806340192</v>
      </c>
      <c r="AA70" s="247">
        <v>8.6895532423177463E-2</v>
      </c>
    </row>
    <row r="71" spans="1:27" s="233" customFormat="1">
      <c r="A71" s="244" t="s">
        <v>761</v>
      </c>
      <c r="B71" s="122">
        <v>204</v>
      </c>
      <c r="C71" s="245">
        <v>7.3979379310344817E-2</v>
      </c>
      <c r="D71" s="245">
        <v>4.5843634003713801E-2</v>
      </c>
      <c r="E71" s="245">
        <v>0.10481182756223011</v>
      </c>
      <c r="F71" s="245">
        <v>0.2275776164708411</v>
      </c>
      <c r="G71" s="246">
        <v>0.71515265230227776</v>
      </c>
      <c r="H71" s="246">
        <v>0.9984182748699072</v>
      </c>
      <c r="I71" s="245">
        <v>0.10279861141916105</v>
      </c>
      <c r="J71" s="245">
        <v>0.32732613175188158</v>
      </c>
      <c r="K71" s="245">
        <v>6.4354999999999996E-2</v>
      </c>
      <c r="L71" s="245">
        <v>0.38448853694962759</v>
      </c>
      <c r="M71" s="245">
        <v>8.1752363529354249E-2</v>
      </c>
      <c r="N71" s="246">
        <v>2.9249830898771991</v>
      </c>
      <c r="O71" s="246">
        <v>0.76304746263985546</v>
      </c>
      <c r="P71" s="246">
        <v>11.188689690797089</v>
      </c>
      <c r="Q71" s="246">
        <v>16.606135028579924</v>
      </c>
      <c r="R71" s="246">
        <v>3.251210132543064</v>
      </c>
      <c r="S71" s="246">
        <v>30.238685744862362</v>
      </c>
      <c r="T71" s="245">
        <v>0.10706378902882009</v>
      </c>
      <c r="U71" s="245">
        <v>1.94756882094714E-2</v>
      </c>
      <c r="V71" s="245">
        <v>1.7281765587046687E-2</v>
      </c>
      <c r="W71" s="245">
        <v>0.82827773689845452</v>
      </c>
      <c r="X71" s="245">
        <v>0.2076925236086363</v>
      </c>
      <c r="Y71" s="245">
        <v>0.26136084734296877</v>
      </c>
      <c r="Z71" s="245">
        <v>0.26136084734296872</v>
      </c>
      <c r="AA71" s="247">
        <v>4.3671243067015246E-2</v>
      </c>
    </row>
    <row r="72" spans="1:27" s="233" customFormat="1">
      <c r="A72" s="244" t="s">
        <v>762</v>
      </c>
      <c r="B72" s="122">
        <v>120</v>
      </c>
      <c r="C72" s="245">
        <v>5.391283950617283E-2</v>
      </c>
      <c r="D72" s="245">
        <v>0.10876679058825126</v>
      </c>
      <c r="E72" s="245">
        <v>0.2434078621058679</v>
      </c>
      <c r="F72" s="245">
        <v>0.24354371791455404</v>
      </c>
      <c r="G72" s="246">
        <v>0.96248561606011518</v>
      </c>
      <c r="H72" s="246">
        <v>1.1069063250264495</v>
      </c>
      <c r="I72" s="245">
        <v>0.10975269543419541</v>
      </c>
      <c r="J72" s="245">
        <v>0.30071356129427335</v>
      </c>
      <c r="K72" s="245">
        <v>6.4354999999999996E-2</v>
      </c>
      <c r="L72" s="245">
        <v>0.18643722278574137</v>
      </c>
      <c r="M72" s="245">
        <v>9.8250939172565388E-2</v>
      </c>
      <c r="N72" s="246">
        <v>2.8306543984716934</v>
      </c>
      <c r="O72" s="246">
        <v>1.8618827532091615</v>
      </c>
      <c r="P72" s="246">
        <v>12.924894242121775</v>
      </c>
      <c r="Q72" s="246">
        <v>17.009576813204827</v>
      </c>
      <c r="R72" s="246">
        <v>19.811084981805248</v>
      </c>
      <c r="S72" s="246">
        <v>33.618358654770915</v>
      </c>
      <c r="T72" s="245">
        <v>8.9745026637499725E-2</v>
      </c>
      <c r="U72" s="245">
        <v>2.635790719826963E-2</v>
      </c>
      <c r="V72" s="245">
        <v>8.4592894467163497E-3</v>
      </c>
      <c r="W72" s="245">
        <v>5.8794934852472613E-2</v>
      </c>
      <c r="X72" s="245">
        <v>0.85228172803753866</v>
      </c>
      <c r="Y72" s="245">
        <v>0.47316731981227755</v>
      </c>
      <c r="Z72" s="245">
        <v>0.47316731981227755</v>
      </c>
      <c r="AA72" s="247">
        <v>0.10736791491467859</v>
      </c>
    </row>
    <row r="73" spans="1:27" s="233" customFormat="1">
      <c r="A73" s="244" t="s">
        <v>763</v>
      </c>
      <c r="B73" s="122">
        <v>1028</v>
      </c>
      <c r="C73" s="245">
        <v>0.10370086657496563</v>
      </c>
      <c r="D73" s="245">
        <v>5.2198984719087675E-2</v>
      </c>
      <c r="E73" s="245">
        <v>8.7295774312562774E-2</v>
      </c>
      <c r="F73" s="245">
        <v>0.22076759899753429</v>
      </c>
      <c r="G73" s="246">
        <v>0.61072958377877129</v>
      </c>
      <c r="H73" s="246">
        <v>0.80245279768180777</v>
      </c>
      <c r="I73" s="245">
        <v>9.0237224331403881E-2</v>
      </c>
      <c r="J73" s="245">
        <v>0.31082069146992614</v>
      </c>
      <c r="K73" s="245">
        <v>6.4354999999999996E-2</v>
      </c>
      <c r="L73" s="245">
        <v>0.36447404135218497</v>
      </c>
      <c r="M73" s="245">
        <v>7.4864835371168378E-2</v>
      </c>
      <c r="N73" s="246">
        <v>1.9850579256746457</v>
      </c>
      <c r="O73" s="246">
        <v>0.83129637184913119</v>
      </c>
      <c r="P73" s="246">
        <v>11.837965793763226</v>
      </c>
      <c r="Q73" s="246">
        <v>15.17094325756824</v>
      </c>
      <c r="R73" s="246">
        <v>1.6896602976560289</v>
      </c>
      <c r="S73" s="246">
        <v>47.963497120770214</v>
      </c>
      <c r="T73" s="245">
        <v>0.15950699645612881</v>
      </c>
      <c r="U73" s="245">
        <v>2.7385728666768458E-2</v>
      </c>
      <c r="V73" s="245">
        <v>2.7856372186036486E-2</v>
      </c>
      <c r="W73" s="245">
        <v>0.7507573636319792</v>
      </c>
      <c r="X73" s="245">
        <v>0.14332500695587758</v>
      </c>
      <c r="Y73" s="245">
        <v>0.36173027740438085</v>
      </c>
      <c r="Z73" s="245">
        <v>0.36173027740438091</v>
      </c>
      <c r="AA73" s="247">
        <v>5.2591315437978028E-2</v>
      </c>
    </row>
    <row r="74" spans="1:27" s="233" customFormat="1">
      <c r="A74" s="244" t="s">
        <v>764</v>
      </c>
      <c r="B74" s="122">
        <v>256</v>
      </c>
      <c r="C74" s="245">
        <v>9.6226153846153736E-3</v>
      </c>
      <c r="D74" s="245">
        <v>4.3542241635271914E-2</v>
      </c>
      <c r="E74" s="245">
        <v>8.3478279708728051E-2</v>
      </c>
      <c r="F74" s="245">
        <v>0.19379422929778309</v>
      </c>
      <c r="G74" s="246">
        <v>0.99306784074250776</v>
      </c>
      <c r="H74" s="246">
        <v>1.0856124994038361</v>
      </c>
      <c r="I74" s="245">
        <v>0.10838776121178589</v>
      </c>
      <c r="J74" s="245">
        <v>0.29728382030674888</v>
      </c>
      <c r="K74" s="245">
        <v>6.4354999999999996E-2</v>
      </c>
      <c r="L74" s="245">
        <v>0.1680989294267965</v>
      </c>
      <c r="M74" s="245">
        <v>9.8246781920433096E-2</v>
      </c>
      <c r="N74" s="246">
        <v>2.1335725223471864</v>
      </c>
      <c r="O74" s="246">
        <v>1.4828729592721801</v>
      </c>
      <c r="P74" s="246">
        <v>15.611727952528405</v>
      </c>
      <c r="Q74" s="246">
        <v>34.184988499351526</v>
      </c>
      <c r="R74" s="246">
        <v>4.7814203126747996</v>
      </c>
      <c r="S74" s="246">
        <v>65.253794901275398</v>
      </c>
      <c r="T74" s="245">
        <v>-1.2451183702950622E-2</v>
      </c>
      <c r="U74" s="245">
        <v>4.7244512276556745E-2</v>
      </c>
      <c r="V74" s="245">
        <v>1.9004521712700662E-2</v>
      </c>
      <c r="W74" s="245">
        <v>0.72588271722709163</v>
      </c>
      <c r="X74" s="245">
        <v>0.15077463621146744</v>
      </c>
      <c r="Y74" s="245">
        <v>0.25887617580414191</v>
      </c>
      <c r="Z74" s="245">
        <v>0.25887617580414191</v>
      </c>
      <c r="AA74" s="247">
        <v>4.5982485680762068E-2</v>
      </c>
    </row>
    <row r="75" spans="1:27" s="233" customFormat="1">
      <c r="A75" s="244" t="s">
        <v>765</v>
      </c>
      <c r="B75" s="122">
        <v>201</v>
      </c>
      <c r="C75" s="245">
        <v>5.3329683544303758E-2</v>
      </c>
      <c r="D75" s="245">
        <v>3.9152682778807651E-2</v>
      </c>
      <c r="E75" s="245">
        <v>0.10888121057037063</v>
      </c>
      <c r="F75" s="245">
        <v>0.23475115944607719</v>
      </c>
      <c r="G75" s="246">
        <v>0.55190516839256432</v>
      </c>
      <c r="H75" s="246">
        <v>0.70568036082683883</v>
      </c>
      <c r="I75" s="245">
        <v>8.4034111129000374E-2</v>
      </c>
      <c r="J75" s="245">
        <v>0.25255189468537265</v>
      </c>
      <c r="K75" s="245">
        <v>6.4354999999999996E-2</v>
      </c>
      <c r="L75" s="245">
        <v>0.33371729426885527</v>
      </c>
      <c r="M75" s="245">
        <v>7.2029032886533645E-2</v>
      </c>
      <c r="N75" s="246">
        <v>3.4246814204206171</v>
      </c>
      <c r="O75" s="246">
        <v>0.6274825802759757</v>
      </c>
      <c r="P75" s="246">
        <v>9.2926197466361646</v>
      </c>
      <c r="Q75" s="246">
        <v>15.8484938548917</v>
      </c>
      <c r="R75" s="246">
        <v>2.5117227966655129</v>
      </c>
      <c r="S75" s="246">
        <v>40.906368724613998</v>
      </c>
      <c r="T75" s="245">
        <v>-3.0261379667246124E-2</v>
      </c>
      <c r="U75" s="245">
        <v>2.9563097141051251E-2</v>
      </c>
      <c r="V75" s="245">
        <v>9.885347371725476E-3</v>
      </c>
      <c r="W75" s="245">
        <v>0.30008433336189916</v>
      </c>
      <c r="X75" s="245">
        <v>0.10054514265836895</v>
      </c>
      <c r="Y75" s="245">
        <v>0.50215049989591976</v>
      </c>
      <c r="Z75" s="245">
        <v>0.50215049989591976</v>
      </c>
      <c r="AA75" s="247">
        <v>3.9591001476449145E-2</v>
      </c>
    </row>
    <row r="76" spans="1:27" s="233" customFormat="1">
      <c r="A76" s="244" t="s">
        <v>871</v>
      </c>
      <c r="B76" s="122">
        <v>123</v>
      </c>
      <c r="C76" s="245">
        <v>5.323048543689321E-2</v>
      </c>
      <c r="D76" s="245">
        <v>0.48374162072210697</v>
      </c>
      <c r="E76" s="245">
        <v>4.496131610719778E-2</v>
      </c>
      <c r="F76" s="245">
        <v>4.4981924599758992E-2</v>
      </c>
      <c r="G76" s="246">
        <v>0.61480470227742534</v>
      </c>
      <c r="H76" s="246">
        <v>0.94720211763714923</v>
      </c>
      <c r="I76" s="245">
        <v>9.9515655740541276E-2</v>
      </c>
      <c r="J76" s="245">
        <v>0.17432124177759648</v>
      </c>
      <c r="K76" s="245">
        <v>5.8542999999999998E-2</v>
      </c>
      <c r="L76" s="245">
        <v>0.43600243609609318</v>
      </c>
      <c r="M76" s="245">
        <v>7.5188575720272904E-2</v>
      </c>
      <c r="N76" s="246">
        <v>9.8238037992712926E-2</v>
      </c>
      <c r="O76" s="246">
        <v>12.063494268116479</v>
      </c>
      <c r="P76" s="246">
        <v>18.13747290703505</v>
      </c>
      <c r="Q76" s="246">
        <v>22.997222452541244</v>
      </c>
      <c r="R76" s="246">
        <v>1.168886234847035</v>
      </c>
      <c r="S76" s="246">
        <v>77.557007629367305</v>
      </c>
      <c r="T76" s="245">
        <v>-7.1442705363018263E-2</v>
      </c>
      <c r="U76" s="245">
        <v>3.4648147310819444E-2</v>
      </c>
      <c r="V76" s="245">
        <v>-3.249446096351747E-2</v>
      </c>
      <c r="W76" s="245">
        <v>-8.5253457323609463E-2</v>
      </c>
      <c r="X76" s="245">
        <v>3.5616724732323919E-2</v>
      </c>
      <c r="Y76" s="245">
        <v>1.6515768649547726</v>
      </c>
      <c r="Z76" s="245">
        <v>1.6515768649547726</v>
      </c>
      <c r="AA76" s="247">
        <v>0.47495564360098547</v>
      </c>
    </row>
    <row r="77" spans="1:27" s="233" customFormat="1">
      <c r="A77" s="244" t="s">
        <v>766</v>
      </c>
      <c r="B77" s="122">
        <v>639</v>
      </c>
      <c r="C77" s="245">
        <v>5.1914952380952423E-2</v>
      </c>
      <c r="D77" s="245">
        <v>5.04221790728843E-2</v>
      </c>
      <c r="E77" s="245">
        <v>0.11756426158826133</v>
      </c>
      <c r="F77" s="245">
        <v>0.25216642740714312</v>
      </c>
      <c r="G77" s="246">
        <v>0.98079672894532766</v>
      </c>
      <c r="H77" s="246">
        <v>1.0906405392648799</v>
      </c>
      <c r="I77" s="245">
        <v>0.10871005856687881</v>
      </c>
      <c r="J77" s="245">
        <v>0.33815801390687678</v>
      </c>
      <c r="K77" s="245">
        <v>6.4354999999999996E-2</v>
      </c>
      <c r="L77" s="245">
        <v>0.21088688811216749</v>
      </c>
      <c r="M77" s="245">
        <v>9.5919822670371899E-2</v>
      </c>
      <c r="N77" s="246">
        <v>2.6894797418402416</v>
      </c>
      <c r="O77" s="246">
        <v>1.124117236951806</v>
      </c>
      <c r="P77" s="246">
        <v>11.71406075761</v>
      </c>
      <c r="Q77" s="246">
        <v>21.065236561544381</v>
      </c>
      <c r="R77" s="246">
        <v>3.575349088959423</v>
      </c>
      <c r="S77" s="246">
        <v>48.403695063803532</v>
      </c>
      <c r="T77" s="245">
        <v>6.1325245781905E-2</v>
      </c>
      <c r="U77" s="245">
        <v>2.2601381462110832E-2</v>
      </c>
      <c r="V77" s="245">
        <v>1.0176207106635218E-2</v>
      </c>
      <c r="W77" s="245">
        <v>0.22248105248757027</v>
      </c>
      <c r="X77" s="245">
        <v>8.2289088114543829E-2</v>
      </c>
      <c r="Y77" s="245">
        <v>0.71101924636845149</v>
      </c>
      <c r="Z77" s="245">
        <v>0.71101924636845149</v>
      </c>
      <c r="AA77" s="247">
        <v>5.1646898824351938E-2</v>
      </c>
    </row>
    <row r="78" spans="1:27" s="233" customFormat="1">
      <c r="A78" s="244" t="s">
        <v>767</v>
      </c>
      <c r="B78" s="122">
        <v>89</v>
      </c>
      <c r="C78" s="245">
        <v>5.1510142857142824E-2</v>
      </c>
      <c r="D78" s="245">
        <v>8.7797443814186651E-2</v>
      </c>
      <c r="E78" s="245">
        <v>8.6701711502713455E-2</v>
      </c>
      <c r="F78" s="245">
        <v>0.22925931428575885</v>
      </c>
      <c r="G78" s="246">
        <v>0.88487723640109039</v>
      </c>
      <c r="H78" s="246">
        <v>1.0447442130882163</v>
      </c>
      <c r="I78" s="245">
        <v>0.10576810405895468</v>
      </c>
      <c r="J78" s="245">
        <v>0.26902119043396677</v>
      </c>
      <c r="K78" s="245">
        <v>6.4354999999999996E-2</v>
      </c>
      <c r="L78" s="245">
        <v>0.29805660736281792</v>
      </c>
      <c r="M78" s="245">
        <v>8.8567915935576891E-2</v>
      </c>
      <c r="N78" s="246">
        <v>1.1842357353944357</v>
      </c>
      <c r="O78" s="246">
        <v>1.0282305738273891</v>
      </c>
      <c r="P78" s="246">
        <v>6.9378826189015301</v>
      </c>
      <c r="Q78" s="246">
        <v>11.448330027422402</v>
      </c>
      <c r="R78" s="246">
        <v>1.2500330822119678</v>
      </c>
      <c r="S78" s="246">
        <v>30.551312070435429</v>
      </c>
      <c r="T78" s="245">
        <v>0.22165245192765948</v>
      </c>
      <c r="U78" s="245">
        <v>6.427069529051857E-2</v>
      </c>
      <c r="V78" s="245">
        <v>4.0742011539558178E-2</v>
      </c>
      <c r="W78" s="245">
        <v>0.70272375987566593</v>
      </c>
      <c r="X78" s="245">
        <v>9.0156624243509564E-2</v>
      </c>
      <c r="Y78" s="245">
        <v>0.36944271507301657</v>
      </c>
      <c r="Z78" s="245">
        <v>0.36944271507301663</v>
      </c>
      <c r="AA78" s="247">
        <v>8.8400563366041268E-2</v>
      </c>
    </row>
    <row r="79" spans="1:27" s="233" customFormat="1">
      <c r="A79" s="244" t="s">
        <v>768</v>
      </c>
      <c r="B79" s="122">
        <v>647</v>
      </c>
      <c r="C79" s="245">
        <v>5.7737299107142814E-2</v>
      </c>
      <c r="D79" s="245">
        <v>0.16322682653942916</v>
      </c>
      <c r="E79" s="245">
        <v>0.11416550216309514</v>
      </c>
      <c r="F79" s="245">
        <v>0.12199186980792059</v>
      </c>
      <c r="G79" s="246">
        <v>1.6672585627718386</v>
      </c>
      <c r="H79" s="246">
        <v>1.6822579862201203</v>
      </c>
      <c r="I79" s="245">
        <v>0.14663273691670972</v>
      </c>
      <c r="J79" s="245">
        <v>0.34381956656749763</v>
      </c>
      <c r="K79" s="245">
        <v>6.4354999999999996E-2</v>
      </c>
      <c r="L79" s="245">
        <v>7.3734405001800757E-2</v>
      </c>
      <c r="M79" s="245">
        <v>0.13936455796336028</v>
      </c>
      <c r="N79" s="246">
        <v>0.73596655025993429</v>
      </c>
      <c r="O79" s="246">
        <v>6.3251190470549714</v>
      </c>
      <c r="P79" s="246">
        <v>20.981056455012983</v>
      </c>
      <c r="Q79" s="246">
        <v>37.448565489297373</v>
      </c>
      <c r="R79" s="246">
        <v>5.0498851727182421</v>
      </c>
      <c r="S79" s="246">
        <v>110.96534074441963</v>
      </c>
      <c r="T79" s="245">
        <v>0.1666210435199012</v>
      </c>
      <c r="U79" s="245">
        <v>0.20552519176488981</v>
      </c>
      <c r="V79" s="245">
        <v>0.11495413779205399</v>
      </c>
      <c r="W79" s="245">
        <v>0.9343515564878393</v>
      </c>
      <c r="X79" s="245">
        <v>0.12679960999111173</v>
      </c>
      <c r="Y79" s="245">
        <v>0.50892416546552466</v>
      </c>
      <c r="Z79" s="245">
        <v>0.50892416546552466</v>
      </c>
      <c r="AA79" s="247">
        <v>0.16739903396879197</v>
      </c>
    </row>
    <row r="80" spans="1:27" s="233" customFormat="1">
      <c r="A80" s="244" t="s">
        <v>769</v>
      </c>
      <c r="B80" s="122">
        <v>367</v>
      </c>
      <c r="C80" s="245">
        <v>8.2306953125000082E-2</v>
      </c>
      <c r="D80" s="245">
        <v>0.21824208267685805</v>
      </c>
      <c r="E80" s="245">
        <v>0.23276660818443079</v>
      </c>
      <c r="F80" s="245">
        <v>0.15580173596694386</v>
      </c>
      <c r="G80" s="246">
        <v>1.9655187566677479</v>
      </c>
      <c r="H80" s="246">
        <v>1.9544533519177909</v>
      </c>
      <c r="I80" s="245">
        <v>0.16408045985793041</v>
      </c>
      <c r="J80" s="245">
        <v>0.33511289572378489</v>
      </c>
      <c r="K80" s="245">
        <v>6.4354999999999996E-2</v>
      </c>
      <c r="L80" s="245">
        <v>5.8023812386351313E-2</v>
      </c>
      <c r="M80" s="245">
        <v>0.15734852868163274</v>
      </c>
      <c r="N80" s="246">
        <v>1.1814497522995548</v>
      </c>
      <c r="O80" s="246">
        <v>5.1436731551086314</v>
      </c>
      <c r="P80" s="246">
        <v>19.317946832775082</v>
      </c>
      <c r="Q80" s="246">
        <v>23.201206714872207</v>
      </c>
      <c r="R80" s="246">
        <v>6.020479517171851</v>
      </c>
      <c r="S80" s="246">
        <v>53.5861384211724</v>
      </c>
      <c r="T80" s="245">
        <v>0.31060313147362573</v>
      </c>
      <c r="U80" s="245">
        <v>0.10522991608042923</v>
      </c>
      <c r="V80" s="245">
        <v>8.2087062132810473E-2</v>
      </c>
      <c r="W80" s="245">
        <v>0.60567211669178123</v>
      </c>
      <c r="X80" s="245">
        <v>0.26290365948670547</v>
      </c>
      <c r="Y80" s="245">
        <v>0.28643463629818056</v>
      </c>
      <c r="Z80" s="245">
        <v>0.28643463629818056</v>
      </c>
      <c r="AA80" s="247">
        <v>0.22432131540380959</v>
      </c>
    </row>
    <row r="81" spans="1:27" s="233" customFormat="1">
      <c r="A81" s="244" t="s">
        <v>770</v>
      </c>
      <c r="B81" s="122">
        <v>348</v>
      </c>
      <c r="C81" s="245">
        <v>8.7350467625899333E-2</v>
      </c>
      <c r="D81" s="245">
        <v>0.17220230906567344</v>
      </c>
      <c r="E81" s="245">
        <v>0.1114541536581069</v>
      </c>
      <c r="F81" s="245">
        <v>0.13252980229125183</v>
      </c>
      <c r="G81" s="246">
        <v>0.86316017623922947</v>
      </c>
      <c r="H81" s="246">
        <v>0.94534794555439849</v>
      </c>
      <c r="I81" s="245">
        <v>9.9396803310036946E-2</v>
      </c>
      <c r="J81" s="245">
        <v>0.29862899830307638</v>
      </c>
      <c r="K81" s="245">
        <v>6.4354999999999996E-2</v>
      </c>
      <c r="L81" s="245">
        <v>0.30865122449384191</v>
      </c>
      <c r="M81" s="245">
        <v>8.3551733023279007E-2</v>
      </c>
      <c r="N81" s="246">
        <v>0.75063573592149446</v>
      </c>
      <c r="O81" s="246">
        <v>1.4812037419285911</v>
      </c>
      <c r="P81" s="246">
        <v>6.1171943683610888</v>
      </c>
      <c r="Q81" s="246">
        <v>8.4464592018993567</v>
      </c>
      <c r="R81" s="246">
        <v>0.9527523070472026</v>
      </c>
      <c r="S81" s="246">
        <v>16.82060502870786</v>
      </c>
      <c r="T81" s="245">
        <v>-4.8828006332956118E-3</v>
      </c>
      <c r="U81" s="245">
        <v>0.10792273114460793</v>
      </c>
      <c r="V81" s="245">
        <v>5.447159926448495E-2</v>
      </c>
      <c r="W81" s="245">
        <v>0.15408897103284014</v>
      </c>
      <c r="X81" s="245">
        <v>0.13643801936112437</v>
      </c>
      <c r="Y81" s="245">
        <v>0.98443637265788042</v>
      </c>
      <c r="Z81" s="245">
        <v>0.98443637265788042</v>
      </c>
      <c r="AA81" s="247">
        <v>0.17202742276129496</v>
      </c>
    </row>
    <row r="82" spans="1:27" s="233" customFormat="1">
      <c r="A82" s="244" t="s">
        <v>771</v>
      </c>
      <c r="B82" s="122">
        <v>85</v>
      </c>
      <c r="C82" s="245">
        <v>-1.5779047619047627E-2</v>
      </c>
      <c r="D82" s="245">
        <v>9.6810510662738339E-2</v>
      </c>
      <c r="E82" s="245">
        <v>0.1568299261062974</v>
      </c>
      <c r="F82" s="245">
        <v>0.18937093682463682</v>
      </c>
      <c r="G82" s="246">
        <v>0.87217985776557838</v>
      </c>
      <c r="H82" s="246">
        <v>0.89970753820860683</v>
      </c>
      <c r="I82" s="245">
        <v>9.64712531991717E-2</v>
      </c>
      <c r="J82" s="245">
        <v>0.31722109009264282</v>
      </c>
      <c r="K82" s="245">
        <v>6.4354999999999996E-2</v>
      </c>
      <c r="L82" s="245">
        <v>0.11004901871848086</v>
      </c>
      <c r="M82" s="245">
        <v>9.1143676845062818E-2</v>
      </c>
      <c r="N82" s="246">
        <v>1.8788356569732299</v>
      </c>
      <c r="O82" s="246">
        <v>2.2689859800308465</v>
      </c>
      <c r="P82" s="246">
        <v>17.311594837188309</v>
      </c>
      <c r="Q82" s="246">
        <v>23.138673472383189</v>
      </c>
      <c r="R82" s="246">
        <v>4.8476262794550502</v>
      </c>
      <c r="S82" s="246">
        <v>37.918236607649753</v>
      </c>
      <c r="T82" s="245">
        <v>0.19999599558905171</v>
      </c>
      <c r="U82" s="245">
        <v>1.5544843240502102E-2</v>
      </c>
      <c r="V82" s="245">
        <v>-4.8392857594613693E-3</v>
      </c>
      <c r="W82" s="245">
        <v>-0.16076892920930611</v>
      </c>
      <c r="X82" s="245">
        <v>0.18728005326541672</v>
      </c>
      <c r="Y82" s="245">
        <v>0.409713367577831</v>
      </c>
      <c r="Z82" s="245">
        <v>0.40971336757783106</v>
      </c>
      <c r="AA82" s="247">
        <v>9.6829008068406927E-2</v>
      </c>
    </row>
    <row r="83" spans="1:27" s="233" customFormat="1">
      <c r="A83" s="244" t="s">
        <v>772</v>
      </c>
      <c r="B83" s="122">
        <v>317</v>
      </c>
      <c r="C83" s="245">
        <v>9.0190864197530848E-2</v>
      </c>
      <c r="D83" s="245">
        <v>0.24397492356226394</v>
      </c>
      <c r="E83" s="245">
        <v>0.15958092016299488</v>
      </c>
      <c r="F83" s="245">
        <v>0.16758546169524055</v>
      </c>
      <c r="G83" s="246">
        <v>1.3553519753448984</v>
      </c>
      <c r="H83" s="246">
        <v>1.3567754111266985</v>
      </c>
      <c r="I83" s="245">
        <v>0.12576930385322138</v>
      </c>
      <c r="J83" s="245">
        <v>0.43820902465030337</v>
      </c>
      <c r="K83" s="245">
        <v>6.4354999999999996E-2</v>
      </c>
      <c r="L83" s="245">
        <v>4.7797711791041753E-2</v>
      </c>
      <c r="M83" s="245">
        <v>0.12205499195264412</v>
      </c>
      <c r="N83" s="246">
        <v>0.7038722223983197</v>
      </c>
      <c r="O83" s="246">
        <v>5.6046230766596787</v>
      </c>
      <c r="P83" s="246">
        <v>17.539469415145653</v>
      </c>
      <c r="Q83" s="246">
        <v>22.713777633858793</v>
      </c>
      <c r="R83" s="246">
        <v>5.1419967098307433</v>
      </c>
      <c r="S83" s="246">
        <v>235.20710735258044</v>
      </c>
      <c r="T83" s="245">
        <v>1.237984909365137E-2</v>
      </c>
      <c r="U83" s="245">
        <v>0.10657483391064425</v>
      </c>
      <c r="V83" s="245">
        <v>6.9392997898686956E-2</v>
      </c>
      <c r="W83" s="245">
        <v>0.40565234355200125</v>
      </c>
      <c r="X83" s="245">
        <v>0.20902108693447333</v>
      </c>
      <c r="Y83" s="245">
        <v>2.7408126710641995E-2</v>
      </c>
      <c r="Z83" s="245">
        <v>2.7408126710641967E-2</v>
      </c>
      <c r="AA83" s="247">
        <v>0.2539681337781789</v>
      </c>
    </row>
    <row r="84" spans="1:27" s="233" customFormat="1">
      <c r="A84" s="244" t="s">
        <v>773</v>
      </c>
      <c r="B84" s="122">
        <v>151</v>
      </c>
      <c r="C84" s="245">
        <v>0.12337151515151509</v>
      </c>
      <c r="D84" s="245">
        <v>-7.9294626938409478E-4</v>
      </c>
      <c r="E84" s="245">
        <v>1.3073769344178877E-2</v>
      </c>
      <c r="F84" s="245">
        <v>0.19524857352132749</v>
      </c>
      <c r="G84" s="246">
        <v>1.2987745259934127</v>
      </c>
      <c r="H84" s="246">
        <v>1.3617461374106075</v>
      </c>
      <c r="I84" s="245">
        <v>0.12608792740801994</v>
      </c>
      <c r="J84" s="245">
        <v>0.4698226412977678</v>
      </c>
      <c r="K84" s="245">
        <v>6.4354999999999996E-2</v>
      </c>
      <c r="L84" s="245">
        <v>9.975444577952966E-2</v>
      </c>
      <c r="M84" s="245">
        <v>0.11830432607700352</v>
      </c>
      <c r="N84" s="246">
        <v>0.87876345257354582</v>
      </c>
      <c r="O84" s="246">
        <v>6.014836641489655</v>
      </c>
      <c r="P84" s="246">
        <v>20.437795067593832</v>
      </c>
      <c r="Q84" s="246" t="s">
        <v>96</v>
      </c>
      <c r="R84" s="246">
        <v>7.9662272263700649</v>
      </c>
      <c r="S84" s="246">
        <v>62.967863533904847</v>
      </c>
      <c r="T84" s="245">
        <v>5.2075579926891671E-2</v>
      </c>
      <c r="U84" s="245">
        <v>5.952822499084804E-2</v>
      </c>
      <c r="V84" s="245">
        <v>3.3495177178797853E-2</v>
      </c>
      <c r="W84" s="245" t="s">
        <v>96</v>
      </c>
      <c r="X84" s="245">
        <v>-0.1000445714406943</v>
      </c>
      <c r="Y84" s="245">
        <v>3.7426538106636142E-3</v>
      </c>
      <c r="Z84" s="245">
        <v>3.742653810663632E-3</v>
      </c>
      <c r="AA84" s="247">
        <v>1.4866689098504717E-2</v>
      </c>
    </row>
    <row r="85" spans="1:27" s="233" customFormat="1">
      <c r="A85" s="244" t="s">
        <v>774</v>
      </c>
      <c r="B85" s="122">
        <v>1616</v>
      </c>
      <c r="C85" s="245">
        <v>0.14317631639722875</v>
      </c>
      <c r="D85" s="245">
        <v>0.20245159521759304</v>
      </c>
      <c r="E85" s="245">
        <v>0.18335837660819065</v>
      </c>
      <c r="F85" s="245">
        <v>0.18835127456152267</v>
      </c>
      <c r="G85" s="246">
        <v>1.2856288444138277</v>
      </c>
      <c r="H85" s="246">
        <v>1.2989897339228438</v>
      </c>
      <c r="I85" s="245">
        <v>0.1220652419444543</v>
      </c>
      <c r="J85" s="245">
        <v>0.43591421376196465</v>
      </c>
      <c r="K85" s="245">
        <v>6.4354999999999996E-2</v>
      </c>
      <c r="L85" s="245">
        <v>5.8498553215884729E-2</v>
      </c>
      <c r="M85" s="245">
        <v>0.11773606072885792</v>
      </c>
      <c r="N85" s="246">
        <v>0.93431463114526914</v>
      </c>
      <c r="O85" s="246">
        <v>9.2021360326786272</v>
      </c>
      <c r="P85" s="246">
        <v>28.477414772492683</v>
      </c>
      <c r="Q85" s="246">
        <v>41.069427617896672</v>
      </c>
      <c r="R85" s="246">
        <v>9.1521655273789015</v>
      </c>
      <c r="S85" s="246">
        <v>96.429558616104799</v>
      </c>
      <c r="T85" s="245">
        <v>0.13353321179634448</v>
      </c>
      <c r="U85" s="245">
        <v>7.2338647326731509E-2</v>
      </c>
      <c r="V85" s="245">
        <v>5.8858352723089355E-2</v>
      </c>
      <c r="W85" s="245">
        <v>0.47630101656615403</v>
      </c>
      <c r="X85" s="245">
        <v>0.16957095297200744</v>
      </c>
      <c r="Y85" s="245">
        <v>0.32891322539673207</v>
      </c>
      <c r="Z85" s="245">
        <v>0.32891322539673207</v>
      </c>
      <c r="AA85" s="247">
        <v>0.2128494752540537</v>
      </c>
    </row>
    <row r="86" spans="1:27" s="233" customFormat="1">
      <c r="A86" s="244" t="s">
        <v>775</v>
      </c>
      <c r="B86" s="122">
        <v>718</v>
      </c>
      <c r="C86" s="245">
        <v>8.9877693761814953E-2</v>
      </c>
      <c r="D86" s="245">
        <v>7.1882709961167288E-2</v>
      </c>
      <c r="E86" s="245">
        <v>9.0490646917452996E-2</v>
      </c>
      <c r="F86" s="245">
        <v>0.20410892423422414</v>
      </c>
      <c r="G86" s="246">
        <v>1.0067866757688511</v>
      </c>
      <c r="H86" s="246">
        <v>1.1651510574107107</v>
      </c>
      <c r="I86" s="245">
        <v>0.11348618278002656</v>
      </c>
      <c r="J86" s="245">
        <v>0.32684206346899725</v>
      </c>
      <c r="K86" s="245">
        <v>6.4354999999999996E-2</v>
      </c>
      <c r="L86" s="245">
        <v>0.29282307986344297</v>
      </c>
      <c r="M86" s="245">
        <v>9.43279783811177E-2</v>
      </c>
      <c r="N86" s="246">
        <v>1.4569431690097066</v>
      </c>
      <c r="O86" s="246">
        <v>0.82345152227004692</v>
      </c>
      <c r="P86" s="246">
        <v>6.8965107139084347</v>
      </c>
      <c r="Q86" s="246">
        <v>10.902342900094528</v>
      </c>
      <c r="R86" s="246">
        <v>1.1441036709966868</v>
      </c>
      <c r="S86" s="246">
        <v>42.976377741324214</v>
      </c>
      <c r="T86" s="245">
        <v>0.14636397364702697</v>
      </c>
      <c r="U86" s="245">
        <v>6.0461241690778517E-2</v>
      </c>
      <c r="V86" s="245">
        <v>3.8355539277544926E-2</v>
      </c>
      <c r="W86" s="245">
        <v>0.53656824682116389</v>
      </c>
      <c r="X86" s="245">
        <v>1.0149487153178546E-4</v>
      </c>
      <c r="Y86" s="245">
        <v>0.50757038626113782</v>
      </c>
      <c r="Z86" s="245">
        <v>0.50757038626113782</v>
      </c>
      <c r="AA86" s="247">
        <v>7.2216297686501646E-2</v>
      </c>
    </row>
    <row r="87" spans="1:27" s="233" customFormat="1">
      <c r="A87" s="244" t="s">
        <v>776</v>
      </c>
      <c r="B87" s="122">
        <v>98</v>
      </c>
      <c r="C87" s="245">
        <v>5.8909873417721491E-2</v>
      </c>
      <c r="D87" s="245">
        <v>0.14601324969098126</v>
      </c>
      <c r="E87" s="245">
        <v>8.3083945264971218E-2</v>
      </c>
      <c r="F87" s="245">
        <v>0.22352795591870572</v>
      </c>
      <c r="G87" s="246">
        <v>0.65306669844642107</v>
      </c>
      <c r="H87" s="246">
        <v>0.89702716273321637</v>
      </c>
      <c r="I87" s="245">
        <v>9.6299441131199176E-2</v>
      </c>
      <c r="J87" s="245">
        <v>0.29268715180378874</v>
      </c>
      <c r="K87" s="245">
        <v>6.4354999999999996E-2</v>
      </c>
      <c r="L87" s="245">
        <v>0.40042659317895096</v>
      </c>
      <c r="M87" s="245">
        <v>7.6983211796126785E-2</v>
      </c>
      <c r="N87" s="246">
        <v>0.70559134798484291</v>
      </c>
      <c r="O87" s="246">
        <v>2.2521573000348893</v>
      </c>
      <c r="P87" s="246">
        <v>7.3658215226325741</v>
      </c>
      <c r="Q87" s="246">
        <v>15.636398623682114</v>
      </c>
      <c r="R87" s="246">
        <v>1.5396711794028612</v>
      </c>
      <c r="S87" s="246">
        <v>33.140192317051493</v>
      </c>
      <c r="T87" s="245">
        <v>-0.13702130661688386</v>
      </c>
      <c r="U87" s="245">
        <v>0.15233253139594796</v>
      </c>
      <c r="V87" s="245">
        <v>1.5600504167240693E-2</v>
      </c>
      <c r="W87" s="245">
        <v>0.30505836377849743</v>
      </c>
      <c r="X87" s="245">
        <v>8.1817965354738606E-2</v>
      </c>
      <c r="Y87" s="245">
        <v>0.73581410704959538</v>
      </c>
      <c r="Z87" s="245">
        <v>0.73581410704959538</v>
      </c>
      <c r="AA87" s="247">
        <v>0.14327448180824279</v>
      </c>
    </row>
    <row r="88" spans="1:27" s="233" customFormat="1">
      <c r="A88" s="244" t="s">
        <v>777</v>
      </c>
      <c r="B88" s="122">
        <v>453</v>
      </c>
      <c r="C88" s="245">
        <v>4.597224324324331E-2</v>
      </c>
      <c r="D88" s="245">
        <v>0.10996963575683866</v>
      </c>
      <c r="E88" s="245">
        <v>0.13621198637699075</v>
      </c>
      <c r="F88" s="245">
        <v>0.14782676227475378</v>
      </c>
      <c r="G88" s="246">
        <v>1.1744668677688679</v>
      </c>
      <c r="H88" s="246">
        <v>1.1857162349929411</v>
      </c>
      <c r="I88" s="245">
        <v>0.11480441066304753</v>
      </c>
      <c r="J88" s="245">
        <v>0.36121152315507654</v>
      </c>
      <c r="K88" s="245">
        <v>6.4354999999999996E-2</v>
      </c>
      <c r="L88" s="245">
        <v>0.1142283270036728</v>
      </c>
      <c r="M88" s="245">
        <v>0.10718034416385619</v>
      </c>
      <c r="N88" s="246">
        <v>1.2621053433181888</v>
      </c>
      <c r="O88" s="246">
        <v>2.3180551802022662</v>
      </c>
      <c r="P88" s="246">
        <v>14.280877316972687</v>
      </c>
      <c r="Q88" s="246">
        <v>19.412425519408654</v>
      </c>
      <c r="R88" s="246">
        <v>3.4564201757538755</v>
      </c>
      <c r="S88" s="246">
        <v>120.31624232759637</v>
      </c>
      <c r="T88" s="245">
        <v>0.2467526994732748</v>
      </c>
      <c r="U88" s="245">
        <v>3.1587752026217802E-2</v>
      </c>
      <c r="V88" s="245">
        <v>2.5610341352148045E-2</v>
      </c>
      <c r="W88" s="245">
        <v>0.53624243524757387</v>
      </c>
      <c r="X88" s="245">
        <v>0.12935477470221635</v>
      </c>
      <c r="Y88" s="245">
        <v>0.53281684273348318</v>
      </c>
      <c r="Z88" s="245">
        <v>0.53281684273348318</v>
      </c>
      <c r="AA88" s="247">
        <v>0.11666475116522709</v>
      </c>
    </row>
    <row r="89" spans="1:27" s="233" customFormat="1">
      <c r="A89" s="244" t="s">
        <v>778</v>
      </c>
      <c r="B89" s="122">
        <v>288</v>
      </c>
      <c r="C89" s="245">
        <v>8.3990325581395367E-2</v>
      </c>
      <c r="D89" s="245">
        <v>0.15465250724642493</v>
      </c>
      <c r="E89" s="245">
        <v>9.502129852429432E-2</v>
      </c>
      <c r="F89" s="245">
        <v>0.21847468285036431</v>
      </c>
      <c r="G89" s="246">
        <v>0.54380765893084926</v>
      </c>
      <c r="H89" s="246">
        <v>0.84937394426990198</v>
      </c>
      <c r="I89" s="245">
        <v>9.3244869827700722E-2</v>
      </c>
      <c r="J89" s="245">
        <v>0.30131886139364733</v>
      </c>
      <c r="K89" s="245">
        <v>6.4354999999999996E-2</v>
      </c>
      <c r="L89" s="245">
        <v>0.45672240461702718</v>
      </c>
      <c r="M89" s="245">
        <v>7.2608070838520944E-2</v>
      </c>
      <c r="N89" s="246">
        <v>0.70336611562835483</v>
      </c>
      <c r="O89" s="246">
        <v>2.1627790318150595</v>
      </c>
      <c r="P89" s="246">
        <v>6.8782617323965107</v>
      </c>
      <c r="Q89" s="246">
        <v>13.87123121304074</v>
      </c>
      <c r="R89" s="246">
        <v>1.3805704498802143</v>
      </c>
      <c r="S89" s="246">
        <v>41.987956622506964</v>
      </c>
      <c r="T89" s="245">
        <v>-2.2673400403473124E-3</v>
      </c>
      <c r="U89" s="245">
        <v>0.14743047766451223</v>
      </c>
      <c r="V89" s="245">
        <v>-1.4085192899059247E-2</v>
      </c>
      <c r="W89" s="245">
        <v>-3.2843039502150062E-2</v>
      </c>
      <c r="X89" s="245">
        <v>7.7965825034148964E-2</v>
      </c>
      <c r="Y89" s="245">
        <v>0.89726292934699314</v>
      </c>
      <c r="Z89" s="245">
        <v>0.89726292934699314</v>
      </c>
      <c r="AA89" s="247">
        <v>0.15572276593304948</v>
      </c>
    </row>
    <row r="90" spans="1:27" s="233" customFormat="1">
      <c r="A90" s="244" t="s">
        <v>779</v>
      </c>
      <c r="B90" s="122">
        <v>56</v>
      </c>
      <c r="C90" s="245">
        <v>0.17277631578947372</v>
      </c>
      <c r="D90" s="245">
        <v>0.33764511168785449</v>
      </c>
      <c r="E90" s="245">
        <v>0.23171724996207485</v>
      </c>
      <c r="F90" s="245">
        <v>0.22440219224658214</v>
      </c>
      <c r="G90" s="246">
        <v>0.55335166411883363</v>
      </c>
      <c r="H90" s="246">
        <v>0.66681534728718983</v>
      </c>
      <c r="I90" s="245">
        <v>8.1542863761108864E-2</v>
      </c>
      <c r="J90" s="245">
        <v>0.31215895747055444</v>
      </c>
      <c r="K90" s="245">
        <v>6.4354999999999996E-2</v>
      </c>
      <c r="L90" s="245">
        <v>0.2486214464550604</v>
      </c>
      <c r="M90" s="245">
        <v>7.3218383808498447E-2</v>
      </c>
      <c r="N90" s="246">
        <v>0.82776359486461115</v>
      </c>
      <c r="O90" s="246">
        <v>3.4660578760708209</v>
      </c>
      <c r="P90" s="246">
        <v>9.3346134735871544</v>
      </c>
      <c r="Q90" s="246">
        <v>10.234059067347866</v>
      </c>
      <c r="R90" s="246">
        <v>3.165594026107247</v>
      </c>
      <c r="S90" s="246">
        <v>32.34526176009394</v>
      </c>
      <c r="T90" s="245">
        <v>0.16055763294660808</v>
      </c>
      <c r="U90" s="245">
        <v>2.7943882680795992E-2</v>
      </c>
      <c r="V90" s="245">
        <v>0.12228402836106581</v>
      </c>
      <c r="W90" s="245">
        <v>0.547914256652139</v>
      </c>
      <c r="X90" s="245">
        <v>0.28431447473661764</v>
      </c>
      <c r="Y90" s="245">
        <v>0.71673295556635797</v>
      </c>
      <c r="Z90" s="245">
        <v>0.71673295556635797</v>
      </c>
      <c r="AA90" s="247">
        <v>0.3388030614931572</v>
      </c>
    </row>
    <row r="91" spans="1:27" s="233" customFormat="1">
      <c r="A91" s="244" t="s">
        <v>780</v>
      </c>
      <c r="B91" s="122">
        <v>814</v>
      </c>
      <c r="C91" s="245">
        <v>6.8819829867674889E-2</v>
      </c>
      <c r="D91" s="245">
        <v>8.1729681142174035E-2</v>
      </c>
      <c r="E91" s="245">
        <v>0.11094138504346908</v>
      </c>
      <c r="F91" s="245">
        <v>0.2321761753893829</v>
      </c>
      <c r="G91" s="246">
        <v>0.83459832372009224</v>
      </c>
      <c r="H91" s="246">
        <v>0.96150401715756062</v>
      </c>
      <c r="I91" s="245">
        <v>0.10043240749979965</v>
      </c>
      <c r="J91" s="245">
        <v>0.33828754622915935</v>
      </c>
      <c r="K91" s="245">
        <v>6.4354999999999996E-2</v>
      </c>
      <c r="L91" s="245">
        <v>0.23398055283779895</v>
      </c>
      <c r="M91" s="245">
        <v>8.8178356109443634E-2</v>
      </c>
      <c r="N91" s="246">
        <v>1.5702161122553679</v>
      </c>
      <c r="O91" s="246">
        <v>1.7510056071966937</v>
      </c>
      <c r="P91" s="246">
        <v>13.095157810929388</v>
      </c>
      <c r="Q91" s="246">
        <v>20.73464754699225</v>
      </c>
      <c r="R91" s="246">
        <v>2.9795085225017091</v>
      </c>
      <c r="S91" s="246">
        <v>67.818917178040763</v>
      </c>
      <c r="T91" s="245">
        <v>4.1684770419250901E-2</v>
      </c>
      <c r="U91" s="245">
        <v>4.7915082111758524E-2</v>
      </c>
      <c r="V91" s="245">
        <v>1.7927106258437311E-2</v>
      </c>
      <c r="W91" s="245">
        <v>0.26742535673629758</v>
      </c>
      <c r="X91" s="245">
        <v>0.13669978808037947</v>
      </c>
      <c r="Y91" s="245">
        <v>0.70694546110190781</v>
      </c>
      <c r="Z91" s="245">
        <v>0.70694546110190781</v>
      </c>
      <c r="AA91" s="247">
        <v>8.2544146577357064E-2</v>
      </c>
    </row>
    <row r="92" spans="1:27" s="233" customFormat="1">
      <c r="A92" s="244" t="s">
        <v>781</v>
      </c>
      <c r="B92" s="122">
        <v>49</v>
      </c>
      <c r="C92" s="245">
        <v>-3.0885714285714284E-3</v>
      </c>
      <c r="D92" s="245">
        <v>0.21498144726244756</v>
      </c>
      <c r="E92" s="245">
        <v>6.9119560768903215E-2</v>
      </c>
      <c r="F92" s="245">
        <v>0.24505070391318398</v>
      </c>
      <c r="G92" s="246">
        <v>0.49774817486891276</v>
      </c>
      <c r="H92" s="246">
        <v>0.62873301396022774</v>
      </c>
      <c r="I92" s="245">
        <v>7.9101786194850601E-2</v>
      </c>
      <c r="J92" s="245">
        <v>0.19255174201825431</v>
      </c>
      <c r="K92" s="245">
        <v>5.8542999999999998E-2</v>
      </c>
      <c r="L92" s="245">
        <v>0.29637583863669564</v>
      </c>
      <c r="M92" s="245">
        <v>6.8615453676364027E-2</v>
      </c>
      <c r="N92" s="246">
        <v>0.41782902810812145</v>
      </c>
      <c r="O92" s="246">
        <v>4.3308076668859918</v>
      </c>
      <c r="P92" s="246">
        <v>13.312399536973738</v>
      </c>
      <c r="Q92" s="246">
        <v>19.991498075481349</v>
      </c>
      <c r="R92" s="246">
        <v>2.3646194357101571</v>
      </c>
      <c r="S92" s="246">
        <v>54.741203880677759</v>
      </c>
      <c r="T92" s="245">
        <v>5.7506948181917567E-2</v>
      </c>
      <c r="U92" s="245">
        <v>0.15777752692235825</v>
      </c>
      <c r="V92" s="245">
        <v>9.3695085422431948E-2</v>
      </c>
      <c r="W92" s="245">
        <v>0.59998074725489892</v>
      </c>
      <c r="X92" s="245">
        <v>0.11847480095542907</v>
      </c>
      <c r="Y92" s="245">
        <v>0.40046902958975961</v>
      </c>
      <c r="Z92" s="245">
        <v>0.40046902958975961</v>
      </c>
      <c r="AA92" s="247">
        <v>0.21543368123934645</v>
      </c>
    </row>
    <row r="93" spans="1:27" s="233" customFormat="1">
      <c r="A93" s="244" t="s">
        <v>782</v>
      </c>
      <c r="B93" s="122">
        <v>106</v>
      </c>
      <c r="C93" s="245">
        <v>3.0212820512820499E-2</v>
      </c>
      <c r="D93" s="245">
        <v>8.6002602084205251E-2</v>
      </c>
      <c r="E93" s="245">
        <v>0.11601095133243049</v>
      </c>
      <c r="F93" s="245">
        <v>0.25768128155429043</v>
      </c>
      <c r="G93" s="246">
        <v>0.86855446130273672</v>
      </c>
      <c r="H93" s="246">
        <v>1.014247113846068</v>
      </c>
      <c r="I93" s="245">
        <v>0.10381323999753296</v>
      </c>
      <c r="J93" s="245">
        <v>0.29115150502982234</v>
      </c>
      <c r="K93" s="245">
        <v>6.4354999999999996E-2</v>
      </c>
      <c r="L93" s="245">
        <v>0.2228508736235762</v>
      </c>
      <c r="M93" s="245">
        <v>9.1388651731912157E-2</v>
      </c>
      <c r="N93" s="246">
        <v>1.6608901785159869</v>
      </c>
      <c r="O93" s="246">
        <v>1.5858226133716171</v>
      </c>
      <c r="P93" s="246">
        <v>9.9759117010960452</v>
      </c>
      <c r="Q93" s="246">
        <v>17.984157510576409</v>
      </c>
      <c r="R93" s="246">
        <v>2.8560845316782566</v>
      </c>
      <c r="S93" s="246">
        <v>27.978465612651178</v>
      </c>
      <c r="T93" s="245">
        <v>6.887580582714127E-2</v>
      </c>
      <c r="U93" s="245">
        <v>0.11440306207150297</v>
      </c>
      <c r="V93" s="245">
        <v>7.0906288771700826E-2</v>
      </c>
      <c r="W93" s="245">
        <v>1.0534268769842428</v>
      </c>
      <c r="X93" s="245">
        <v>0.12020693727190154</v>
      </c>
      <c r="Y93" s="245">
        <v>0.20666338943773319</v>
      </c>
      <c r="Z93" s="245">
        <v>0.20666338943773321</v>
      </c>
      <c r="AA93" s="247">
        <v>8.7568536221324531E-2</v>
      </c>
    </row>
    <row r="94" spans="1:27" s="233" customFormat="1">
      <c r="A94" s="244" t="s">
        <v>783</v>
      </c>
      <c r="B94" s="122">
        <v>50</v>
      </c>
      <c r="C94" s="245">
        <v>7.822044444444444E-2</v>
      </c>
      <c r="D94" s="245">
        <v>0.12264771308987717</v>
      </c>
      <c r="E94" s="245">
        <v>8.3203294891983776E-2</v>
      </c>
      <c r="F94" s="245">
        <v>0.20200998795914907</v>
      </c>
      <c r="G94" s="246">
        <v>0.450628600024159</v>
      </c>
      <c r="H94" s="246">
        <v>0.68332120062878321</v>
      </c>
      <c r="I94" s="245">
        <v>8.2600888960305013E-2</v>
      </c>
      <c r="J94" s="245">
        <v>0.18493219542658187</v>
      </c>
      <c r="K94" s="245">
        <v>5.8542999999999998E-2</v>
      </c>
      <c r="L94" s="245">
        <v>0.44487456960580835</v>
      </c>
      <c r="M94" s="245">
        <v>6.5303731247185803E-2</v>
      </c>
      <c r="N94" s="246">
        <v>0.81265791645656826</v>
      </c>
      <c r="O94" s="246">
        <v>1.8774889614873247</v>
      </c>
      <c r="P94" s="246">
        <v>9.8576400464813911</v>
      </c>
      <c r="Q94" s="246">
        <v>15.288914408255289</v>
      </c>
      <c r="R94" s="246">
        <v>1.6154897142974749</v>
      </c>
      <c r="S94" s="246">
        <v>20.35742084554553</v>
      </c>
      <c r="T94" s="245">
        <v>-5.9726752264008982E-3</v>
      </c>
      <c r="U94" s="245">
        <v>0.14206470240344751</v>
      </c>
      <c r="V94" s="245">
        <v>7.7470213531287552E-2</v>
      </c>
      <c r="W94" s="245">
        <v>0.78421627401339178</v>
      </c>
      <c r="X94" s="245">
        <v>0.10614481878166143</v>
      </c>
      <c r="Y94" s="245">
        <v>0.66703361608745293</v>
      </c>
      <c r="Z94" s="245">
        <v>0.66703361608745293</v>
      </c>
      <c r="AA94" s="247">
        <v>0.12236645400729412</v>
      </c>
    </row>
    <row r="95" spans="1:27" s="233" customFormat="1">
      <c r="A95" s="244" t="s">
        <v>784</v>
      </c>
      <c r="B95" s="122">
        <v>102</v>
      </c>
      <c r="C95" s="245">
        <v>6.4320126582278495E-2</v>
      </c>
      <c r="D95" s="245">
        <v>0.23268694623750139</v>
      </c>
      <c r="E95" s="245">
        <v>6.2337784350112529E-2</v>
      </c>
      <c r="F95" s="245">
        <v>0.19785675095563685</v>
      </c>
      <c r="G95" s="246">
        <v>0.42747496428667964</v>
      </c>
      <c r="H95" s="246">
        <v>0.67007062372170145</v>
      </c>
      <c r="I95" s="245">
        <v>8.1751526980561068E-2</v>
      </c>
      <c r="J95" s="245">
        <v>0.2363824550771299</v>
      </c>
      <c r="K95" s="245">
        <v>5.8542999999999998E-2</v>
      </c>
      <c r="L95" s="245">
        <v>0.46441396893036424</v>
      </c>
      <c r="M95" s="245">
        <v>6.4089113908372797E-2</v>
      </c>
      <c r="N95" s="246">
        <v>0.31191832028707545</v>
      </c>
      <c r="O95" s="246">
        <v>4.586730603072259</v>
      </c>
      <c r="P95" s="246">
        <v>12.671747297577292</v>
      </c>
      <c r="Q95" s="246">
        <v>19.574007838517673</v>
      </c>
      <c r="R95" s="246">
        <v>1.4758103846880883</v>
      </c>
      <c r="S95" s="246">
        <v>26.689561208834522</v>
      </c>
      <c r="T95" s="245">
        <v>7.3514917165189764E-2</v>
      </c>
      <c r="U95" s="245">
        <v>0.22672810101363378</v>
      </c>
      <c r="V95" s="245">
        <v>0.11572837757579656</v>
      </c>
      <c r="W95" s="245">
        <v>0.96245008986535185</v>
      </c>
      <c r="X95" s="245">
        <v>8.6431791752134852E-3</v>
      </c>
      <c r="Y95" s="245">
        <v>0.83290989604815646</v>
      </c>
      <c r="Z95" s="245">
        <v>0.46710436060400684</v>
      </c>
      <c r="AA95" s="247">
        <v>0.23254289553331942</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B3" sqref="B3"/>
    </sheetView>
  </sheetViews>
  <sheetFormatPr baseColWidth="10" defaultRowHeight="13"/>
  <cols>
    <col min="1" max="1" width="34" bestFit="1" customWidth="1"/>
    <col min="2" max="2" width="16" style="154" customWidth="1"/>
    <col min="3" max="3" width="19.83203125" style="154" bestFit="1" customWidth="1"/>
    <col min="4" max="4" width="22.1640625" style="154" bestFit="1" customWidth="1"/>
    <col min="5" max="5" width="14.1640625" bestFit="1" customWidth="1"/>
  </cols>
  <sheetData>
    <row r="1" spans="1:5">
      <c r="B1" s="136" t="s">
        <v>392</v>
      </c>
      <c r="C1" s="136" t="s">
        <v>424</v>
      </c>
      <c r="D1" s="136" t="s">
        <v>425</v>
      </c>
      <c r="E1" s="136" t="s">
        <v>393</v>
      </c>
    </row>
    <row r="2" spans="1:5" ht="14">
      <c r="A2" s="53" t="s">
        <v>11</v>
      </c>
      <c r="B2" s="173">
        <v>15794.34</v>
      </c>
      <c r="C2" s="173">
        <v>7608.13</v>
      </c>
      <c r="D2" s="173">
        <v>9444.11</v>
      </c>
      <c r="E2" s="174">
        <f>B2-C2+D2</f>
        <v>17630.32</v>
      </c>
    </row>
    <row r="3" spans="1:5" ht="14">
      <c r="A3" s="53" t="s">
        <v>625</v>
      </c>
      <c r="B3" s="173">
        <v>1221.81</v>
      </c>
      <c r="C3" s="173">
        <v>581.41</v>
      </c>
      <c r="D3" s="173">
        <v>756</v>
      </c>
      <c r="E3" s="174">
        <f>B3-C3+D3</f>
        <v>1396.4</v>
      </c>
    </row>
    <row r="4" spans="1:5" ht="14">
      <c r="A4" s="53" t="s">
        <v>27</v>
      </c>
      <c r="B4" s="173">
        <v>1605.23</v>
      </c>
      <c r="C4" s="173">
        <v>908.79</v>
      </c>
      <c r="D4" s="173">
        <v>1165.5</v>
      </c>
      <c r="E4" s="174">
        <f>B4-C4+D4</f>
        <v>1861.94</v>
      </c>
    </row>
    <row r="5" spans="1:5" ht="14">
      <c r="A5" s="53" t="s">
        <v>436</v>
      </c>
      <c r="B5" s="173">
        <v>420.49</v>
      </c>
      <c r="C5" s="173">
        <v>182.82</v>
      </c>
      <c r="D5" s="173">
        <v>287.56</v>
      </c>
      <c r="E5" s="174">
        <f>B5-C5+D5</f>
        <v>525.23</v>
      </c>
    </row>
    <row r="6" spans="1:5" ht="14">
      <c r="A6" s="53" t="s">
        <v>28</v>
      </c>
      <c r="B6" s="173">
        <v>5238.7700000000004</v>
      </c>
      <c r="C6" s="173"/>
      <c r="D6" s="173">
        <v>6105.55</v>
      </c>
      <c r="E6" s="174"/>
    </row>
    <row r="7" spans="1:5" ht="14">
      <c r="A7" s="53" t="s">
        <v>29</v>
      </c>
      <c r="B7" s="173">
        <v>10360</v>
      </c>
      <c r="C7" s="173"/>
      <c r="D7" s="173">
        <v>12594.14</v>
      </c>
      <c r="E7" s="174"/>
    </row>
    <row r="8" spans="1:5" ht="14">
      <c r="A8" s="53" t="s">
        <v>242</v>
      </c>
      <c r="B8" s="173"/>
      <c r="C8" s="173"/>
      <c r="D8" s="173"/>
      <c r="E8" s="174"/>
    </row>
    <row r="9" spans="1:5" ht="14">
      <c r="A9" s="53" t="s">
        <v>243</v>
      </c>
      <c r="B9" s="173">
        <v>3794.48</v>
      </c>
      <c r="C9" s="173"/>
      <c r="D9" s="173">
        <v>5004.25</v>
      </c>
      <c r="E9" s="174"/>
    </row>
    <row r="10" spans="1:5" ht="14">
      <c r="A10" s="53" t="s">
        <v>384</v>
      </c>
      <c r="B10" s="173">
        <v>0</v>
      </c>
      <c r="C10" s="173"/>
      <c r="D10" s="173">
        <v>0</v>
      </c>
      <c r="E10" s="174"/>
    </row>
    <row r="11" spans="1:5" ht="14">
      <c r="A11" s="53" t="s">
        <v>388</v>
      </c>
      <c r="B11" s="173">
        <v>0</v>
      </c>
      <c r="C11" s="173"/>
      <c r="D11" s="173">
        <v>0</v>
      </c>
      <c r="E11" s="174"/>
    </row>
    <row r="12" spans="1:5" ht="14">
      <c r="A12" s="53" t="s">
        <v>30</v>
      </c>
      <c r="B12" s="173"/>
      <c r="C12" s="173"/>
      <c r="D12" s="173"/>
      <c r="E12" s="174"/>
    </row>
    <row r="13" spans="1:5" ht="14">
      <c r="A13" s="53" t="s">
        <v>31</v>
      </c>
      <c r="B13" s="175"/>
      <c r="C13" s="173"/>
      <c r="D13" s="173"/>
      <c r="E13" s="174"/>
    </row>
    <row r="14" spans="1:5" ht="14">
      <c r="A14" s="53" t="s">
        <v>102</v>
      </c>
      <c r="B14" s="155">
        <f>15885/61372</f>
        <v>0.25883138890699342</v>
      </c>
      <c r="C14" s="155">
        <f>6965/27030</f>
        <v>0.25767665556788755</v>
      </c>
      <c r="D14" s="155">
        <f>3941/23906</f>
        <v>0.16485401154521878</v>
      </c>
      <c r="E14" s="1"/>
    </row>
    <row r="15" spans="1:5" ht="14">
      <c r="A15" s="53" t="s">
        <v>103</v>
      </c>
      <c r="B15" s="136"/>
      <c r="C15" s="136"/>
      <c r="D15" s="136"/>
      <c r="E15" s="1"/>
    </row>
    <row r="16" spans="1:5" s="2" customFormat="1" ht="14">
      <c r="A16" s="63" t="s">
        <v>394</v>
      </c>
      <c r="B16" s="197"/>
      <c r="C16" s="197"/>
      <c r="D16" s="197"/>
      <c r="E16" s="198"/>
    </row>
    <row r="17" spans="1:5" ht="14">
      <c r="A17" s="50" t="s">
        <v>395</v>
      </c>
      <c r="B17" s="238">
        <v>172.47</v>
      </c>
      <c r="C17" s="176"/>
      <c r="D17" s="176" t="s">
        <v>96</v>
      </c>
      <c r="E17" s="177"/>
    </row>
    <row r="18" spans="1:5" ht="14">
      <c r="A18" s="50" t="s">
        <v>396</v>
      </c>
      <c r="B18" s="238">
        <v>139.4</v>
      </c>
      <c r="C18" s="405" t="s">
        <v>562</v>
      </c>
      <c r="D18" s="176" t="s">
        <v>96</v>
      </c>
      <c r="E18" s="177"/>
    </row>
    <row r="19" spans="1:5" ht="14">
      <c r="A19" s="50" t="s">
        <v>397</v>
      </c>
      <c r="B19" s="238">
        <v>145.18</v>
      </c>
      <c r="C19" s="405"/>
      <c r="D19" s="176" t="s">
        <v>96</v>
      </c>
      <c r="E19" s="177"/>
    </row>
    <row r="20" spans="1:5" ht="14">
      <c r="A20" s="50" t="s">
        <v>398</v>
      </c>
      <c r="B20" s="238">
        <v>156.53</v>
      </c>
      <c r="C20" s="405"/>
      <c r="D20" s="176" t="s">
        <v>96</v>
      </c>
      <c r="E20" s="177"/>
    </row>
    <row r="21" spans="1:5" ht="14">
      <c r="A21" s="50" t="s">
        <v>399</v>
      </c>
      <c r="B21" s="238">
        <v>151.19999999999999</v>
      </c>
      <c r="C21" s="405"/>
      <c r="D21" s="176" t="s">
        <v>96</v>
      </c>
      <c r="E21" s="177"/>
    </row>
    <row r="22" spans="1:5" ht="14">
      <c r="A22" s="50" t="s">
        <v>400</v>
      </c>
      <c r="B22" s="237">
        <v>943.63</v>
      </c>
      <c r="C22" s="405"/>
      <c r="D22" s="176" t="s">
        <v>96</v>
      </c>
      <c r="E22" s="177"/>
    </row>
    <row r="23" spans="1:5">
      <c r="B23" s="156"/>
      <c r="C23" s="405"/>
    </row>
    <row r="25" spans="1:5" ht="14">
      <c r="A25" s="50" t="s">
        <v>561</v>
      </c>
      <c r="B25" s="236">
        <v>107</v>
      </c>
    </row>
    <row r="29" spans="1:5">
      <c r="D29" s="173">
        <v>75872</v>
      </c>
    </row>
    <row r="30" spans="1:5">
      <c r="D30" s="173">
        <v>2404</v>
      </c>
    </row>
    <row r="31" spans="1:5">
      <c r="D31" s="173">
        <v>24171</v>
      </c>
    </row>
    <row r="32" spans="1:5">
      <c r="D32" s="173">
        <v>276</v>
      </c>
    </row>
    <row r="36" spans="1:5">
      <c r="A36" t="s">
        <v>618</v>
      </c>
      <c r="B36" s="154">
        <v>630.29</v>
      </c>
      <c r="C36" s="154">
        <v>286.14</v>
      </c>
      <c r="D36" s="154">
        <v>426.61</v>
      </c>
      <c r="E36">
        <f>B36-C36+D36</f>
        <v>770.76</v>
      </c>
    </row>
    <row r="37" spans="1:5">
      <c r="A37" t="s">
        <v>619</v>
      </c>
      <c r="B37" s="154">
        <v>2369.4699999999998</v>
      </c>
      <c r="C37" s="154">
        <v>1128.78</v>
      </c>
      <c r="D37" s="154">
        <v>1219.73</v>
      </c>
      <c r="E37">
        <f>B37-C37+D37</f>
        <v>2460.42</v>
      </c>
    </row>
    <row r="38" spans="1:5">
      <c r="A38" t="s">
        <v>620</v>
      </c>
      <c r="B38" s="154">
        <v>9967.5400000000009</v>
      </c>
      <c r="C38" s="154">
        <v>4703.01</v>
      </c>
      <c r="D38" s="154">
        <v>5876.21</v>
      </c>
      <c r="E38">
        <f>B38-C38+D38</f>
        <v>11140.740000000002</v>
      </c>
    </row>
    <row r="40" spans="1:5">
      <c r="A40" t="s">
        <v>621</v>
      </c>
      <c r="B40" s="154">
        <v>13043</v>
      </c>
      <c r="C40" s="154">
        <v>6020.47</v>
      </c>
      <c r="D40" s="154">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6"/>
  <sheetViews>
    <sheetView workbookViewId="0">
      <selection activeCell="G1" sqref="G1:G1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7" s="243" customFormat="1">
      <c r="A1" s="243" t="s">
        <v>238</v>
      </c>
      <c r="B1" s="243" t="s">
        <v>240</v>
      </c>
      <c r="C1" s="243" t="s">
        <v>438</v>
      </c>
      <c r="D1" s="243" t="s">
        <v>446</v>
      </c>
      <c r="E1" s="243" t="s">
        <v>448</v>
      </c>
      <c r="F1" s="243" t="s">
        <v>472</v>
      </c>
      <c r="G1" t="s">
        <v>228</v>
      </c>
    </row>
    <row r="2" spans="1:7">
      <c r="A2" t="s">
        <v>55</v>
      </c>
      <c r="B2" t="s">
        <v>100</v>
      </c>
      <c r="C2" t="s">
        <v>439</v>
      </c>
      <c r="D2" t="s">
        <v>447</v>
      </c>
      <c r="E2">
        <v>1</v>
      </c>
      <c r="F2" t="s">
        <v>447</v>
      </c>
      <c r="G2" t="s">
        <v>467</v>
      </c>
    </row>
    <row r="3" spans="1:7">
      <c r="A3" t="s">
        <v>49</v>
      </c>
      <c r="B3" t="s">
        <v>234</v>
      </c>
      <c r="C3" t="s">
        <v>442</v>
      </c>
      <c r="D3" t="s">
        <v>448</v>
      </c>
      <c r="E3">
        <v>2</v>
      </c>
      <c r="F3" t="s">
        <v>477</v>
      </c>
      <c r="G3" t="s">
        <v>466</v>
      </c>
    </row>
    <row r="4" spans="1:7">
      <c r="C4" t="s">
        <v>440</v>
      </c>
      <c r="D4" t="s">
        <v>449</v>
      </c>
      <c r="F4" t="s">
        <v>478</v>
      </c>
      <c r="G4" t="s">
        <v>465</v>
      </c>
    </row>
    <row r="5" spans="1:7">
      <c r="C5" t="s">
        <v>441</v>
      </c>
      <c r="F5" t="s">
        <v>479</v>
      </c>
      <c r="G5" t="s">
        <v>464</v>
      </c>
    </row>
    <row r="6" spans="1:7">
      <c r="F6" t="s">
        <v>476</v>
      </c>
      <c r="G6" t="s">
        <v>463</v>
      </c>
    </row>
    <row r="7" spans="1:7">
      <c r="G7" t="s">
        <v>462</v>
      </c>
    </row>
    <row r="8" spans="1:7">
      <c r="G8" t="s">
        <v>461</v>
      </c>
    </row>
    <row r="9" spans="1:7">
      <c r="G9" t="s">
        <v>460</v>
      </c>
    </row>
    <row r="10" spans="1:7">
      <c r="G10" t="s">
        <v>459</v>
      </c>
    </row>
    <row r="11" spans="1:7">
      <c r="G11" t="s">
        <v>458</v>
      </c>
    </row>
    <row r="12" spans="1:7">
      <c r="G12" t="s">
        <v>457</v>
      </c>
    </row>
    <row r="13" spans="1:7">
      <c r="G13" t="s">
        <v>456</v>
      </c>
    </row>
    <row r="14" spans="1:7">
      <c r="G14" t="s">
        <v>455</v>
      </c>
    </row>
    <row r="15" spans="1:7">
      <c r="G15" t="s">
        <v>454</v>
      </c>
    </row>
    <row r="16" spans="1:7">
      <c r="G16" t="s">
        <v>453</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Master Inputs</vt:lpstr>
      <vt:lpstr>Input sheet</vt:lpstr>
      <vt:lpstr>Valuation output</vt:lpstr>
      <vt:lpstr>Stories to Numbers</vt:lpstr>
      <vt:lpstr>Diagnostics</vt:lpstr>
      <vt:lpstr>Business Value</vt:lpstr>
      <vt:lpstr>Option value</vt:lpstr>
      <vt:lpstr>Cost of capital worksheet</vt:lpstr>
      <vt:lpstr>Synthetic rating</vt:lpstr>
      <vt:lpstr>R&amp; D converter</vt:lpstr>
      <vt:lpstr>Operating lease converter</vt:lpstr>
      <vt:lpstr>Country equity risk premiums</vt:lpstr>
      <vt:lpstr>Industry Average Beta (US)</vt:lpstr>
      <vt:lpstr>Industry Average Beta (Global)</vt:lpstr>
      <vt:lpstr>Trailing 12 month</vt:lpstr>
      <vt:lpstr>Answer keys</vt:lpstr>
      <vt:lpstr>TeslaValue</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2025-01-25T03:47:53Z</dcterms:modified>
</cp:coreProperties>
</file>