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dfiles/cfexams/"/>
    </mc:Choice>
  </mc:AlternateContent>
  <xr:revisionPtr revIDLastSave="0" documentId="8_{0E77FBAE-303B-E748-B9B4-04FAE8E80C92}" xr6:coauthVersionLast="47" xr6:coauthVersionMax="47" xr10:uidLastSave="{00000000-0000-0000-0000-000000000000}"/>
  <bookViews>
    <workbookView xWindow="0" yWindow="760" windowWidth="30240" windowHeight="18880" xr2:uid="{4462601F-9D94-5141-A7D8-CF18865EE029}"/>
  </bookViews>
  <sheets>
    <sheet name="Sheet1" sheetId="1" r:id="rId1"/>
  </sheets>
  <definedNames>
    <definedName name="_xlnm.Print_Area" localSheetId="0">Sheet1!$A$1:$F$169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6" i="1" l="1"/>
  <c r="B25" i="1" l="1"/>
  <c r="B34" i="1" s="1"/>
  <c r="B37" i="1" s="1"/>
  <c r="B33" i="1"/>
  <c r="C27" i="1"/>
  <c r="B32" i="1" s="1"/>
  <c r="B61" i="1"/>
  <c r="B70" i="1" s="1"/>
  <c r="B71" i="1" s="1"/>
  <c r="B62" i="1"/>
  <c r="C152" i="1"/>
  <c r="D152" i="1" s="1"/>
  <c r="E152" i="1" s="1"/>
  <c r="C151" i="1"/>
  <c r="D151" i="1" s="1"/>
  <c r="E151" i="1" s="1"/>
  <c r="C150" i="1"/>
  <c r="D150" i="1" s="1"/>
  <c r="E150" i="1" s="1"/>
  <c r="C149" i="1"/>
  <c r="D149" i="1" s="1"/>
  <c r="B153" i="1"/>
  <c r="C143" i="1"/>
  <c r="C140" i="1"/>
  <c r="C138" i="1"/>
  <c r="C133" i="1"/>
  <c r="C137" i="1" s="1"/>
  <c r="B125" i="1"/>
  <c r="B127" i="1" s="1"/>
  <c r="B106" i="1"/>
  <c r="D108" i="1" s="1"/>
  <c r="B101" i="1"/>
  <c r="B100" i="1"/>
  <c r="B84" i="1"/>
  <c r="B90" i="1" s="1"/>
  <c r="B83" i="1"/>
  <c r="B79" i="1"/>
  <c r="B87" i="1" s="1"/>
  <c r="B54" i="1"/>
  <c r="B50" i="1"/>
  <c r="B51" i="1" s="1"/>
  <c r="B53" i="1" s="1"/>
  <c r="B15" i="1"/>
  <c r="D11" i="1"/>
  <c r="C11" i="1"/>
  <c r="D12" i="1"/>
  <c r="B11" i="1"/>
  <c r="A12" i="1"/>
  <c r="A11" i="1"/>
  <c r="C153" i="1" l="1"/>
  <c r="C154" i="1" s="1"/>
  <c r="B35" i="1"/>
  <c r="B36" i="1" s="1"/>
  <c r="B38" i="1" s="1"/>
  <c r="B40" i="1" s="1"/>
  <c r="B72" i="1"/>
  <c r="B73" i="1" s="1"/>
  <c r="C139" i="1"/>
  <c r="D153" i="1"/>
  <c r="D154" i="1" s="1"/>
  <c r="E149" i="1"/>
  <c r="C141" i="1"/>
  <c r="C142" i="1" s="1"/>
  <c r="C144" i="1" s="1"/>
  <c r="B55" i="1"/>
  <c r="B57" i="1" s="1"/>
  <c r="B110" i="1"/>
  <c r="B113" i="1" s="1"/>
  <c r="B88" i="1"/>
  <c r="B89" i="1" s="1"/>
  <c r="B91" i="1" s="1"/>
  <c r="B92" i="1" s="1"/>
  <c r="B17" i="1"/>
  <c r="B18" i="1"/>
  <c r="B63" i="1"/>
  <c r="B75" i="1" l="1"/>
  <c r="E153" i="1"/>
  <c r="E154" i="1" s="1"/>
  <c r="B168" i="1" s="1"/>
  <c r="B164" i="1"/>
  <c r="B19" i="1"/>
  <c r="B159" i="1" l="1"/>
  <c r="B162" i="1" s="1"/>
  <c r="B163" i="1" s="1"/>
  <c r="B165" i="1" s="1"/>
  <c r="B166" i="1" s="1"/>
  <c r="B167" i="1" s="1"/>
  <c r="B169" i="1" s="1"/>
</calcChain>
</file>

<file path=xl/sharedStrings.xml><?xml version="1.0" encoding="utf-8"?>
<sst xmlns="http://schemas.openxmlformats.org/spreadsheetml/2006/main" count="183" uniqueCount="164">
  <si>
    <t>Problem 1</t>
  </si>
  <si>
    <t>Exercise Equipment</t>
  </si>
  <si>
    <t>Subscription</t>
  </si>
  <si>
    <t>Equity</t>
  </si>
  <si>
    <t>Before</t>
  </si>
  <si>
    <t>Cost of equity</t>
  </si>
  <si>
    <t>Riskfree rate =</t>
  </si>
  <si>
    <t>ERP =</t>
  </si>
  <si>
    <t>After</t>
  </si>
  <si>
    <t>Debt</t>
  </si>
  <si>
    <t>Debt to equity =</t>
  </si>
  <si>
    <t>Solve for the unlevered beta before</t>
  </si>
  <si>
    <t>Unlevered beta =</t>
  </si>
  <si>
    <t>Borrow money and enter the subscription model, with an unlevered beta of 0.80</t>
  </si>
  <si>
    <t>Solve for unlevered beta after</t>
  </si>
  <si>
    <t>Unlevereed beta =</t>
  </si>
  <si>
    <t>Levered beta =</t>
  </si>
  <si>
    <t>Tax rate =</t>
  </si>
  <si>
    <t>Problem 2</t>
  </si>
  <si>
    <t xml:space="preserve">Without </t>
  </si>
  <si>
    <t>With</t>
  </si>
  <si>
    <t>Cap Ex</t>
  </si>
  <si>
    <t>Incremental revenues</t>
  </si>
  <si>
    <t>Incremental EBIT</t>
  </si>
  <si>
    <t>Incremental Cashflow</t>
  </si>
  <si>
    <t>Problem 3</t>
  </si>
  <si>
    <t>Life of investment</t>
  </si>
  <si>
    <t>Initial investment</t>
  </si>
  <si>
    <t>Annual cost</t>
  </si>
  <si>
    <t>Double the life of the investment, by spending more up front, How much would you be willing to spend?</t>
  </si>
  <si>
    <t>NPV of investment =</t>
  </si>
  <si>
    <t xml:space="preserve">Cost of capital </t>
  </si>
  <si>
    <t>PV of annuity =</t>
  </si>
  <si>
    <t>NPV for 10 years with same annuilty =</t>
  </si>
  <si>
    <t>PV of annual costs of $30 for 10 years =</t>
  </si>
  <si>
    <t>Initial investment =</t>
  </si>
  <si>
    <t>For longer life investment,</t>
  </si>
  <si>
    <t>Problem 4</t>
  </si>
  <si>
    <t>After-tax cost of debt</t>
  </si>
  <si>
    <t>Riskfree rate</t>
  </si>
  <si>
    <t>ERP</t>
  </si>
  <si>
    <t>Tax rate</t>
  </si>
  <si>
    <t>Cost of capital</t>
  </si>
  <si>
    <t>Old levered beta =</t>
  </si>
  <si>
    <t>Unlevered beta</t>
  </si>
  <si>
    <t>New levered beta =</t>
  </si>
  <si>
    <t>New cost of equity =</t>
  </si>
  <si>
    <t>Problem 5</t>
  </si>
  <si>
    <t>Buyback price</t>
  </si>
  <si>
    <t>Equity (200 million shares @$4/share)</t>
  </si>
  <si>
    <t xml:space="preserve">PV of Savings </t>
  </si>
  <si>
    <t># shares bought back with debt</t>
  </si>
  <si>
    <t>Additional debt</t>
  </si>
  <si>
    <t xml:space="preserve"> Savings to shares in buybacks</t>
  </si>
  <si>
    <t>Remaining savings</t>
  </si>
  <si>
    <t xml:space="preserve"> Remaining shares </t>
  </si>
  <si>
    <t xml:space="preserve"> Increase in value per share</t>
  </si>
  <si>
    <t>Value per share for remaining shares</t>
  </si>
  <si>
    <t>! (800+200)*(.09-.08)/.08</t>
  </si>
  <si>
    <t>Problem 6</t>
  </si>
  <si>
    <t>Shipping (Duration = 12 years)</t>
  </si>
  <si>
    <t>Debt 1 (Duration 15 years)</t>
  </si>
  <si>
    <t>Weighted duration of busineses =</t>
  </si>
  <si>
    <t>Logistics Services(Duration - 2 years)</t>
  </si>
  <si>
    <t>Weighted duration of the debt =</t>
  </si>
  <si>
    <t>Debt 2 (Duration 1 year)</t>
  </si>
  <si>
    <t>After borrowing money and doubling logistics business</t>
  </si>
  <si>
    <t>New Debt (Duation = X years)</t>
  </si>
  <si>
    <t>Solve for new debt duration</t>
  </si>
  <si>
    <t>Solve for new business duration</t>
  </si>
  <si>
    <t>Duration of new debt =</t>
  </si>
  <si>
    <t>(800/1200) * 8 + (400/1200) (Duration of new debt) = 8.6667</t>
  </si>
  <si>
    <t>Problem 7</t>
  </si>
  <si>
    <t>Before tax law change</t>
  </si>
  <si>
    <t>After tax law change</t>
  </si>
  <si>
    <t>Average dividends</t>
  </si>
  <si>
    <t xml:space="preserve">Average change in stock price </t>
  </si>
  <si>
    <t>Ordinary tax rate</t>
  </si>
  <si>
    <t>New price change</t>
  </si>
  <si>
    <t>Problem 8</t>
  </si>
  <si>
    <t>Net Income</t>
  </si>
  <si>
    <t>Dividends paid</t>
  </si>
  <si>
    <t>Cash balance</t>
  </si>
  <si>
    <t>Depreciation</t>
  </si>
  <si>
    <t>FCFE</t>
  </si>
  <si>
    <t>Change in cash balance</t>
  </si>
  <si>
    <t>Next year</t>
  </si>
  <si>
    <t>Net Cap Ex (1-.1)</t>
  </si>
  <si>
    <t>Net Cap Ez</t>
  </si>
  <si>
    <t>Assuming that there are no working capital needs and athe firm will fund 20% of  its net cap ex with debt, estimate the expected capital expenditures over the next three years</t>
  </si>
  <si>
    <t>Problem 9</t>
  </si>
  <si>
    <t>FCFF</t>
  </si>
  <si>
    <t>Operating income after taxes</t>
  </si>
  <si>
    <t xml:space="preserve"> + Depreciation</t>
  </si>
  <si>
    <t xml:space="preserve"> - Cap Ex</t>
  </si>
  <si>
    <t xml:space="preserve"> - Change in WC</t>
  </si>
  <si>
    <t>Growth rate after year 3 =</t>
  </si>
  <si>
    <t>PV @ cost of capital of 12%</t>
  </si>
  <si>
    <t>Return on capital</t>
  </si>
  <si>
    <t>Cost of capital after year 3 =</t>
  </si>
  <si>
    <t>Reinvestment rate for first 3 years =</t>
  </si>
  <si>
    <t>Growth rate in first 3 years =</t>
  </si>
  <si>
    <t>Reinvestment rate in stable growth =</t>
  </si>
  <si>
    <t>EBIT (1-t)) in terminal year</t>
  </si>
  <si>
    <t xml:space="preserve">FCFF in terminal year </t>
  </si>
  <si>
    <t>Terminal value =</t>
  </si>
  <si>
    <t>NPV =</t>
  </si>
  <si>
    <t>Annual Revenues</t>
  </si>
  <si>
    <t>Annual EBITDA</t>
  </si>
  <si>
    <t>Incremental EBITDA</t>
  </si>
  <si>
    <t>Existing debt to capital</t>
  </si>
  <si>
    <t>Double the debt to capital ratio, lowering after-tax cost of debt to 4%</t>
  </si>
  <si>
    <t>6.90% = 7.96%(.7) + X (.3)</t>
  </si>
  <si>
    <t>Cost of debt for cost of capital not to change</t>
  </si>
  <si>
    <t>Incremental EBIT (1-t)</t>
  </si>
  <si>
    <t xml:space="preserve"> - Increemental Depreciation</t>
  </si>
  <si>
    <t xml:space="preserve"> + Incremental Depreciation</t>
  </si>
  <si>
    <t>Net cost of new trucks =</t>
  </si>
  <si>
    <t>Net deprecaition =</t>
  </si>
  <si>
    <t>Invest in a computer server, which will cover firm's data/computing needs</t>
  </si>
  <si>
    <t>Assets/Businesses</t>
  </si>
  <si>
    <t>Liabilities and Equity</t>
  </si>
  <si>
    <t>Most recent year</t>
  </si>
  <si>
    <t>PV today =</t>
  </si>
  <si>
    <t>PV of cash flows for next three years</t>
  </si>
  <si>
    <t>Value today =</t>
  </si>
  <si>
    <t>(Use stable period cost of capital. 164.51/(.09-.03)</t>
  </si>
  <si>
    <t>Discount back at 12%, the cost of capital for high growth period</t>
  </si>
  <si>
    <t>Let X be the percent of shares held by foreign investors</t>
  </si>
  <si>
    <t>Percent of shares held by foreign investors =</t>
  </si>
  <si>
    <t>NEXT YEAR</t>
  </si>
  <si>
    <t>CURRENT</t>
  </si>
  <si>
    <t>New debt ratio</t>
  </si>
  <si>
    <t>(1-.4)/(1- (1-X)(.4)) = 2.25/2.50</t>
  </si>
  <si>
    <t>Initiak Investment for shortr-life investment</t>
  </si>
  <si>
    <t>Additional investemnt needed for long life</t>
  </si>
  <si>
    <t xml:space="preserve"> book value, depreciable st line over ten years) and buying ten electric trucks for $500,000</t>
  </si>
  <si>
    <t>Moving business with ten trucks, biggest cost is fuel. Considering selling truck for $100,000</t>
  </si>
  <si>
    <t>Grading Termplate</t>
  </si>
  <si>
    <t>1. Did not solve for unlev beta before: -1 point</t>
  </si>
  <si>
    <t>2. Did not compute new unlevered beta: -1 point</t>
  </si>
  <si>
    <t>3. Wrong D/E ratio: -1 point</t>
  </si>
  <si>
    <t>1. Annual cash flow wrong: -1 to -1.5 points</t>
  </si>
  <si>
    <t>2. Did not adjust investment for net proceeds: -1 point</t>
  </si>
  <si>
    <t>3. Depreciation incorrect: -1 point</t>
  </si>
  <si>
    <t>1. Did not adjust for project lives: -1 to -1.5 points</t>
  </si>
  <si>
    <t>2. Took  difference in PV of maintenance costs; -1 point</t>
  </si>
  <si>
    <t>3. Other errors: -1/2 point</t>
  </si>
  <si>
    <t>1. Did not adjust beta for leverage: -1.5 points</t>
  </si>
  <si>
    <t>2. Math errors; -1/2 point each</t>
  </si>
  <si>
    <t>1. Change in firm value incorrect: -1 points</t>
  </si>
  <si>
    <t>2. Did not adjust for recap: -1 point</t>
  </si>
  <si>
    <t>3. Share count wrong: -1 point</t>
  </si>
  <si>
    <t>2. Duration of debt set up wrong: -1 point</t>
  </si>
  <si>
    <t>1. Duration of assets incorrect: -1 to -1.5 points</t>
  </si>
  <si>
    <t>3. Math errors: -1/2 point</t>
  </si>
  <si>
    <t>2. Error in recomputing change in stock price; -1 point</t>
  </si>
  <si>
    <t>1. Error on inst ownership percent: -1.5 points</t>
  </si>
  <si>
    <t>1. Missed dperciation : -1 point</t>
  </si>
  <si>
    <t>2. Missed debt financing; -1 point</t>
  </si>
  <si>
    <t>3. Missed dividends: -1 point</t>
  </si>
  <si>
    <t>1. Compute term value from FCFF in yr 3: -2 points</t>
  </si>
  <si>
    <t>2. Discounted terminal value @ wrong r: -1/2 point</t>
  </si>
  <si>
    <t>3. Math errors: -1/2 point 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</si>
</sst>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#,##0_);[Red]\(&quot;$&quot;#,##0\)"/>
    <numFmt numFmtId="44" formatCode="_(&quot;$&quot;* #,##0.00_);_(&quot;$&quot;* \(#,##0.00\);_(&quot;$&quot;* &quot;-&quot;??_);_(@_)"/>
    <numFmt numFmtId="164" formatCode="0.0%"/>
    <numFmt numFmtId="165" formatCode="&quot;$&quot;#,##0.00"/>
    <numFmt numFmtId="166" formatCode="0.000%"/>
    <numFmt numFmtId="167" formatCode="0.0000%"/>
    <numFmt numFmtId="168" formatCode="0.0000"/>
    <numFmt numFmtId="169" formatCode="&quot;$&quot;#,##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9" fontId="0" fillId="0" borderId="0" xfId="0" applyNumberFormat="1"/>
    <xf numFmtId="10" fontId="0" fillId="0" borderId="0" xfId="2" applyNumberFormat="1" applyFont="1"/>
    <xf numFmtId="2" fontId="0" fillId="0" borderId="0" xfId="0" applyNumberFormat="1"/>
    <xf numFmtId="0" fontId="0" fillId="2" borderId="1" xfId="0" applyFill="1" applyBorder="1"/>
    <xf numFmtId="165" fontId="0" fillId="0" borderId="0" xfId="0" applyNumberFormat="1"/>
    <xf numFmtId="165" fontId="0" fillId="2" borderId="1" xfId="0" applyNumberFormat="1" applyFill="1" applyBorder="1"/>
    <xf numFmtId="166" fontId="0" fillId="0" borderId="0" xfId="0" applyNumberFormat="1"/>
    <xf numFmtId="167" fontId="0" fillId="0" borderId="0" xfId="0" applyNumberFormat="1"/>
    <xf numFmtId="164" fontId="0" fillId="0" borderId="0" xfId="0" applyNumberFormat="1"/>
    <xf numFmtId="168" fontId="0" fillId="0" borderId="0" xfId="0" applyNumberFormat="1"/>
    <xf numFmtId="44" fontId="0" fillId="0" borderId="0" xfId="1" applyFont="1"/>
    <xf numFmtId="44" fontId="0" fillId="2" borderId="1" xfId="1" applyFont="1" applyFill="1" applyBorder="1"/>
    <xf numFmtId="165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165" fontId="0" fillId="0" borderId="2" xfId="0" applyNumberFormat="1" applyBorder="1" applyAlignment="1">
      <alignment horizontal="center"/>
    </xf>
    <xf numFmtId="0" fontId="0" fillId="0" borderId="2" xfId="0" applyBorder="1"/>
    <xf numFmtId="9" fontId="0" fillId="0" borderId="2" xfId="0" applyNumberFormat="1" applyBorder="1" applyAlignment="1">
      <alignment horizontal="center"/>
    </xf>
    <xf numFmtId="165" fontId="0" fillId="0" borderId="2" xfId="0" applyNumberFormat="1" applyBorder="1"/>
    <xf numFmtId="0" fontId="0" fillId="0" borderId="4" xfId="0" applyBorder="1"/>
    <xf numFmtId="165" fontId="0" fillId="2" borderId="3" xfId="0" applyNumberFormat="1" applyFill="1" applyBorder="1"/>
    <xf numFmtId="10" fontId="0" fillId="2" borderId="3" xfId="2" applyNumberFormat="1" applyFont="1" applyFill="1" applyBorder="1"/>
    <xf numFmtId="9" fontId="0" fillId="0" borderId="2" xfId="2" applyFont="1" applyBorder="1" applyAlignment="1">
      <alignment horizontal="center"/>
    </xf>
    <xf numFmtId="10" fontId="0" fillId="0" borderId="2" xfId="2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6" fontId="0" fillId="0" borderId="5" xfId="0" applyNumberFormat="1" applyBorder="1"/>
    <xf numFmtId="6" fontId="0" fillId="0" borderId="0" xfId="0" applyNumberFormat="1"/>
    <xf numFmtId="169" fontId="0" fillId="0" borderId="2" xfId="0" applyNumberFormat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65" fontId="0" fillId="0" borderId="1" xfId="0" applyNumberFormat="1" applyBorder="1"/>
    <xf numFmtId="0" fontId="3" fillId="3" borderId="0" xfId="0" applyFont="1" applyFill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3F05E-D103-074A-B441-748339EF8AF6}">
  <sheetPr>
    <pageSetUpPr fitToPage="1"/>
  </sheetPr>
  <dimension ref="A1:F170"/>
  <sheetViews>
    <sheetView tabSelected="1" topLeftCell="A117" workbookViewId="0">
      <selection activeCell="F140" sqref="F140"/>
    </sheetView>
  </sheetViews>
  <sheetFormatPr baseColWidth="10" defaultRowHeight="16" x14ac:dyDescent="0.2"/>
  <cols>
    <col min="1" max="1" width="38.5" customWidth="1"/>
    <col min="2" max="2" width="15.6640625" customWidth="1"/>
    <col min="3" max="3" width="17.1640625" customWidth="1"/>
    <col min="4" max="4" width="15.5" customWidth="1"/>
    <col min="5" max="5" width="17.83203125" customWidth="1"/>
    <col min="6" max="6" width="45.6640625" customWidth="1"/>
  </cols>
  <sheetData>
    <row r="1" spans="1:6" x14ac:dyDescent="0.2">
      <c r="A1" s="1" t="s">
        <v>0</v>
      </c>
      <c r="F1" s="32" t="s">
        <v>138</v>
      </c>
    </row>
    <row r="2" spans="1:6" x14ac:dyDescent="0.2">
      <c r="A2" t="s">
        <v>4</v>
      </c>
      <c r="F2" s="32" t="s">
        <v>139</v>
      </c>
    </row>
    <row r="3" spans="1:6" x14ac:dyDescent="0.2">
      <c r="A3" t="s">
        <v>1</v>
      </c>
      <c r="B3">
        <v>1200</v>
      </c>
      <c r="C3" t="s">
        <v>3</v>
      </c>
      <c r="D3">
        <v>1200</v>
      </c>
      <c r="F3" s="32" t="s">
        <v>140</v>
      </c>
    </row>
    <row r="4" spans="1:6" x14ac:dyDescent="0.2">
      <c r="A4" t="s">
        <v>2</v>
      </c>
      <c r="F4" s="32" t="s">
        <v>141</v>
      </c>
    </row>
    <row r="5" spans="1:6" x14ac:dyDescent="0.2">
      <c r="A5" t="s">
        <v>5</v>
      </c>
      <c r="B5" s="3">
        <v>0.1</v>
      </c>
      <c r="F5" s="32"/>
    </row>
    <row r="6" spans="1:6" x14ac:dyDescent="0.2">
      <c r="A6" t="s">
        <v>6</v>
      </c>
      <c r="B6" s="3">
        <v>0.04</v>
      </c>
      <c r="F6" s="32"/>
    </row>
    <row r="7" spans="1:6" x14ac:dyDescent="0.2">
      <c r="A7" t="s">
        <v>7</v>
      </c>
      <c r="B7" s="3">
        <v>0.05</v>
      </c>
      <c r="F7" s="32"/>
    </row>
    <row r="8" spans="1:6" x14ac:dyDescent="0.2">
      <c r="A8" t="s">
        <v>17</v>
      </c>
      <c r="B8" s="3">
        <v>0.25</v>
      </c>
      <c r="F8" s="32"/>
    </row>
    <row r="9" spans="1:6" x14ac:dyDescent="0.2">
      <c r="A9" t="s">
        <v>13</v>
      </c>
      <c r="F9" s="32"/>
    </row>
    <row r="10" spans="1:6" x14ac:dyDescent="0.2">
      <c r="A10" t="s">
        <v>8</v>
      </c>
      <c r="F10" s="32"/>
    </row>
    <row r="11" spans="1:6" x14ac:dyDescent="0.2">
      <c r="A11" t="str">
        <f>A3</f>
        <v>Exercise Equipment</v>
      </c>
      <c r="B11">
        <f>B3</f>
        <v>1200</v>
      </c>
      <c r="C11" t="str">
        <f>C3</f>
        <v>Equity</v>
      </c>
      <c r="D11">
        <f>D3</f>
        <v>1200</v>
      </c>
      <c r="F11" s="32"/>
    </row>
    <row r="12" spans="1:6" x14ac:dyDescent="0.2">
      <c r="A12" t="str">
        <f>A4</f>
        <v>Subscription</v>
      </c>
      <c r="B12">
        <v>400</v>
      </c>
      <c r="C12" t="s">
        <v>9</v>
      </c>
      <c r="D12">
        <f>B12-B4</f>
        <v>400</v>
      </c>
      <c r="F12" s="32"/>
    </row>
    <row r="13" spans="1:6" x14ac:dyDescent="0.2">
      <c r="F13" s="32"/>
    </row>
    <row r="14" spans="1:6" x14ac:dyDescent="0.2">
      <c r="A14" t="s">
        <v>11</v>
      </c>
      <c r="F14" s="32"/>
    </row>
    <row r="15" spans="1:6" x14ac:dyDescent="0.2">
      <c r="A15" t="s">
        <v>12</v>
      </c>
      <c r="B15" s="4">
        <f>(B5-B6)/B7</f>
        <v>1.2</v>
      </c>
      <c r="F15" s="32"/>
    </row>
    <row r="16" spans="1:6" x14ac:dyDescent="0.2">
      <c r="A16" t="s">
        <v>14</v>
      </c>
      <c r="F16" s="32"/>
    </row>
    <row r="17" spans="1:6" x14ac:dyDescent="0.2">
      <c r="A17" t="s">
        <v>15</v>
      </c>
      <c r="B17">
        <f>(B11/(B11+B12))*B15+(B12/(B11+B12))*0.8</f>
        <v>1.0999999999999999</v>
      </c>
      <c r="F17" s="32"/>
    </row>
    <row r="18" spans="1:6" ht="17" thickBot="1" x14ac:dyDescent="0.25">
      <c r="A18" t="s">
        <v>10</v>
      </c>
      <c r="B18">
        <f>D12/D11</f>
        <v>0.33333333333333331</v>
      </c>
      <c r="F18" s="32"/>
    </row>
    <row r="19" spans="1:6" ht="17" thickBot="1" x14ac:dyDescent="0.25">
      <c r="A19" t="s">
        <v>16</v>
      </c>
      <c r="B19" s="5">
        <f>B17*(1+(1-B8)*B18)</f>
        <v>1.3749999999999998</v>
      </c>
      <c r="F19" s="32"/>
    </row>
    <row r="20" spans="1:6" x14ac:dyDescent="0.2">
      <c r="F20" s="32"/>
    </row>
    <row r="21" spans="1:6" x14ac:dyDescent="0.2">
      <c r="A21" s="1" t="s">
        <v>18</v>
      </c>
      <c r="F21" s="32"/>
    </row>
    <row r="22" spans="1:6" x14ac:dyDescent="0.2">
      <c r="A22" t="s">
        <v>137</v>
      </c>
      <c r="F22" s="32"/>
    </row>
    <row r="23" spans="1:6" ht="17" thickBot="1" x14ac:dyDescent="0.25">
      <c r="A23" t="s">
        <v>136</v>
      </c>
      <c r="F23" s="32" t="s">
        <v>142</v>
      </c>
    </row>
    <row r="24" spans="1:6" ht="17" thickBot="1" x14ac:dyDescent="0.25">
      <c r="A24" t="s">
        <v>117</v>
      </c>
      <c r="B24" s="26">
        <v>400</v>
      </c>
      <c r="F24" s="32" t="s">
        <v>143</v>
      </c>
    </row>
    <row r="25" spans="1:6" x14ac:dyDescent="0.2">
      <c r="A25" t="s">
        <v>118</v>
      </c>
      <c r="B25" s="27">
        <f>(500/10 - 100/10)</f>
        <v>40</v>
      </c>
      <c r="F25" s="32" t="s">
        <v>144</v>
      </c>
    </row>
    <row r="26" spans="1:6" x14ac:dyDescent="0.2">
      <c r="B26" s="25" t="s">
        <v>19</v>
      </c>
      <c r="C26" s="15" t="s">
        <v>20</v>
      </c>
      <c r="F26" s="32"/>
    </row>
    <row r="27" spans="1:6" x14ac:dyDescent="0.2">
      <c r="A27" t="s">
        <v>107</v>
      </c>
      <c r="B27" s="16">
        <v>1000</v>
      </c>
      <c r="C27" s="16">
        <f>B27</f>
        <v>1000</v>
      </c>
      <c r="F27" s="32"/>
    </row>
    <row r="28" spans="1:6" x14ac:dyDescent="0.2">
      <c r="A28" t="s">
        <v>108</v>
      </c>
      <c r="B28" s="24">
        <v>0.4</v>
      </c>
      <c r="C28" s="23">
        <v>0.5</v>
      </c>
      <c r="F28" s="32"/>
    </row>
    <row r="29" spans="1:6" x14ac:dyDescent="0.2">
      <c r="A29" s="17" t="s">
        <v>42</v>
      </c>
      <c r="B29" s="18">
        <v>0.15</v>
      </c>
      <c r="F29" s="32"/>
    </row>
    <row r="30" spans="1:6" x14ac:dyDescent="0.2">
      <c r="A30" s="17" t="s">
        <v>17</v>
      </c>
      <c r="B30" s="18">
        <v>0.25</v>
      </c>
      <c r="F30" s="32"/>
    </row>
    <row r="31" spans="1:6" x14ac:dyDescent="0.2">
      <c r="F31" s="32"/>
    </row>
    <row r="32" spans="1:6" x14ac:dyDescent="0.2">
      <c r="A32" t="s">
        <v>22</v>
      </c>
      <c r="B32" s="6">
        <f>C27-B27</f>
        <v>0</v>
      </c>
      <c r="F32" s="32"/>
    </row>
    <row r="33" spans="1:6" x14ac:dyDescent="0.2">
      <c r="A33" t="s">
        <v>109</v>
      </c>
      <c r="B33" s="6">
        <f>(C28*B27-B28*B27)</f>
        <v>100</v>
      </c>
      <c r="F33" s="32"/>
    </row>
    <row r="34" spans="1:6" x14ac:dyDescent="0.2">
      <c r="A34" t="s">
        <v>115</v>
      </c>
      <c r="B34" s="6">
        <f>B25</f>
        <v>40</v>
      </c>
      <c r="F34" s="32"/>
    </row>
    <row r="35" spans="1:6" x14ac:dyDescent="0.2">
      <c r="A35" t="s">
        <v>23</v>
      </c>
      <c r="B35" s="6">
        <f>B33-B34</f>
        <v>60</v>
      </c>
      <c r="F35" s="32"/>
    </row>
    <row r="36" spans="1:6" x14ac:dyDescent="0.2">
      <c r="A36" t="s">
        <v>114</v>
      </c>
      <c r="B36" s="6">
        <f>B35*(1-B30)</f>
        <v>45</v>
      </c>
      <c r="F36" s="32"/>
    </row>
    <row r="37" spans="1:6" x14ac:dyDescent="0.2">
      <c r="A37" t="s">
        <v>116</v>
      </c>
      <c r="B37" s="6">
        <f>B34</f>
        <v>40</v>
      </c>
      <c r="F37" s="32"/>
    </row>
    <row r="38" spans="1:6" x14ac:dyDescent="0.2">
      <c r="A38" t="s">
        <v>24</v>
      </c>
      <c r="B38" s="19">
        <f>B36+B37</f>
        <v>85</v>
      </c>
      <c r="F38" s="32"/>
    </row>
    <row r="39" spans="1:6" ht="17" thickBot="1" x14ac:dyDescent="0.25">
      <c r="F39" s="32"/>
    </row>
    <row r="40" spans="1:6" ht="17" thickBot="1" x14ac:dyDescent="0.25">
      <c r="A40" s="20" t="s">
        <v>106</v>
      </c>
      <c r="B40" s="21">
        <f>-B24+B38*(1-(1+B29)^-10)/B29</f>
        <v>26.595333197609364</v>
      </c>
      <c r="F40" s="32"/>
    </row>
    <row r="41" spans="1:6" x14ac:dyDescent="0.2">
      <c r="F41" s="32"/>
    </row>
    <row r="42" spans="1:6" x14ac:dyDescent="0.2">
      <c r="A42" s="1" t="s">
        <v>25</v>
      </c>
      <c r="F42" s="32"/>
    </row>
    <row r="43" spans="1:6" x14ac:dyDescent="0.2">
      <c r="A43" t="s">
        <v>119</v>
      </c>
      <c r="F43" s="32"/>
    </row>
    <row r="44" spans="1:6" x14ac:dyDescent="0.2">
      <c r="A44" t="s">
        <v>26</v>
      </c>
      <c r="B44">
        <v>5</v>
      </c>
      <c r="F44" s="32" t="s">
        <v>145</v>
      </c>
    </row>
    <row r="45" spans="1:6" x14ac:dyDescent="0.2">
      <c r="A45" t="s">
        <v>27</v>
      </c>
      <c r="B45" s="6">
        <v>-120</v>
      </c>
      <c r="F45" s="32" t="s">
        <v>146</v>
      </c>
    </row>
    <row r="46" spans="1:6" x14ac:dyDescent="0.2">
      <c r="A46" t="s">
        <v>28</v>
      </c>
      <c r="B46" s="6">
        <v>-30</v>
      </c>
      <c r="F46" s="32" t="s">
        <v>147</v>
      </c>
    </row>
    <row r="47" spans="1:6" x14ac:dyDescent="0.2">
      <c r="A47" t="s">
        <v>31</v>
      </c>
      <c r="B47" s="2">
        <v>0.1</v>
      </c>
      <c r="F47" s="32"/>
    </row>
    <row r="48" spans="1:6" x14ac:dyDescent="0.2">
      <c r="A48" t="s">
        <v>29</v>
      </c>
      <c r="F48" s="32"/>
    </row>
    <row r="49" spans="1:6" x14ac:dyDescent="0.2">
      <c r="F49" s="32"/>
    </row>
    <row r="50" spans="1:6" x14ac:dyDescent="0.2">
      <c r="A50" t="s">
        <v>30</v>
      </c>
      <c r="B50" s="6">
        <f>B45+B46*(1-(1+B47)^(-5))/B47</f>
        <v>-233.7236030822535</v>
      </c>
      <c r="F50" s="32"/>
    </row>
    <row r="51" spans="1:6" x14ac:dyDescent="0.2">
      <c r="A51" t="s">
        <v>32</v>
      </c>
      <c r="B51" s="6">
        <f>B50*B47/(1-(1+B47)^(-B44))</f>
        <v>-61.655697695369426</v>
      </c>
      <c r="F51" s="32"/>
    </row>
    <row r="52" spans="1:6" x14ac:dyDescent="0.2">
      <c r="A52" t="s">
        <v>36</v>
      </c>
      <c r="F52" s="32"/>
    </row>
    <row r="53" spans="1:6" x14ac:dyDescent="0.2">
      <c r="A53" t="s">
        <v>33</v>
      </c>
      <c r="B53" s="6">
        <f>B51*(1-(1+B47)^-10)/B47</f>
        <v>-378.84757193823913</v>
      </c>
      <c r="F53" s="32"/>
    </row>
    <row r="54" spans="1:6" ht="17" thickBot="1" x14ac:dyDescent="0.25">
      <c r="A54" t="s">
        <v>34</v>
      </c>
      <c r="B54" s="6">
        <f>B46*(1-(1+B47)^-10)/B47</f>
        <v>-184.33701317114057</v>
      </c>
      <c r="F54" s="32"/>
    </row>
    <row r="55" spans="1:6" ht="17" thickBot="1" x14ac:dyDescent="0.25">
      <c r="A55" t="s">
        <v>35</v>
      </c>
      <c r="B55" s="31">
        <f>B53-B54</f>
        <v>-194.51055876709856</v>
      </c>
      <c r="F55" s="32"/>
    </row>
    <row r="56" spans="1:6" ht="17" thickBot="1" x14ac:dyDescent="0.25">
      <c r="A56" t="s">
        <v>134</v>
      </c>
      <c r="B56" s="6">
        <f>B45</f>
        <v>-120</v>
      </c>
      <c r="F56" s="32"/>
    </row>
    <row r="57" spans="1:6" ht="17" thickBot="1" x14ac:dyDescent="0.25">
      <c r="A57" t="s">
        <v>135</v>
      </c>
      <c r="B57" s="7">
        <f>B55-B56</f>
        <v>-74.510558767098559</v>
      </c>
      <c r="F57" s="32"/>
    </row>
    <row r="58" spans="1:6" x14ac:dyDescent="0.2">
      <c r="F58" s="32"/>
    </row>
    <row r="59" spans="1:6" x14ac:dyDescent="0.2">
      <c r="A59" s="1" t="s">
        <v>37</v>
      </c>
      <c r="F59" s="32"/>
    </row>
    <row r="60" spans="1:6" x14ac:dyDescent="0.2">
      <c r="A60" t="s">
        <v>110</v>
      </c>
      <c r="B60" s="2">
        <v>0.1</v>
      </c>
      <c r="F60" s="32" t="s">
        <v>148</v>
      </c>
    </row>
    <row r="61" spans="1:6" x14ac:dyDescent="0.2">
      <c r="A61" t="s">
        <v>5</v>
      </c>
      <c r="B61" s="8">
        <f>B64+0.65*B65</f>
        <v>7.2500000000000009E-2</v>
      </c>
      <c r="F61" s="32" t="s">
        <v>149</v>
      </c>
    </row>
    <row r="62" spans="1:6" x14ac:dyDescent="0.2">
      <c r="A62" t="s">
        <v>38</v>
      </c>
      <c r="B62" s="9">
        <f>5%*(1-B66)</f>
        <v>3.7500000000000006E-2</v>
      </c>
      <c r="F62" s="32"/>
    </row>
    <row r="63" spans="1:6" x14ac:dyDescent="0.2">
      <c r="A63" t="s">
        <v>42</v>
      </c>
      <c r="B63" s="9">
        <f>B61*(1-B60)+B62*B60</f>
        <v>6.900000000000002E-2</v>
      </c>
      <c r="F63" s="32"/>
    </row>
    <row r="64" spans="1:6" x14ac:dyDescent="0.2">
      <c r="A64" t="s">
        <v>39</v>
      </c>
      <c r="B64" s="2">
        <v>0.04</v>
      </c>
      <c r="F64" s="32"/>
    </row>
    <row r="65" spans="1:6" x14ac:dyDescent="0.2">
      <c r="A65" t="s">
        <v>40</v>
      </c>
      <c r="B65" s="2">
        <v>0.05</v>
      </c>
      <c r="F65" s="32"/>
    </row>
    <row r="66" spans="1:6" x14ac:dyDescent="0.2">
      <c r="A66" t="s">
        <v>41</v>
      </c>
      <c r="B66" s="2">
        <v>0.25</v>
      </c>
      <c r="F66" s="32"/>
    </row>
    <row r="67" spans="1:6" x14ac:dyDescent="0.2">
      <c r="F67" s="32"/>
    </row>
    <row r="68" spans="1:6" x14ac:dyDescent="0.2">
      <c r="A68" t="s">
        <v>111</v>
      </c>
      <c r="F68" s="32"/>
    </row>
    <row r="69" spans="1:6" x14ac:dyDescent="0.2">
      <c r="A69" t="s">
        <v>132</v>
      </c>
      <c r="B69" s="3">
        <v>0.2</v>
      </c>
      <c r="F69" s="32"/>
    </row>
    <row r="70" spans="1:6" x14ac:dyDescent="0.2">
      <c r="A70" t="s">
        <v>43</v>
      </c>
      <c r="B70" s="4">
        <f>(B61-B64)/B65</f>
        <v>0.65000000000000013</v>
      </c>
      <c r="F70" s="32"/>
    </row>
    <row r="71" spans="1:6" x14ac:dyDescent="0.2">
      <c r="A71" t="s">
        <v>44</v>
      </c>
      <c r="B71">
        <f>B70/(1+(1-B66)*(B60/(1-B60)))</f>
        <v>0.6000000000000002</v>
      </c>
      <c r="F71" s="32"/>
    </row>
    <row r="72" spans="1:6" x14ac:dyDescent="0.2">
      <c r="A72" t="s">
        <v>45</v>
      </c>
      <c r="B72" s="11">
        <f>B71*(1+(1-B66)*B69/(1-B69))</f>
        <v>0.71250000000000024</v>
      </c>
      <c r="F72" s="32"/>
    </row>
    <row r="73" spans="1:6" x14ac:dyDescent="0.2">
      <c r="A73" t="s">
        <v>46</v>
      </c>
      <c r="B73" s="3">
        <f>B64+B72*B65</f>
        <v>7.5625000000000012E-2</v>
      </c>
      <c r="F73" s="32"/>
    </row>
    <row r="74" spans="1:6" ht="17" thickBot="1" x14ac:dyDescent="0.25">
      <c r="A74" t="s">
        <v>112</v>
      </c>
      <c r="B74" s="3"/>
      <c r="F74" s="32"/>
    </row>
    <row r="75" spans="1:6" ht="17" thickBot="1" x14ac:dyDescent="0.25">
      <c r="A75" t="s">
        <v>113</v>
      </c>
      <c r="B75" s="22">
        <f>(B63-B73*0.8)/0.2</f>
        <v>4.2500000000000038E-2</v>
      </c>
      <c r="F75" s="32"/>
    </row>
    <row r="76" spans="1:6" x14ac:dyDescent="0.2">
      <c r="F76" s="32"/>
    </row>
    <row r="77" spans="1:6" x14ac:dyDescent="0.2">
      <c r="A77" s="1" t="s">
        <v>47</v>
      </c>
      <c r="F77" s="32"/>
    </row>
    <row r="78" spans="1:6" x14ac:dyDescent="0.2">
      <c r="A78" s="1"/>
      <c r="B78" t="s">
        <v>4</v>
      </c>
      <c r="C78" t="s">
        <v>8</v>
      </c>
      <c r="F78" s="32"/>
    </row>
    <row r="79" spans="1:6" x14ac:dyDescent="0.2">
      <c r="A79" t="s">
        <v>49</v>
      </c>
      <c r="B79">
        <f>160*5</f>
        <v>800</v>
      </c>
      <c r="F79" s="32"/>
    </row>
    <row r="80" spans="1:6" x14ac:dyDescent="0.2">
      <c r="A80" t="s">
        <v>9</v>
      </c>
      <c r="B80">
        <v>200</v>
      </c>
      <c r="C80">
        <v>400</v>
      </c>
      <c r="F80" s="32"/>
    </row>
    <row r="81" spans="1:6" x14ac:dyDescent="0.2">
      <c r="A81" t="s">
        <v>31</v>
      </c>
      <c r="B81" s="2">
        <v>0.09</v>
      </c>
      <c r="C81" s="2">
        <v>0.08</v>
      </c>
      <c r="F81" s="32"/>
    </row>
    <row r="82" spans="1:6" x14ac:dyDescent="0.2">
      <c r="F82" s="32" t="s">
        <v>150</v>
      </c>
    </row>
    <row r="83" spans="1:6" x14ac:dyDescent="0.2">
      <c r="A83" t="s">
        <v>52</v>
      </c>
      <c r="B83">
        <f>B80</f>
        <v>200</v>
      </c>
      <c r="F83" s="32" t="s">
        <v>151</v>
      </c>
    </row>
    <row r="84" spans="1:6" x14ac:dyDescent="0.2">
      <c r="A84" t="s">
        <v>51</v>
      </c>
      <c r="B84">
        <f>40</f>
        <v>40</v>
      </c>
      <c r="F84" s="32" t="s">
        <v>152</v>
      </c>
    </row>
    <row r="85" spans="1:6" x14ac:dyDescent="0.2">
      <c r="A85" t="s">
        <v>48</v>
      </c>
      <c r="B85">
        <v>5</v>
      </c>
      <c r="F85" s="32"/>
    </row>
    <row r="86" spans="1:6" x14ac:dyDescent="0.2">
      <c r="F86" s="32"/>
    </row>
    <row r="87" spans="1:6" x14ac:dyDescent="0.2">
      <c r="A87" t="s">
        <v>50</v>
      </c>
      <c r="B87">
        <f>(B79+B80)*((B81-C81)/C81)</f>
        <v>124.99999999999993</v>
      </c>
      <c r="C87" t="s">
        <v>58</v>
      </c>
      <c r="F87" s="32"/>
    </row>
    <row r="88" spans="1:6" x14ac:dyDescent="0.2">
      <c r="A88" t="s">
        <v>53</v>
      </c>
      <c r="B88">
        <f>(B85-4)*B84</f>
        <v>40</v>
      </c>
      <c r="F88" s="32"/>
    </row>
    <row r="89" spans="1:6" x14ac:dyDescent="0.2">
      <c r="A89" t="s">
        <v>54</v>
      </c>
      <c r="B89">
        <f>B87-B88</f>
        <v>84.999999999999929</v>
      </c>
      <c r="F89" s="32"/>
    </row>
    <row r="90" spans="1:6" x14ac:dyDescent="0.2">
      <c r="A90" t="s">
        <v>55</v>
      </c>
      <c r="B90">
        <f>200-B84</f>
        <v>160</v>
      </c>
      <c r="F90" s="32"/>
    </row>
    <row r="91" spans="1:6" ht="17" thickBot="1" x14ac:dyDescent="0.25">
      <c r="A91" t="s">
        <v>56</v>
      </c>
      <c r="B91">
        <f>B89/B90</f>
        <v>0.53124999999999956</v>
      </c>
      <c r="F91" s="32"/>
    </row>
    <row r="92" spans="1:6" ht="17" thickBot="1" x14ac:dyDescent="0.25">
      <c r="A92" t="s">
        <v>57</v>
      </c>
      <c r="B92" s="7">
        <f>4+B91</f>
        <v>4.53125</v>
      </c>
      <c r="F92" s="32"/>
    </row>
    <row r="93" spans="1:6" x14ac:dyDescent="0.2">
      <c r="F93" s="32"/>
    </row>
    <row r="94" spans="1:6" x14ac:dyDescent="0.2">
      <c r="A94" s="1" t="s">
        <v>59</v>
      </c>
      <c r="F94" s="32"/>
    </row>
    <row r="95" spans="1:6" x14ac:dyDescent="0.2">
      <c r="A95" s="15" t="s">
        <v>120</v>
      </c>
      <c r="B95" s="15"/>
      <c r="C95" s="15" t="s">
        <v>121</v>
      </c>
      <c r="D95" s="15"/>
      <c r="F95" s="32" t="s">
        <v>154</v>
      </c>
    </row>
    <row r="96" spans="1:6" x14ac:dyDescent="0.2">
      <c r="A96" s="17" t="s">
        <v>60</v>
      </c>
      <c r="B96" s="28">
        <v>1600</v>
      </c>
      <c r="C96" s="17" t="s">
        <v>3</v>
      </c>
      <c r="D96" s="28">
        <v>1200</v>
      </c>
      <c r="F96" s="32" t="s">
        <v>153</v>
      </c>
    </row>
    <row r="97" spans="1:6" x14ac:dyDescent="0.2">
      <c r="A97" s="17" t="s">
        <v>63</v>
      </c>
      <c r="B97" s="28">
        <v>400</v>
      </c>
      <c r="C97" s="17" t="s">
        <v>61</v>
      </c>
      <c r="D97" s="28">
        <v>400</v>
      </c>
      <c r="F97" s="32" t="s">
        <v>155</v>
      </c>
    </row>
    <row r="98" spans="1:6" x14ac:dyDescent="0.2">
      <c r="A98" s="17"/>
      <c r="B98" s="17"/>
      <c r="C98" s="17" t="s">
        <v>65</v>
      </c>
      <c r="D98" s="28">
        <v>400</v>
      </c>
      <c r="F98" s="32"/>
    </row>
    <row r="99" spans="1:6" x14ac:dyDescent="0.2">
      <c r="F99" s="32"/>
    </row>
    <row r="100" spans="1:6" x14ac:dyDescent="0.2">
      <c r="A100" t="s">
        <v>62</v>
      </c>
      <c r="B100">
        <f>(B96*12+B97*2)/(B96+B97)</f>
        <v>10</v>
      </c>
      <c r="F100" s="32"/>
    </row>
    <row r="101" spans="1:6" x14ac:dyDescent="0.2">
      <c r="A101" t="s">
        <v>64</v>
      </c>
      <c r="B101">
        <f>(D97*15+D98*1)/(D97+D98)</f>
        <v>8</v>
      </c>
      <c r="F101" s="32"/>
    </row>
    <row r="102" spans="1:6" x14ac:dyDescent="0.2">
      <c r="F102" s="32"/>
    </row>
    <row r="103" spans="1:6" x14ac:dyDescent="0.2">
      <c r="A103" t="s">
        <v>66</v>
      </c>
      <c r="F103" s="32"/>
    </row>
    <row r="104" spans="1:6" x14ac:dyDescent="0.2">
      <c r="F104" s="32"/>
    </row>
    <row r="105" spans="1:6" x14ac:dyDescent="0.2">
      <c r="A105" t="s">
        <v>60</v>
      </c>
      <c r="B105">
        <v>1600</v>
      </c>
      <c r="C105" t="s">
        <v>3</v>
      </c>
      <c r="D105">
        <v>1200</v>
      </c>
      <c r="F105" s="32"/>
    </row>
    <row r="106" spans="1:6" x14ac:dyDescent="0.2">
      <c r="A106" t="s">
        <v>63</v>
      </c>
      <c r="B106">
        <f>B97*2</f>
        <v>800</v>
      </c>
      <c r="C106" t="s">
        <v>61</v>
      </c>
      <c r="D106">
        <v>400</v>
      </c>
      <c r="F106" s="32"/>
    </row>
    <row r="107" spans="1:6" x14ac:dyDescent="0.2">
      <c r="C107" t="s">
        <v>65</v>
      </c>
      <c r="D107">
        <v>400</v>
      </c>
      <c r="F107" s="32"/>
    </row>
    <row r="108" spans="1:6" x14ac:dyDescent="0.2">
      <c r="C108" t="s">
        <v>67</v>
      </c>
      <c r="D108">
        <f>B106-B97</f>
        <v>400</v>
      </c>
      <c r="F108" s="32"/>
    </row>
    <row r="109" spans="1:6" x14ac:dyDescent="0.2">
      <c r="A109" t="s">
        <v>69</v>
      </c>
      <c r="F109" s="32"/>
    </row>
    <row r="110" spans="1:6" x14ac:dyDescent="0.2">
      <c r="A110" t="s">
        <v>62</v>
      </c>
      <c r="B110">
        <f>(B105*12+B106*2)/(B105+B106)</f>
        <v>8.6666666666666661</v>
      </c>
      <c r="F110" s="32"/>
    </row>
    <row r="111" spans="1:6" x14ac:dyDescent="0.2">
      <c r="A111" t="s">
        <v>68</v>
      </c>
      <c r="F111" s="32"/>
    </row>
    <row r="112" spans="1:6" ht="17" thickBot="1" x14ac:dyDescent="0.25">
      <c r="A112" t="s">
        <v>71</v>
      </c>
      <c r="F112" s="32"/>
    </row>
    <row r="113" spans="1:6" ht="17" thickBot="1" x14ac:dyDescent="0.25">
      <c r="A113" t="s">
        <v>70</v>
      </c>
      <c r="B113" s="5">
        <f>(B110-(800/1200)*8)/(400/1200)</f>
        <v>10</v>
      </c>
      <c r="F113" s="32"/>
    </row>
    <row r="114" spans="1:6" x14ac:dyDescent="0.2">
      <c r="F114" s="32"/>
    </row>
    <row r="115" spans="1:6" x14ac:dyDescent="0.2">
      <c r="A115" s="1" t="s">
        <v>72</v>
      </c>
      <c r="F115" s="32"/>
    </row>
    <row r="116" spans="1:6" x14ac:dyDescent="0.2">
      <c r="B116" t="s">
        <v>73</v>
      </c>
      <c r="C116" t="s">
        <v>74</v>
      </c>
      <c r="F116" s="32"/>
    </row>
    <row r="117" spans="1:6" x14ac:dyDescent="0.2">
      <c r="A117" t="s">
        <v>75</v>
      </c>
      <c r="B117" s="6">
        <v>2.5</v>
      </c>
      <c r="C117" s="6">
        <v>2.5</v>
      </c>
      <c r="F117" s="32" t="s">
        <v>157</v>
      </c>
    </row>
    <row r="118" spans="1:6" x14ac:dyDescent="0.2">
      <c r="A118" t="s">
        <v>76</v>
      </c>
      <c r="B118" s="6">
        <v>2.25</v>
      </c>
      <c r="C118" s="6"/>
      <c r="F118" s="32" t="s">
        <v>156</v>
      </c>
    </row>
    <row r="119" spans="1:6" x14ac:dyDescent="0.2">
      <c r="A119" t="s">
        <v>77</v>
      </c>
      <c r="B119" s="2">
        <v>0.4</v>
      </c>
      <c r="C119" s="2"/>
      <c r="F119" s="32"/>
    </row>
    <row r="120" spans="1:6" x14ac:dyDescent="0.2">
      <c r="A120" t="s">
        <v>131</v>
      </c>
      <c r="F120" s="32"/>
    </row>
    <row r="121" spans="1:6" x14ac:dyDescent="0.2">
      <c r="A121" t="s">
        <v>128</v>
      </c>
      <c r="F121" s="32"/>
    </row>
    <row r="122" spans="1:6" x14ac:dyDescent="0.2">
      <c r="A122" t="s">
        <v>133</v>
      </c>
      <c r="F122" s="32"/>
    </row>
    <row r="123" spans="1:6" x14ac:dyDescent="0.2">
      <c r="A123" t="s">
        <v>129</v>
      </c>
      <c r="B123" s="3">
        <v>0.16669999999999999</v>
      </c>
      <c r="F123" s="32"/>
    </row>
    <row r="124" spans="1:6" x14ac:dyDescent="0.2">
      <c r="A124" t="s">
        <v>130</v>
      </c>
      <c r="F124" s="32"/>
    </row>
    <row r="125" spans="1:6" x14ac:dyDescent="0.2">
      <c r="A125" t="s">
        <v>129</v>
      </c>
      <c r="B125" s="3">
        <f>B123*2</f>
        <v>0.33339999999999997</v>
      </c>
      <c r="F125" s="32"/>
    </row>
    <row r="126" spans="1:6" ht="17" thickBot="1" x14ac:dyDescent="0.25">
      <c r="F126" s="32"/>
    </row>
    <row r="127" spans="1:6" ht="17" thickBot="1" x14ac:dyDescent="0.25">
      <c r="A127" t="s">
        <v>78</v>
      </c>
      <c r="B127" s="7">
        <f>(1-0.4)/(1-(1-B125)*0.4)*C117</f>
        <v>2.045380167993891</v>
      </c>
      <c r="F127" s="32"/>
    </row>
    <row r="128" spans="1:6" x14ac:dyDescent="0.2">
      <c r="F128" s="32"/>
    </row>
    <row r="129" spans="1:6" x14ac:dyDescent="0.2">
      <c r="A129" s="1" t="s">
        <v>79</v>
      </c>
      <c r="F129" s="32"/>
    </row>
    <row r="130" spans="1:6" x14ac:dyDescent="0.2">
      <c r="B130" t="s">
        <v>122</v>
      </c>
      <c r="C130" t="s">
        <v>86</v>
      </c>
      <c r="F130" s="32"/>
    </row>
    <row r="131" spans="1:6" x14ac:dyDescent="0.2">
      <c r="A131" t="s">
        <v>80</v>
      </c>
      <c r="B131" s="6">
        <v>100</v>
      </c>
      <c r="C131" s="6">
        <v>120</v>
      </c>
      <c r="F131" s="32"/>
    </row>
    <row r="132" spans="1:6" x14ac:dyDescent="0.2">
      <c r="A132" t="s">
        <v>83</v>
      </c>
      <c r="B132" s="6">
        <v>50</v>
      </c>
      <c r="C132" s="6">
        <v>60</v>
      </c>
      <c r="F132" s="32"/>
    </row>
    <row r="133" spans="1:6" x14ac:dyDescent="0.2">
      <c r="A133" t="s">
        <v>81</v>
      </c>
      <c r="B133" s="6">
        <v>25</v>
      </c>
      <c r="C133" s="6">
        <f>C131*0.25</f>
        <v>30</v>
      </c>
      <c r="F133" s="32"/>
    </row>
    <row r="134" spans="1:6" x14ac:dyDescent="0.2">
      <c r="A134" t="s">
        <v>82</v>
      </c>
      <c r="B134" s="6">
        <v>80</v>
      </c>
      <c r="C134" s="6">
        <v>100</v>
      </c>
      <c r="F134" s="32"/>
    </row>
    <row r="135" spans="1:6" x14ac:dyDescent="0.2">
      <c r="A135" t="s">
        <v>89</v>
      </c>
      <c r="F135" s="32"/>
    </row>
    <row r="136" spans="1:6" x14ac:dyDescent="0.2">
      <c r="F136" s="32"/>
    </row>
    <row r="137" spans="1:6" x14ac:dyDescent="0.2">
      <c r="A137" t="s">
        <v>81</v>
      </c>
      <c r="C137" s="12">
        <f>C133</f>
        <v>30</v>
      </c>
      <c r="F137" s="32" t="s">
        <v>158</v>
      </c>
    </row>
    <row r="138" spans="1:6" x14ac:dyDescent="0.2">
      <c r="A138" t="s">
        <v>85</v>
      </c>
      <c r="C138" s="12">
        <f>C134-B134</f>
        <v>20</v>
      </c>
      <c r="F138" s="32" t="s">
        <v>159</v>
      </c>
    </row>
    <row r="139" spans="1:6" x14ac:dyDescent="0.2">
      <c r="A139" t="s">
        <v>84</v>
      </c>
      <c r="C139" s="12">
        <f>C137+C138</f>
        <v>50</v>
      </c>
      <c r="F139" s="32" t="s">
        <v>160</v>
      </c>
    </row>
    <row r="140" spans="1:6" x14ac:dyDescent="0.2">
      <c r="A140" t="s">
        <v>80</v>
      </c>
      <c r="C140" s="12">
        <f>C131</f>
        <v>120</v>
      </c>
      <c r="F140" s="32"/>
    </row>
    <row r="141" spans="1:6" x14ac:dyDescent="0.2">
      <c r="A141" t="s">
        <v>87</v>
      </c>
      <c r="C141" s="12">
        <f>C140-C139</f>
        <v>70</v>
      </c>
      <c r="F141" s="32"/>
    </row>
    <row r="142" spans="1:6" x14ac:dyDescent="0.2">
      <c r="A142" t="s">
        <v>88</v>
      </c>
      <c r="C142" s="12">
        <f>C141/0.8</f>
        <v>87.5</v>
      </c>
      <c r="F142" s="32"/>
    </row>
    <row r="143" spans="1:6" ht="17" thickBot="1" x14ac:dyDescent="0.25">
      <c r="A143" t="s">
        <v>83</v>
      </c>
      <c r="C143" s="12">
        <f>C132</f>
        <v>60</v>
      </c>
      <c r="F143" s="32"/>
    </row>
    <row r="144" spans="1:6" ht="17" thickBot="1" x14ac:dyDescent="0.25">
      <c r="A144" t="s">
        <v>21</v>
      </c>
      <c r="C144" s="13">
        <f>C142+C143</f>
        <v>147.5</v>
      </c>
      <c r="F144" s="32"/>
    </row>
    <row r="145" spans="1:6" x14ac:dyDescent="0.2">
      <c r="F145" s="32"/>
    </row>
    <row r="146" spans="1:6" x14ac:dyDescent="0.2">
      <c r="F146" s="32"/>
    </row>
    <row r="147" spans="1:6" x14ac:dyDescent="0.2">
      <c r="A147" s="1" t="s">
        <v>90</v>
      </c>
      <c r="F147" s="32"/>
    </row>
    <row r="148" spans="1:6" x14ac:dyDescent="0.2">
      <c r="B148" s="15" t="s">
        <v>122</v>
      </c>
      <c r="C148" s="30">
        <v>1</v>
      </c>
      <c r="D148" s="29">
        <v>2</v>
      </c>
      <c r="E148" s="29">
        <v>3</v>
      </c>
      <c r="F148" s="32" t="s">
        <v>161</v>
      </c>
    </row>
    <row r="149" spans="1:6" x14ac:dyDescent="0.2">
      <c r="A149" s="17" t="s">
        <v>92</v>
      </c>
      <c r="B149" s="16">
        <v>150</v>
      </c>
      <c r="C149" s="16">
        <f>150*1.1</f>
        <v>165</v>
      </c>
      <c r="D149" s="16">
        <f t="shared" ref="D149:E152" si="0">C149*1.1</f>
        <v>181.50000000000003</v>
      </c>
      <c r="E149" s="16">
        <f t="shared" si="0"/>
        <v>199.65000000000003</v>
      </c>
      <c r="F149" s="32" t="s">
        <v>162</v>
      </c>
    </row>
    <row r="150" spans="1:6" x14ac:dyDescent="0.2">
      <c r="A150" s="17" t="s">
        <v>93</v>
      </c>
      <c r="B150" s="16">
        <v>40</v>
      </c>
      <c r="C150" s="16">
        <f>40*1.1</f>
        <v>44</v>
      </c>
      <c r="D150" s="16">
        <f t="shared" si="0"/>
        <v>48.400000000000006</v>
      </c>
      <c r="E150" s="16">
        <f t="shared" si="0"/>
        <v>53.240000000000009</v>
      </c>
      <c r="F150" s="32" t="s">
        <v>163</v>
      </c>
    </row>
    <row r="151" spans="1:6" x14ac:dyDescent="0.2">
      <c r="A151" s="17" t="s">
        <v>94</v>
      </c>
      <c r="B151" s="16">
        <v>100</v>
      </c>
      <c r="C151" s="16">
        <f>100*1.1</f>
        <v>110.00000000000001</v>
      </c>
      <c r="D151" s="16">
        <f t="shared" si="0"/>
        <v>121.00000000000003</v>
      </c>
      <c r="E151" s="16">
        <f t="shared" si="0"/>
        <v>133.10000000000005</v>
      </c>
      <c r="F151" s="32"/>
    </row>
    <row r="152" spans="1:6" x14ac:dyDescent="0.2">
      <c r="A152" s="17" t="s">
        <v>95</v>
      </c>
      <c r="B152" s="16">
        <v>40</v>
      </c>
      <c r="C152" s="16">
        <f>40*1.1</f>
        <v>44</v>
      </c>
      <c r="D152" s="16">
        <f t="shared" si="0"/>
        <v>48.400000000000006</v>
      </c>
      <c r="E152" s="16">
        <f t="shared" si="0"/>
        <v>53.240000000000009</v>
      </c>
      <c r="F152" s="32"/>
    </row>
    <row r="153" spans="1:6" x14ac:dyDescent="0.2">
      <c r="A153" s="17" t="s">
        <v>91</v>
      </c>
      <c r="B153" s="16">
        <f>B149+B150-B151-B152</f>
        <v>50</v>
      </c>
      <c r="C153" s="16">
        <f>C149+C150-C151-C152</f>
        <v>54.999999999999986</v>
      </c>
      <c r="D153" s="16">
        <f t="shared" ref="D153:E153" si="1">D149+D150-D151-D152</f>
        <v>60.5</v>
      </c>
      <c r="E153" s="16">
        <f t="shared" si="1"/>
        <v>66.549999999999983</v>
      </c>
      <c r="F153" s="32"/>
    </row>
    <row r="154" spans="1:6" x14ac:dyDescent="0.2">
      <c r="A154" s="17" t="s">
        <v>97</v>
      </c>
      <c r="B154" s="16"/>
      <c r="C154" s="16">
        <f>C153/1.12^C148</f>
        <v>49.10714285714284</v>
      </c>
      <c r="D154" s="16">
        <f t="shared" ref="D154:E154" si="2">D153/1.12^D148</f>
        <v>48.230229591836725</v>
      </c>
      <c r="E154" s="16">
        <f t="shared" si="2"/>
        <v>47.368975491982482</v>
      </c>
      <c r="F154" s="32"/>
    </row>
    <row r="155" spans="1:6" x14ac:dyDescent="0.2">
      <c r="B155" s="14"/>
      <c r="C155" s="14"/>
      <c r="D155" s="14"/>
      <c r="F155" s="32"/>
    </row>
    <row r="156" spans="1:6" x14ac:dyDescent="0.2">
      <c r="A156" t="s">
        <v>96</v>
      </c>
      <c r="B156" s="2">
        <v>0.03</v>
      </c>
      <c r="F156" s="32"/>
    </row>
    <row r="157" spans="1:6" x14ac:dyDescent="0.2">
      <c r="A157" t="s">
        <v>99</v>
      </c>
      <c r="B157" s="2">
        <v>0.09</v>
      </c>
      <c r="F157" s="32"/>
    </row>
    <row r="158" spans="1:6" x14ac:dyDescent="0.2">
      <c r="F158" s="32"/>
    </row>
    <row r="159" spans="1:6" x14ac:dyDescent="0.2">
      <c r="A159" t="s">
        <v>100</v>
      </c>
      <c r="B159" s="3">
        <f>1-SUM(C153:E153)/SUM(C149:E149)</f>
        <v>0.66666666666666674</v>
      </c>
      <c r="F159" s="32"/>
    </row>
    <row r="160" spans="1:6" x14ac:dyDescent="0.2">
      <c r="A160" t="s">
        <v>101</v>
      </c>
      <c r="B160" s="2">
        <v>0.1</v>
      </c>
      <c r="F160" s="32"/>
    </row>
    <row r="161" spans="1:6" x14ac:dyDescent="0.2">
      <c r="F161" s="32"/>
    </row>
    <row r="162" spans="1:6" x14ac:dyDescent="0.2">
      <c r="A162" t="s">
        <v>98</v>
      </c>
      <c r="B162" s="10">
        <f>B160/B159</f>
        <v>0.15</v>
      </c>
      <c r="F162" s="32"/>
    </row>
    <row r="163" spans="1:6" x14ac:dyDescent="0.2">
      <c r="A163" t="s">
        <v>102</v>
      </c>
      <c r="B163" s="10">
        <f>B156/B162</f>
        <v>0.2</v>
      </c>
      <c r="F163" s="32"/>
    </row>
    <row r="164" spans="1:6" x14ac:dyDescent="0.2">
      <c r="A164" t="s">
        <v>103</v>
      </c>
      <c r="B164" s="6">
        <f>E149*(1+B156)</f>
        <v>205.63950000000003</v>
      </c>
      <c r="F164" s="32"/>
    </row>
    <row r="165" spans="1:6" x14ac:dyDescent="0.2">
      <c r="A165" t="s">
        <v>104</v>
      </c>
      <c r="B165" s="6">
        <f>B164*(1-B163)</f>
        <v>164.51160000000004</v>
      </c>
      <c r="F165" s="32"/>
    </row>
    <row r="166" spans="1:6" x14ac:dyDescent="0.2">
      <c r="A166" t="s">
        <v>105</v>
      </c>
      <c r="B166" s="6">
        <f>B165/(B157-B156)</f>
        <v>2741.860000000001</v>
      </c>
      <c r="C166" t="s">
        <v>126</v>
      </c>
      <c r="F166" s="32"/>
    </row>
    <row r="167" spans="1:6" x14ac:dyDescent="0.2">
      <c r="A167" t="s">
        <v>123</v>
      </c>
      <c r="B167" s="6">
        <f>B166/1.12^3</f>
        <v>1951.6017902696794</v>
      </c>
      <c r="C167" t="s">
        <v>127</v>
      </c>
      <c r="E167" s="1"/>
      <c r="F167" s="32"/>
    </row>
    <row r="168" spans="1:6" ht="17" thickBot="1" x14ac:dyDescent="0.25">
      <c r="A168" t="s">
        <v>124</v>
      </c>
      <c r="B168" s="6">
        <f>SUM(C154:E154)</f>
        <v>144.70634794096205</v>
      </c>
      <c r="F168" s="32"/>
    </row>
    <row r="169" spans="1:6" ht="17" thickBot="1" x14ac:dyDescent="0.25">
      <c r="A169" t="s">
        <v>125</v>
      </c>
      <c r="B169" s="21">
        <f>B167+B168</f>
        <v>2096.3081382106416</v>
      </c>
      <c r="F169" s="32"/>
    </row>
    <row r="170" spans="1:6" x14ac:dyDescent="0.2">
      <c r="F170" s="32"/>
    </row>
  </sheetData>
  <pageMargins left="0.7" right="0.7" top="0.75" bottom="0.75" header="0.3" footer="0.3"/>
  <pageSetup scale="56" fitToHeight="3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2025-05-12T19:44:07Z</cp:lastPrinted>
  <dcterms:created xsi:type="dcterms:W3CDTF">2025-04-19T15:37:37Z</dcterms:created>
  <dcterms:modified xsi:type="dcterms:W3CDTF">2025-05-15T14:49:08Z</dcterms:modified>
</cp:coreProperties>
</file>