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1.xml" ContentType="application/vnd.openxmlformats-officedocument.spreadsheetml.chart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ate1904="1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TEACHING/cfspr21/Google Case/"/>
    </mc:Choice>
  </mc:AlternateContent>
  <xr:revisionPtr revIDLastSave="0" documentId="13_ncr:1_{BB9E27D3-8052-5049-B54B-A997DA553969}" xr6:coauthVersionLast="46" xr6:coauthVersionMax="46" xr10:uidLastSave="{00000000-0000-0000-0000-000000000000}"/>
  <bookViews>
    <workbookView xWindow="2640" yWindow="500" windowWidth="27120" windowHeight="17560" xr2:uid="{00000000-000D-0000-FFFF-FFFF00000000}"/>
  </bookViews>
  <sheets>
    <sheet name="Finite Life Analysis" sheetId="1" r:id="rId1"/>
    <sheet name="Longer Life Analysis" sheetId="18" r:id="rId2"/>
    <sheet name="Beta" sheetId="3" r:id="rId3"/>
    <sheet name="ROIC" sheetId="2" r:id="rId4"/>
    <sheet name="Senschart" sheetId="19" r:id="rId5"/>
    <sheet name="Sensitivity to price &amp; costs" sheetId="5" r:id="rId6"/>
    <sheet name="Operating Leases" sheetId="6" r:id="rId7"/>
    <sheet name="ERP calculation" sheetId="7" r:id="rId8"/>
    <sheet name="ROIC calculations" sheetId="8" r:id="rId9"/>
    <sheet name="Finite vs Infinite" sheetId="9" r:id="rId10"/>
    <sheet name="Sheet10" sheetId="10" r:id="rId11"/>
    <sheet name="Sheet11" sheetId="11" r:id="rId12"/>
    <sheet name="Sheet12" sheetId="12" r:id="rId13"/>
    <sheet name="Sheet13" sheetId="13" r:id="rId14"/>
    <sheet name="Sheet14" sheetId="14" r:id="rId15"/>
    <sheet name="Sheet15" sheetId="15" r:id="rId16"/>
    <sheet name="Sheet16" sheetId="16" r:id="rId17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18" i="18" l="1"/>
  <c r="K118" i="18"/>
  <c r="J118" i="18"/>
  <c r="I118" i="18"/>
  <c r="H118" i="18"/>
  <c r="G118" i="18"/>
  <c r="F118" i="18"/>
  <c r="E118" i="18"/>
  <c r="D118" i="18"/>
  <c r="C118" i="18"/>
  <c r="B118" i="18"/>
  <c r="B12" i="9"/>
  <c r="B11" i="9"/>
  <c r="B10" i="9"/>
  <c r="B9" i="9"/>
  <c r="B8" i="9"/>
  <c r="B7" i="9"/>
  <c r="B6" i="9"/>
  <c r="B5" i="9"/>
  <c r="B4" i="9"/>
  <c r="B3" i="9"/>
  <c r="B2" i="9"/>
  <c r="E10" i="2"/>
  <c r="K10" i="2"/>
  <c r="J10" i="2"/>
  <c r="I10" i="2"/>
  <c r="H10" i="2"/>
  <c r="G10" i="2"/>
  <c r="F10" i="2"/>
  <c r="D10" i="2"/>
  <c r="C10" i="2"/>
  <c r="K9" i="2"/>
  <c r="J9" i="2"/>
  <c r="I9" i="2"/>
  <c r="H9" i="2"/>
  <c r="G9" i="2"/>
  <c r="F9" i="2"/>
  <c r="E9" i="2"/>
  <c r="D9" i="2"/>
  <c r="C9" i="2"/>
  <c r="K8" i="2"/>
  <c r="K11" i="2" s="1"/>
  <c r="J8" i="2"/>
  <c r="J11" i="2" s="1"/>
  <c r="I8" i="2"/>
  <c r="H8" i="2"/>
  <c r="H11" i="2" s="1"/>
  <c r="H13" i="2" s="1"/>
  <c r="G8" i="2"/>
  <c r="F8" i="2"/>
  <c r="E8" i="2"/>
  <c r="E11" i="2" s="1"/>
  <c r="D8" i="2"/>
  <c r="D11" i="2" s="1"/>
  <c r="C8" i="2"/>
  <c r="C11" i="2" s="1"/>
  <c r="B10" i="2"/>
  <c r="M10" i="2" s="1"/>
  <c r="B9" i="2"/>
  <c r="M9" i="2" s="1"/>
  <c r="B8" i="2"/>
  <c r="M8" i="2" s="1"/>
  <c r="C5" i="2"/>
  <c r="C15" i="2" s="1"/>
  <c r="D4" i="2"/>
  <c r="D14" i="2" s="1"/>
  <c r="K3" i="2"/>
  <c r="K4" i="2" s="1"/>
  <c r="K6" i="2" s="1"/>
  <c r="K16" i="2" s="1"/>
  <c r="J3" i="2"/>
  <c r="J5" i="2" s="1"/>
  <c r="J15" i="2" s="1"/>
  <c r="I3" i="2"/>
  <c r="I5" i="2" s="1"/>
  <c r="H3" i="2"/>
  <c r="H5" i="2" s="1"/>
  <c r="H15" i="2" s="1"/>
  <c r="G3" i="2"/>
  <c r="G5" i="2" s="1"/>
  <c r="F3" i="2"/>
  <c r="E3" i="2"/>
  <c r="E4" i="2" s="1"/>
  <c r="E6" i="2" s="1"/>
  <c r="E16" i="2" s="1"/>
  <c r="D3" i="2"/>
  <c r="D5" i="2" s="1"/>
  <c r="D15" i="2" s="1"/>
  <c r="C3" i="2"/>
  <c r="C4" i="2" s="1"/>
  <c r="C6" i="2" s="1"/>
  <c r="C16" i="2" s="1"/>
  <c r="B3" i="2"/>
  <c r="B5" i="2" s="1"/>
  <c r="C2" i="2"/>
  <c r="D2" i="2" s="1"/>
  <c r="E2" i="2" s="1"/>
  <c r="F2" i="2" s="1"/>
  <c r="G2" i="2" s="1"/>
  <c r="H2" i="2" s="1"/>
  <c r="I2" i="2" s="1"/>
  <c r="J2" i="2" s="1"/>
  <c r="K2" i="2" s="1"/>
  <c r="B74" i="3"/>
  <c r="J96" i="1"/>
  <c r="K98" i="1" s="1"/>
  <c r="B34" i="1"/>
  <c r="B31" i="1"/>
  <c r="J69" i="3"/>
  <c r="J68" i="3"/>
  <c r="I69" i="3"/>
  <c r="I68" i="3"/>
  <c r="H69" i="3"/>
  <c r="B73" i="3" s="1"/>
  <c r="H68" i="3"/>
  <c r="E69" i="3"/>
  <c r="B72" i="3" s="1"/>
  <c r="E68" i="3"/>
  <c r="G65" i="3"/>
  <c r="F65" i="3"/>
  <c r="D65" i="3"/>
  <c r="C65" i="3"/>
  <c r="B65" i="3"/>
  <c r="H64" i="3"/>
  <c r="F64" i="3"/>
  <c r="I64" i="3" s="1"/>
  <c r="J64" i="3" s="1"/>
  <c r="B16" i="1"/>
  <c r="B7" i="18"/>
  <c r="G76" i="18" s="1"/>
  <c r="F76" i="18"/>
  <c r="E76" i="18"/>
  <c r="D76" i="18"/>
  <c r="C38" i="1"/>
  <c r="D38" i="1"/>
  <c r="E38" i="1"/>
  <c r="F38" i="1"/>
  <c r="G38" i="1"/>
  <c r="H38" i="1"/>
  <c r="I38" i="1"/>
  <c r="J38" i="1"/>
  <c r="K38" i="1"/>
  <c r="K40" i="1"/>
  <c r="C43" i="1"/>
  <c r="D43" i="1"/>
  <c r="E43" i="1"/>
  <c r="F43" i="1"/>
  <c r="G43" i="1"/>
  <c r="H43" i="1"/>
  <c r="I43" i="1"/>
  <c r="J43" i="1"/>
  <c r="K43" i="1"/>
  <c r="K48" i="1"/>
  <c r="C44" i="1"/>
  <c r="D44" i="1"/>
  <c r="E44" i="1"/>
  <c r="F44" i="1"/>
  <c r="G44" i="1"/>
  <c r="H44" i="1"/>
  <c r="I44" i="1"/>
  <c r="J44" i="1"/>
  <c r="K44" i="1"/>
  <c r="K49" i="1"/>
  <c r="K41" i="1"/>
  <c r="K45" i="1"/>
  <c r="K50" i="1"/>
  <c r="K42" i="1"/>
  <c r="K46" i="1"/>
  <c r="K51" i="1"/>
  <c r="C84" i="1"/>
  <c r="D40" i="1"/>
  <c r="D48" i="1"/>
  <c r="C40" i="1"/>
  <c r="C48" i="1"/>
  <c r="D84" i="1"/>
  <c r="E40" i="1"/>
  <c r="E48" i="1"/>
  <c r="E84" i="1"/>
  <c r="F40" i="1"/>
  <c r="F48" i="1"/>
  <c r="F84" i="1"/>
  <c r="G40" i="1"/>
  <c r="G48" i="1"/>
  <c r="G84" i="1"/>
  <c r="H39" i="1"/>
  <c r="H40" i="1"/>
  <c r="H48" i="1"/>
  <c r="H84" i="1"/>
  <c r="I39" i="1"/>
  <c r="I40" i="1"/>
  <c r="I48" i="1"/>
  <c r="I84" i="1"/>
  <c r="J39" i="1"/>
  <c r="J40" i="1"/>
  <c r="J48" i="1"/>
  <c r="J84" i="1"/>
  <c r="K84" i="1"/>
  <c r="B82" i="1"/>
  <c r="C82" i="1"/>
  <c r="D82" i="1"/>
  <c r="E82" i="1"/>
  <c r="F82" i="1"/>
  <c r="G82" i="1"/>
  <c r="H82" i="1"/>
  <c r="I82" i="1"/>
  <c r="J82" i="1"/>
  <c r="K82" i="1"/>
  <c r="K83" i="1"/>
  <c r="K53" i="1"/>
  <c r="C76" i="1"/>
  <c r="C77" i="1"/>
  <c r="C78" i="1"/>
  <c r="D78" i="1"/>
  <c r="E78" i="1"/>
  <c r="F78" i="1"/>
  <c r="G78" i="1"/>
  <c r="H78" i="1"/>
  <c r="I78" i="1"/>
  <c r="J78" i="1"/>
  <c r="K78" i="1"/>
  <c r="E96" i="1"/>
  <c r="B87" i="1"/>
  <c r="C87" i="1"/>
  <c r="D87" i="1"/>
  <c r="E87" i="1"/>
  <c r="F87" i="1"/>
  <c r="G87" i="1"/>
  <c r="H87" i="1"/>
  <c r="I87" i="1"/>
  <c r="J87" i="1"/>
  <c r="K87" i="1"/>
  <c r="K88" i="1"/>
  <c r="K89" i="1"/>
  <c r="K54" i="1"/>
  <c r="L38" i="1"/>
  <c r="L40" i="1"/>
  <c r="L43" i="1"/>
  <c r="L48" i="1"/>
  <c r="L44" i="1"/>
  <c r="L49" i="1"/>
  <c r="L41" i="1"/>
  <c r="L45" i="1"/>
  <c r="L50" i="1"/>
  <c r="L42" i="1"/>
  <c r="L46" i="1"/>
  <c r="L51" i="1"/>
  <c r="L84" i="1"/>
  <c r="L82" i="1"/>
  <c r="L83" i="1"/>
  <c r="L53" i="1"/>
  <c r="L78" i="1"/>
  <c r="L87" i="1"/>
  <c r="L88" i="1"/>
  <c r="L89" i="1"/>
  <c r="L54" i="1"/>
  <c r="K67" i="1"/>
  <c r="K68" i="1"/>
  <c r="K69" i="1"/>
  <c r="K70" i="1"/>
  <c r="D76" i="1"/>
  <c r="E76" i="1"/>
  <c r="E79" i="1"/>
  <c r="F76" i="1"/>
  <c r="F79" i="1"/>
  <c r="G76" i="1"/>
  <c r="G79" i="1"/>
  <c r="H76" i="1"/>
  <c r="H79" i="1"/>
  <c r="I76" i="1"/>
  <c r="I79" i="1"/>
  <c r="J76" i="1"/>
  <c r="J79" i="1"/>
  <c r="F98" i="1"/>
  <c r="F99" i="1"/>
  <c r="G98" i="1"/>
  <c r="G99" i="1"/>
  <c r="H98" i="1"/>
  <c r="H99" i="1"/>
  <c r="I98" i="1"/>
  <c r="I99" i="1"/>
  <c r="J98" i="1"/>
  <c r="J99" i="1"/>
  <c r="J49" i="1"/>
  <c r="J67" i="1"/>
  <c r="J68" i="1"/>
  <c r="J69" i="1"/>
  <c r="J70" i="1"/>
  <c r="J102" i="1"/>
  <c r="L67" i="1"/>
  <c r="L68" i="1"/>
  <c r="L69" i="1"/>
  <c r="L70" i="1"/>
  <c r="K76" i="1"/>
  <c r="K79" i="1"/>
  <c r="L76" i="1"/>
  <c r="L79" i="1"/>
  <c r="L102" i="1"/>
  <c r="J52" i="1"/>
  <c r="J41" i="1"/>
  <c r="J45" i="1"/>
  <c r="J50" i="1"/>
  <c r="J42" i="1"/>
  <c r="J46" i="1"/>
  <c r="J51" i="1"/>
  <c r="J83" i="1"/>
  <c r="J53" i="1"/>
  <c r="J88" i="1"/>
  <c r="J89" i="1"/>
  <c r="J54" i="1"/>
  <c r="J55" i="1"/>
  <c r="J56" i="1"/>
  <c r="J57" i="1"/>
  <c r="J101" i="1"/>
  <c r="J98" i="18"/>
  <c r="J61" i="18" s="1"/>
  <c r="L93" i="1"/>
  <c r="L95" i="18"/>
  <c r="K93" i="1"/>
  <c r="K95" i="18"/>
  <c r="J93" i="1"/>
  <c r="J95" i="18"/>
  <c r="I93" i="1"/>
  <c r="I95" i="18"/>
  <c r="H93" i="1"/>
  <c r="H95" i="18"/>
  <c r="G93" i="1"/>
  <c r="G95" i="18"/>
  <c r="F93" i="1"/>
  <c r="F95" i="18"/>
  <c r="E93" i="1"/>
  <c r="E95" i="18"/>
  <c r="D93" i="1"/>
  <c r="D95" i="18"/>
  <c r="C93" i="1"/>
  <c r="C95" i="18"/>
  <c r="B94" i="18"/>
  <c r="J61" i="1"/>
  <c r="F63" i="3"/>
  <c r="I63" i="3" s="1"/>
  <c r="J63" i="3" s="1"/>
  <c r="F62" i="3"/>
  <c r="I62" i="3" s="1"/>
  <c r="J62" i="3" s="1"/>
  <c r="F61" i="3"/>
  <c r="I61" i="3"/>
  <c r="J61" i="3"/>
  <c r="F60" i="3"/>
  <c r="I60" i="3"/>
  <c r="J60" i="3" s="1"/>
  <c r="F59" i="3"/>
  <c r="I59" i="3" s="1"/>
  <c r="J59" i="3" s="1"/>
  <c r="F58" i="3"/>
  <c r="I58" i="3"/>
  <c r="J58" i="3"/>
  <c r="F57" i="3"/>
  <c r="I57" i="3"/>
  <c r="J57" i="3" s="1"/>
  <c r="F56" i="3"/>
  <c r="I56" i="3"/>
  <c r="J56" i="3"/>
  <c r="F55" i="3"/>
  <c r="G55" i="3" s="1"/>
  <c r="I55" i="3"/>
  <c r="J55" i="3"/>
  <c r="F54" i="3"/>
  <c r="I54" i="3" s="1"/>
  <c r="J54" i="3" s="1"/>
  <c r="F53" i="3"/>
  <c r="I53" i="3"/>
  <c r="J53" i="3"/>
  <c r="F52" i="3"/>
  <c r="I52" i="3"/>
  <c r="J52" i="3"/>
  <c r="F51" i="3"/>
  <c r="I51" i="3" s="1"/>
  <c r="J51" i="3" s="1"/>
  <c r="F50" i="3"/>
  <c r="I50" i="3"/>
  <c r="J50" i="3"/>
  <c r="F49" i="3"/>
  <c r="I49" i="3"/>
  <c r="J49" i="3" s="1"/>
  <c r="F48" i="3"/>
  <c r="I48" i="3"/>
  <c r="J48" i="3"/>
  <c r="F47" i="3"/>
  <c r="G47" i="3" s="1"/>
  <c r="I47" i="3"/>
  <c r="J47" i="3"/>
  <c r="F46" i="3"/>
  <c r="I46" i="3" s="1"/>
  <c r="J46" i="3" s="1"/>
  <c r="F45" i="3"/>
  <c r="I45" i="3"/>
  <c r="J45" i="3"/>
  <c r="F44" i="3"/>
  <c r="I44" i="3"/>
  <c r="J44" i="3"/>
  <c r="F43" i="3"/>
  <c r="I43" i="3" s="1"/>
  <c r="J43" i="3" s="1"/>
  <c r="F42" i="3"/>
  <c r="I42" i="3"/>
  <c r="J42" i="3"/>
  <c r="F41" i="3"/>
  <c r="I41" i="3"/>
  <c r="J41" i="3" s="1"/>
  <c r="F40" i="3"/>
  <c r="I40" i="3"/>
  <c r="J40" i="3"/>
  <c r="F39" i="3"/>
  <c r="G39" i="3" s="1"/>
  <c r="I39" i="3"/>
  <c r="J39" i="3"/>
  <c r="F38" i="3"/>
  <c r="I38" i="3" s="1"/>
  <c r="J38" i="3" s="1"/>
  <c r="F37" i="3"/>
  <c r="I37" i="3"/>
  <c r="J37" i="3"/>
  <c r="F36" i="3"/>
  <c r="I36" i="3"/>
  <c r="J36" i="3"/>
  <c r="F35" i="3"/>
  <c r="I35" i="3" s="1"/>
  <c r="J35" i="3" s="1"/>
  <c r="F34" i="3"/>
  <c r="I34" i="3"/>
  <c r="J34" i="3"/>
  <c r="F33" i="3"/>
  <c r="I33" i="3"/>
  <c r="J33" i="3" s="1"/>
  <c r="F32" i="3"/>
  <c r="I32" i="3" s="1"/>
  <c r="J32" i="3" s="1"/>
  <c r="F31" i="3"/>
  <c r="G31" i="3" s="1"/>
  <c r="I31" i="3"/>
  <c r="J31" i="3"/>
  <c r="F30" i="3"/>
  <c r="I30" i="3" s="1"/>
  <c r="J30" i="3" s="1"/>
  <c r="F29" i="3"/>
  <c r="I29" i="3"/>
  <c r="J29" i="3" s="1"/>
  <c r="F28" i="3"/>
  <c r="I28" i="3"/>
  <c r="J28" i="3"/>
  <c r="F27" i="3"/>
  <c r="I27" i="3" s="1"/>
  <c r="J27" i="3" s="1"/>
  <c r="F26" i="3"/>
  <c r="I26" i="3" s="1"/>
  <c r="J26" i="3" s="1"/>
  <c r="F25" i="3"/>
  <c r="I25" i="3"/>
  <c r="J25" i="3" s="1"/>
  <c r="F24" i="3"/>
  <c r="I24" i="3" s="1"/>
  <c r="J24" i="3" s="1"/>
  <c r="F23" i="3"/>
  <c r="G23" i="3" s="1"/>
  <c r="I23" i="3"/>
  <c r="J23" i="3"/>
  <c r="F22" i="3"/>
  <c r="I22" i="3" s="1"/>
  <c r="J22" i="3" s="1"/>
  <c r="F21" i="3"/>
  <c r="I21" i="3"/>
  <c r="J21" i="3" s="1"/>
  <c r="F20" i="3"/>
  <c r="I20" i="3"/>
  <c r="J20" i="3"/>
  <c r="F19" i="3"/>
  <c r="I19" i="3" s="1"/>
  <c r="J19" i="3" s="1"/>
  <c r="F18" i="3"/>
  <c r="I18" i="3" s="1"/>
  <c r="J18" i="3" s="1"/>
  <c r="F17" i="3"/>
  <c r="I17" i="3"/>
  <c r="J17" i="3" s="1"/>
  <c r="F16" i="3"/>
  <c r="I16" i="3" s="1"/>
  <c r="J16" i="3" s="1"/>
  <c r="F15" i="3"/>
  <c r="G15" i="3" s="1"/>
  <c r="I15" i="3"/>
  <c r="J15" i="3"/>
  <c r="F14" i="3"/>
  <c r="I14" i="3" s="1"/>
  <c r="J14" i="3" s="1"/>
  <c r="F13" i="3"/>
  <c r="I13" i="3"/>
  <c r="J13" i="3" s="1"/>
  <c r="F12" i="3"/>
  <c r="I12" i="3"/>
  <c r="J12" i="3"/>
  <c r="F11" i="3"/>
  <c r="I11" i="3" s="1"/>
  <c r="J11" i="3" s="1"/>
  <c r="F10" i="3"/>
  <c r="I10" i="3" s="1"/>
  <c r="J10" i="3" s="1"/>
  <c r="F9" i="3"/>
  <c r="I9" i="3"/>
  <c r="J9" i="3" s="1"/>
  <c r="F8" i="3"/>
  <c r="I8" i="3" s="1"/>
  <c r="J8" i="3" s="1"/>
  <c r="F7" i="3"/>
  <c r="G7" i="3" s="1"/>
  <c r="I7" i="3"/>
  <c r="J7" i="3"/>
  <c r="F6" i="3"/>
  <c r="I6" i="3" s="1"/>
  <c r="J6" i="3" s="1"/>
  <c r="F5" i="3"/>
  <c r="I5" i="3"/>
  <c r="J5" i="3" s="1"/>
  <c r="F4" i="3"/>
  <c r="I4" i="3"/>
  <c r="J4" i="3"/>
  <c r="F3" i="3"/>
  <c r="I3" i="3" s="1"/>
  <c r="J3" i="3" s="1"/>
  <c r="F2" i="3"/>
  <c r="I2" i="3" s="1"/>
  <c r="B9" i="18"/>
  <c r="B8" i="18"/>
  <c r="B16" i="18"/>
  <c r="B6" i="18"/>
  <c r="B31" i="18"/>
  <c r="C86" i="18"/>
  <c r="G17" i="18"/>
  <c r="C112" i="18" s="1"/>
  <c r="I88" i="1"/>
  <c r="H88" i="1"/>
  <c r="G88" i="1"/>
  <c r="F88" i="1"/>
  <c r="E88" i="1"/>
  <c r="D88" i="1"/>
  <c r="C88" i="1"/>
  <c r="F6" i="18"/>
  <c r="B89" i="18" s="1"/>
  <c r="C44" i="18"/>
  <c r="D44" i="18" s="1"/>
  <c r="E44" i="18" s="1"/>
  <c r="F44" i="18" s="1"/>
  <c r="G44" i="18" s="1"/>
  <c r="H44" i="18" s="1"/>
  <c r="I44" i="18" s="1"/>
  <c r="J44" i="18" s="1"/>
  <c r="K44" i="18" s="1"/>
  <c r="L44" i="18" s="1"/>
  <c r="M44" i="18" s="1"/>
  <c r="C43" i="18"/>
  <c r="C45" i="18" s="1"/>
  <c r="B19" i="18"/>
  <c r="B21" i="18" s="1"/>
  <c r="B23" i="18" s="1"/>
  <c r="B17" i="18"/>
  <c r="B18" i="18"/>
  <c r="H2" i="3"/>
  <c r="H3" i="3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2" i="3"/>
  <c r="H53" i="3"/>
  <c r="H54" i="3"/>
  <c r="H55" i="3"/>
  <c r="H56" i="3"/>
  <c r="H57" i="3"/>
  <c r="H58" i="3"/>
  <c r="H59" i="3"/>
  <c r="H60" i="3"/>
  <c r="H61" i="3"/>
  <c r="H62" i="3"/>
  <c r="H63" i="3"/>
  <c r="G3" i="3"/>
  <c r="G4" i="3"/>
  <c r="G5" i="3"/>
  <c r="G8" i="3"/>
  <c r="G9" i="3"/>
  <c r="G11" i="3"/>
  <c r="G12" i="3"/>
  <c r="G13" i="3"/>
  <c r="G16" i="3"/>
  <c r="G17" i="3"/>
  <c r="G19" i="3"/>
  <c r="G20" i="3"/>
  <c r="G21" i="3"/>
  <c r="G24" i="3"/>
  <c r="G25" i="3"/>
  <c r="G27" i="3"/>
  <c r="G28" i="3"/>
  <c r="G29" i="3"/>
  <c r="G32" i="3"/>
  <c r="G33" i="3"/>
  <c r="G34" i="3"/>
  <c r="G35" i="3"/>
  <c r="G36" i="3"/>
  <c r="G37" i="3"/>
  <c r="G40" i="3"/>
  <c r="G41" i="3"/>
  <c r="G42" i="3"/>
  <c r="G43" i="3"/>
  <c r="G44" i="3"/>
  <c r="G45" i="3"/>
  <c r="G48" i="3"/>
  <c r="G49" i="3"/>
  <c r="G50" i="3"/>
  <c r="G51" i="3"/>
  <c r="G52" i="3"/>
  <c r="G53" i="3"/>
  <c r="G56" i="3"/>
  <c r="G57" i="3"/>
  <c r="G58" i="3"/>
  <c r="G59" i="3"/>
  <c r="G60" i="3"/>
  <c r="G61" i="3"/>
  <c r="G62" i="3"/>
  <c r="G63" i="3"/>
  <c r="I67" i="3"/>
  <c r="G18" i="18"/>
  <c r="B38" i="18"/>
  <c r="B2" i="18"/>
  <c r="C38" i="18"/>
  <c r="C40" i="18" s="1"/>
  <c r="D39" i="18"/>
  <c r="C39" i="18"/>
  <c r="B75" i="18"/>
  <c r="B74" i="18"/>
  <c r="C78" i="18" s="1"/>
  <c r="F5" i="18"/>
  <c r="B84" i="18" s="1"/>
  <c r="C84" i="18" s="1"/>
  <c r="B12" i="18"/>
  <c r="B10" i="18"/>
  <c r="B11" i="18"/>
  <c r="C46" i="18"/>
  <c r="E39" i="18"/>
  <c r="F39" i="18"/>
  <c r="E98" i="18"/>
  <c r="F100" i="18"/>
  <c r="G100" i="18" s="1"/>
  <c r="H100" i="18" s="1"/>
  <c r="I100" i="18" s="1"/>
  <c r="J100" i="18" s="1"/>
  <c r="G39" i="18"/>
  <c r="H39" i="18"/>
  <c r="I39" i="18"/>
  <c r="H76" i="18"/>
  <c r="J39" i="18"/>
  <c r="I76" i="18"/>
  <c r="K39" i="18"/>
  <c r="J76" i="18"/>
  <c r="L39" i="18"/>
  <c r="K76" i="18"/>
  <c r="C111" i="1"/>
  <c r="D111" i="1"/>
  <c r="E111" i="1"/>
  <c r="F111" i="1"/>
  <c r="G111" i="1"/>
  <c r="H111" i="1"/>
  <c r="I111" i="1"/>
  <c r="J111" i="1"/>
  <c r="K111" i="1"/>
  <c r="L111" i="1"/>
  <c r="L112" i="1"/>
  <c r="K112" i="1"/>
  <c r="J112" i="1"/>
  <c r="B9" i="8"/>
  <c r="I49" i="1"/>
  <c r="I45" i="1"/>
  <c r="I41" i="1"/>
  <c r="I50" i="1"/>
  <c r="I46" i="1"/>
  <c r="I42" i="1"/>
  <c r="I51" i="1"/>
  <c r="I52" i="1"/>
  <c r="I83" i="1"/>
  <c r="I53" i="1"/>
  <c r="I89" i="1"/>
  <c r="I54" i="1"/>
  <c r="I55" i="1"/>
  <c r="I56" i="1"/>
  <c r="I57" i="1"/>
  <c r="I101" i="1"/>
  <c r="I112" i="1"/>
  <c r="B8" i="8"/>
  <c r="H49" i="1"/>
  <c r="H45" i="1"/>
  <c r="H41" i="1"/>
  <c r="H50" i="1"/>
  <c r="H46" i="1"/>
  <c r="H42" i="1"/>
  <c r="H51" i="1"/>
  <c r="H52" i="1"/>
  <c r="H83" i="1"/>
  <c r="H53" i="1"/>
  <c r="H89" i="1"/>
  <c r="H54" i="1"/>
  <c r="H55" i="1"/>
  <c r="H56" i="1"/>
  <c r="H57" i="1"/>
  <c r="H101" i="1"/>
  <c r="H112" i="1"/>
  <c r="B7" i="8"/>
  <c r="G49" i="1"/>
  <c r="G45" i="1"/>
  <c r="G41" i="1"/>
  <c r="G50" i="1"/>
  <c r="G46" i="1"/>
  <c r="G42" i="1"/>
  <c r="G51" i="1"/>
  <c r="G52" i="1"/>
  <c r="G83" i="1"/>
  <c r="G53" i="1"/>
  <c r="G89" i="1"/>
  <c r="G54" i="1"/>
  <c r="G55" i="1"/>
  <c r="G56" i="1"/>
  <c r="G57" i="1"/>
  <c r="G101" i="1"/>
  <c r="G112" i="1"/>
  <c r="B6" i="8"/>
  <c r="F49" i="1"/>
  <c r="F45" i="1"/>
  <c r="F41" i="1"/>
  <c r="F50" i="1"/>
  <c r="F46" i="1"/>
  <c r="F42" i="1"/>
  <c r="F51" i="1"/>
  <c r="F52" i="1"/>
  <c r="F83" i="1"/>
  <c r="F53" i="1"/>
  <c r="F89" i="1"/>
  <c r="F54" i="1"/>
  <c r="F55" i="1"/>
  <c r="F56" i="1"/>
  <c r="F57" i="1"/>
  <c r="F101" i="1"/>
  <c r="F112" i="1"/>
  <c r="B5" i="8"/>
  <c r="E49" i="1"/>
  <c r="E45" i="1"/>
  <c r="E41" i="1"/>
  <c r="E50" i="1"/>
  <c r="E46" i="1"/>
  <c r="E42" i="1"/>
  <c r="E51" i="1"/>
  <c r="E83" i="1"/>
  <c r="E53" i="1"/>
  <c r="E89" i="1"/>
  <c r="E54" i="1"/>
  <c r="E52" i="1"/>
  <c r="E55" i="1"/>
  <c r="E56" i="1"/>
  <c r="E57" i="1"/>
  <c r="E101" i="1"/>
  <c r="E112" i="1"/>
  <c r="B4" i="8"/>
  <c r="D49" i="1"/>
  <c r="D45" i="1"/>
  <c r="D41" i="1"/>
  <c r="D50" i="1"/>
  <c r="D46" i="1"/>
  <c r="D42" i="1"/>
  <c r="D51" i="1"/>
  <c r="D83" i="1"/>
  <c r="D53" i="1"/>
  <c r="D89" i="1"/>
  <c r="D54" i="1"/>
  <c r="D52" i="1"/>
  <c r="D55" i="1"/>
  <c r="D56" i="1"/>
  <c r="D57" i="1"/>
  <c r="D101" i="1"/>
  <c r="D112" i="1"/>
  <c r="B3" i="8"/>
  <c r="C45" i="1"/>
  <c r="C41" i="1"/>
  <c r="C50" i="1"/>
  <c r="C46" i="1"/>
  <c r="C42" i="1"/>
  <c r="C51" i="1"/>
  <c r="C49" i="1"/>
  <c r="C83" i="1"/>
  <c r="C53" i="1"/>
  <c r="C89" i="1"/>
  <c r="C54" i="1"/>
  <c r="C52" i="1"/>
  <c r="C55" i="1"/>
  <c r="C56" i="1"/>
  <c r="C57" i="1"/>
  <c r="C101" i="1"/>
  <c r="C112" i="1"/>
  <c r="B2" i="8"/>
  <c r="L76" i="18"/>
  <c r="B28" i="18"/>
  <c r="D9" i="7"/>
  <c r="D8" i="7"/>
  <c r="D7" i="7"/>
  <c r="D6" i="7"/>
  <c r="D5" i="7"/>
  <c r="D4" i="7"/>
  <c r="D3" i="7"/>
  <c r="D2" i="7"/>
  <c r="E3" i="7"/>
  <c r="E4" i="7"/>
  <c r="E5" i="7"/>
  <c r="E6" i="7"/>
  <c r="E7" i="7"/>
  <c r="E8" i="7"/>
  <c r="E9" i="7"/>
  <c r="E2" i="7"/>
  <c r="E10" i="7"/>
  <c r="B29" i="1"/>
  <c r="B29" i="18"/>
  <c r="B10" i="7"/>
  <c r="L61" i="1"/>
  <c r="M39" i="18"/>
  <c r="G13" i="18"/>
  <c r="G12" i="18"/>
  <c r="G11" i="18"/>
  <c r="G10" i="18"/>
  <c r="B14" i="18"/>
  <c r="B20" i="18" s="1"/>
  <c r="B15" i="18"/>
  <c r="B24" i="6"/>
  <c r="C17" i="6"/>
  <c r="A24" i="6"/>
  <c r="C24" i="6"/>
  <c r="D20" i="6"/>
  <c r="B29" i="6"/>
  <c r="C29" i="6"/>
  <c r="B25" i="6"/>
  <c r="A25" i="6"/>
  <c r="C25" i="6"/>
  <c r="B26" i="6"/>
  <c r="A26" i="6"/>
  <c r="C26" i="6"/>
  <c r="B27" i="6"/>
  <c r="A27" i="6"/>
  <c r="C27" i="6"/>
  <c r="B28" i="6"/>
  <c r="A28" i="6"/>
  <c r="C28" i="6"/>
  <c r="C30" i="6"/>
  <c r="B22" i="18"/>
  <c r="B5" i="18"/>
  <c r="B3" i="18"/>
  <c r="B33" i="18"/>
  <c r="B20" i="1"/>
  <c r="B22" i="1"/>
  <c r="B23" i="1"/>
  <c r="B24" i="1"/>
  <c r="B34" i="18"/>
  <c r="B25" i="1"/>
  <c r="B60" i="18"/>
  <c r="E61" i="18"/>
  <c r="G61" i="18"/>
  <c r="H61" i="18"/>
  <c r="B60" i="1"/>
  <c r="C67" i="1"/>
  <c r="C68" i="1"/>
  <c r="C69" i="1"/>
  <c r="C70" i="1"/>
  <c r="C71" i="1"/>
  <c r="B62" i="1"/>
  <c r="B64" i="1"/>
  <c r="B117" i="1"/>
  <c r="B123" i="1"/>
  <c r="C58" i="1"/>
  <c r="C59" i="1"/>
  <c r="D67" i="1"/>
  <c r="D68" i="1"/>
  <c r="D69" i="1"/>
  <c r="D70" i="1"/>
  <c r="D71" i="1"/>
  <c r="C62" i="1"/>
  <c r="C64" i="1"/>
  <c r="C117" i="1"/>
  <c r="C123" i="1"/>
  <c r="D58" i="1"/>
  <c r="D59" i="1"/>
  <c r="D60" i="1"/>
  <c r="E67" i="1"/>
  <c r="E68" i="1"/>
  <c r="E69" i="1"/>
  <c r="E70" i="1"/>
  <c r="E71" i="1"/>
  <c r="D62" i="1"/>
  <c r="D64" i="1"/>
  <c r="D117" i="1"/>
  <c r="D123" i="1"/>
  <c r="E58" i="1"/>
  <c r="E59" i="1"/>
  <c r="E60" i="1"/>
  <c r="E61" i="1"/>
  <c r="F67" i="1"/>
  <c r="F68" i="1"/>
  <c r="F69" i="1"/>
  <c r="F70" i="1"/>
  <c r="F71" i="1"/>
  <c r="E62" i="1"/>
  <c r="E64" i="1"/>
  <c r="E117" i="1"/>
  <c r="E123" i="1"/>
  <c r="F58" i="1"/>
  <c r="F59" i="1"/>
  <c r="F60" i="1"/>
  <c r="G67" i="1"/>
  <c r="G68" i="1"/>
  <c r="G69" i="1"/>
  <c r="G70" i="1"/>
  <c r="G71" i="1"/>
  <c r="F62" i="1"/>
  <c r="F64" i="1"/>
  <c r="F117" i="1"/>
  <c r="F123" i="1"/>
  <c r="G58" i="1"/>
  <c r="G59" i="1"/>
  <c r="G60" i="1"/>
  <c r="G61" i="1"/>
  <c r="H67" i="1"/>
  <c r="H68" i="1"/>
  <c r="H69" i="1"/>
  <c r="H70" i="1"/>
  <c r="H71" i="1"/>
  <c r="G62" i="1"/>
  <c r="G64" i="1"/>
  <c r="G117" i="1"/>
  <c r="G123" i="1"/>
  <c r="H58" i="1"/>
  <c r="H59" i="1"/>
  <c r="H60" i="1"/>
  <c r="H61" i="1"/>
  <c r="I67" i="1"/>
  <c r="I68" i="1"/>
  <c r="I69" i="1"/>
  <c r="I70" i="1"/>
  <c r="I71" i="1"/>
  <c r="H62" i="1"/>
  <c r="H64" i="1"/>
  <c r="H117" i="1"/>
  <c r="H123" i="1"/>
  <c r="I58" i="1"/>
  <c r="I59" i="1"/>
  <c r="I60" i="1"/>
  <c r="J71" i="1"/>
  <c r="I62" i="1"/>
  <c r="I64" i="1"/>
  <c r="I117" i="1"/>
  <c r="I123" i="1"/>
  <c r="J58" i="1"/>
  <c r="J59" i="1"/>
  <c r="J60" i="1"/>
  <c r="K71" i="1"/>
  <c r="J62" i="1"/>
  <c r="J64" i="1"/>
  <c r="J117" i="1"/>
  <c r="J123" i="1" s="1"/>
  <c r="K59" i="1"/>
  <c r="K60" i="1"/>
  <c r="K61" i="1"/>
  <c r="L71" i="1"/>
  <c r="K62" i="1"/>
  <c r="L59" i="1"/>
  <c r="L60" i="1"/>
  <c r="L62" i="1"/>
  <c r="L63" i="1"/>
  <c r="I102" i="1"/>
  <c r="H102" i="1"/>
  <c r="G102" i="1"/>
  <c r="F102" i="1"/>
  <c r="E102" i="1"/>
  <c r="D79" i="1"/>
  <c r="D102" i="1"/>
  <c r="C79" i="1"/>
  <c r="C102" i="1"/>
  <c r="A36" i="18"/>
  <c r="A35" i="18"/>
  <c r="A34" i="18"/>
  <c r="A33" i="18"/>
  <c r="H67" i="3"/>
  <c r="D77" i="1"/>
  <c r="E77" i="1"/>
  <c r="F77" i="1"/>
  <c r="G77" i="1"/>
  <c r="H77" i="1"/>
  <c r="I77" i="1"/>
  <c r="J77" i="1"/>
  <c r="K77" i="1"/>
  <c r="L77" i="1"/>
  <c r="B79" i="1"/>
  <c r="B88" i="1"/>
  <c r="C92" i="1"/>
  <c r="D92" i="1"/>
  <c r="E92" i="1"/>
  <c r="F92" i="1"/>
  <c r="G92" i="1"/>
  <c r="H92" i="1"/>
  <c r="I92" i="1"/>
  <c r="J92" i="1"/>
  <c r="K92" i="1"/>
  <c r="L92" i="1"/>
  <c r="B94" i="1"/>
  <c r="C94" i="1"/>
  <c r="D94" i="1"/>
  <c r="E94" i="1"/>
  <c r="F94" i="1"/>
  <c r="G94" i="1"/>
  <c r="H94" i="1"/>
  <c r="I94" i="1"/>
  <c r="J94" i="1"/>
  <c r="K94" i="1"/>
  <c r="L94" i="1"/>
  <c r="C103" i="1"/>
  <c r="D103" i="1"/>
  <c r="E103" i="1"/>
  <c r="F103" i="1"/>
  <c r="G103" i="1"/>
  <c r="H103" i="1"/>
  <c r="I103" i="1"/>
  <c r="J103" i="1"/>
  <c r="B116" i="1"/>
  <c r="C116" i="1"/>
  <c r="D116" i="1"/>
  <c r="E116" i="1"/>
  <c r="F116" i="1"/>
  <c r="G116" i="1"/>
  <c r="H116" i="1"/>
  <c r="I116" i="1"/>
  <c r="J116" i="1"/>
  <c r="K116" i="1"/>
  <c r="L116" i="1"/>
  <c r="B81" i="18"/>
  <c r="C94" i="18"/>
  <c r="C96" i="18" s="1"/>
  <c r="D94" i="18"/>
  <c r="D96" i="18" s="1"/>
  <c r="B96" i="18"/>
  <c r="A29" i="6"/>
  <c r="B24" i="18" l="1"/>
  <c r="B25" i="18"/>
  <c r="C49" i="18"/>
  <c r="C42" i="18"/>
  <c r="C51" i="18" s="1"/>
  <c r="C48" i="18"/>
  <c r="C41" i="18"/>
  <c r="C50" i="18" s="1"/>
  <c r="C113" i="18"/>
  <c r="D112" i="18"/>
  <c r="C79" i="18"/>
  <c r="C85" i="18"/>
  <c r="C53" i="18" s="1"/>
  <c r="C59" i="18" s="1"/>
  <c r="D84" i="18"/>
  <c r="C89" i="18"/>
  <c r="B90" i="18"/>
  <c r="E94" i="18"/>
  <c r="C76" i="18"/>
  <c r="D38" i="18"/>
  <c r="E38" i="18" s="1"/>
  <c r="F38" i="18" s="1"/>
  <c r="F101" i="18"/>
  <c r="G101" i="18" s="1"/>
  <c r="H101" i="18" s="1"/>
  <c r="I101" i="18" s="1"/>
  <c r="J101" i="18" s="1"/>
  <c r="D43" i="18"/>
  <c r="F13" i="2"/>
  <c r="F4" i="2"/>
  <c r="B11" i="2"/>
  <c r="I11" i="2"/>
  <c r="I13" i="2" s="1"/>
  <c r="E5" i="2"/>
  <c r="E15" i="2" s="1"/>
  <c r="J13" i="2"/>
  <c r="B4" i="2"/>
  <c r="F5" i="2"/>
  <c r="C13" i="2"/>
  <c r="K13" i="2"/>
  <c r="M3" i="2"/>
  <c r="K5" i="2"/>
  <c r="K15" i="2" s="1"/>
  <c r="D13" i="2"/>
  <c r="C14" i="2"/>
  <c r="K14" i="2"/>
  <c r="D6" i="2"/>
  <c r="D16" i="2" s="1"/>
  <c r="F11" i="2"/>
  <c r="E13" i="2"/>
  <c r="G11" i="2"/>
  <c r="E14" i="2"/>
  <c r="G4" i="2"/>
  <c r="H4" i="2"/>
  <c r="I4" i="2"/>
  <c r="J4" i="2"/>
  <c r="K52" i="1"/>
  <c r="K100" i="18"/>
  <c r="L98" i="1"/>
  <c r="K99" i="1"/>
  <c r="B35" i="1"/>
  <c r="G64" i="3"/>
  <c r="J2" i="3"/>
  <c r="B75" i="3"/>
  <c r="B76" i="3" s="1"/>
  <c r="G26" i="3"/>
  <c r="G18" i="3"/>
  <c r="G10" i="3"/>
  <c r="G2" i="3"/>
  <c r="G54" i="3"/>
  <c r="G46" i="3"/>
  <c r="G38" i="3"/>
  <c r="G30" i="3"/>
  <c r="G22" i="3"/>
  <c r="G14" i="3"/>
  <c r="G6" i="3"/>
  <c r="E40" i="18" l="1"/>
  <c r="D40" i="18"/>
  <c r="E43" i="18"/>
  <c r="D45" i="18"/>
  <c r="D46" i="18"/>
  <c r="D113" i="18"/>
  <c r="E112" i="18"/>
  <c r="F40" i="18"/>
  <c r="G38" i="18"/>
  <c r="C67" i="18"/>
  <c r="C69" i="18"/>
  <c r="D89" i="18"/>
  <c r="C90" i="18"/>
  <c r="C91" i="18" s="1"/>
  <c r="C54" i="18" s="1"/>
  <c r="C77" i="18"/>
  <c r="C60" i="18" s="1"/>
  <c r="F94" i="18"/>
  <c r="E96" i="18"/>
  <c r="C80" i="18"/>
  <c r="D85" i="18"/>
  <c r="E84" i="18"/>
  <c r="C68" i="18"/>
  <c r="H6" i="2"/>
  <c r="H16" i="2" s="1"/>
  <c r="H14" i="2"/>
  <c r="G6" i="2"/>
  <c r="G16" i="2" s="1"/>
  <c r="G14" i="2"/>
  <c r="G15" i="2"/>
  <c r="G13" i="2"/>
  <c r="M11" i="2"/>
  <c r="M13" i="2" s="1"/>
  <c r="B13" i="2"/>
  <c r="L13" i="2" s="1"/>
  <c r="J6" i="2"/>
  <c r="J16" i="2" s="1"/>
  <c r="J14" i="2"/>
  <c r="F15" i="2"/>
  <c r="M5" i="2"/>
  <c r="F6" i="2"/>
  <c r="F16" i="2" s="1"/>
  <c r="F14" i="2"/>
  <c r="B15" i="2"/>
  <c r="L15" i="2" s="1"/>
  <c r="I6" i="2"/>
  <c r="I16" i="2" s="1"/>
  <c r="I14" i="2"/>
  <c r="B6" i="2"/>
  <c r="B14" i="2"/>
  <c r="M4" i="2"/>
  <c r="I15" i="2"/>
  <c r="L100" i="18"/>
  <c r="L52" i="1"/>
  <c r="K55" i="1"/>
  <c r="K58" i="1"/>
  <c r="K102" i="1"/>
  <c r="L99" i="1"/>
  <c r="K101" i="18"/>
  <c r="B35" i="18"/>
  <c r="B36" i="1"/>
  <c r="B26" i="18"/>
  <c r="B27" i="18" s="1"/>
  <c r="B30" i="18" s="1"/>
  <c r="B32" i="18" s="1"/>
  <c r="B26" i="1"/>
  <c r="F49" i="18" l="1"/>
  <c r="F41" i="18"/>
  <c r="G94" i="18"/>
  <c r="F96" i="18"/>
  <c r="F112" i="18"/>
  <c r="E113" i="18"/>
  <c r="E46" i="18"/>
  <c r="F43" i="18"/>
  <c r="E45" i="18"/>
  <c r="E89" i="18"/>
  <c r="D90" i="18"/>
  <c r="D91" i="18" s="1"/>
  <c r="D54" i="18" s="1"/>
  <c r="D79" i="18"/>
  <c r="D49" i="18"/>
  <c r="D42" i="18"/>
  <c r="D51" i="18" s="1"/>
  <c r="D48" i="18"/>
  <c r="D41" i="18"/>
  <c r="D50" i="18" s="1"/>
  <c r="E85" i="18"/>
  <c r="F84" i="18"/>
  <c r="C70" i="18"/>
  <c r="C71" i="18" s="1"/>
  <c r="B62" i="18" s="1"/>
  <c r="B64" i="18" s="1"/>
  <c r="C52" i="18"/>
  <c r="D78" i="18"/>
  <c r="C81" i="18"/>
  <c r="H38" i="18"/>
  <c r="G40" i="18"/>
  <c r="E48" i="18"/>
  <c r="E49" i="18"/>
  <c r="E41" i="18"/>
  <c r="E50" i="18" s="1"/>
  <c r="M14" i="2"/>
  <c r="L14" i="2"/>
  <c r="M15" i="2"/>
  <c r="M6" i="2"/>
  <c r="M16" i="2" s="1"/>
  <c r="B16" i="2"/>
  <c r="L16" i="2" s="1"/>
  <c r="B27" i="1"/>
  <c r="B30" i="1" s="1"/>
  <c r="B32" i="1" s="1"/>
  <c r="B108" i="1" s="1"/>
  <c r="L101" i="18"/>
  <c r="L58" i="1"/>
  <c r="L55" i="1"/>
  <c r="K56" i="1"/>
  <c r="K57" i="1"/>
  <c r="G113" i="1"/>
  <c r="F113" i="1"/>
  <c r="H113" i="1"/>
  <c r="D113" i="1"/>
  <c r="E113" i="1"/>
  <c r="I113" i="1"/>
  <c r="J113" i="1"/>
  <c r="L113" i="1"/>
  <c r="C113" i="1"/>
  <c r="K113" i="1"/>
  <c r="B36" i="18"/>
  <c r="B110" i="18"/>
  <c r="C58" i="18" l="1"/>
  <c r="C55" i="18"/>
  <c r="H94" i="18"/>
  <c r="G96" i="18"/>
  <c r="F50" i="18"/>
  <c r="E69" i="18"/>
  <c r="E67" i="18"/>
  <c r="E70" i="18" s="1"/>
  <c r="D67" i="18"/>
  <c r="D70" i="18" s="1"/>
  <c r="D71" i="18" s="1"/>
  <c r="C62" i="18" s="1"/>
  <c r="D69" i="18"/>
  <c r="E68" i="18"/>
  <c r="F85" i="18"/>
  <c r="G84" i="18"/>
  <c r="F42" i="18"/>
  <c r="F51" i="18" s="1"/>
  <c r="B125" i="18"/>
  <c r="B127" i="18" s="1"/>
  <c r="C2" i="9"/>
  <c r="D2" i="9" s="1"/>
  <c r="G112" i="18"/>
  <c r="F113" i="18"/>
  <c r="E42" i="18"/>
  <c r="E51" i="18" s="1"/>
  <c r="D80" i="18"/>
  <c r="G42" i="18"/>
  <c r="G49" i="18"/>
  <c r="G41" i="18"/>
  <c r="E90" i="18"/>
  <c r="E91" i="18" s="1"/>
  <c r="E54" i="18" s="1"/>
  <c r="F89" i="18"/>
  <c r="I38" i="18"/>
  <c r="H40" i="18"/>
  <c r="G43" i="18"/>
  <c r="F45" i="18"/>
  <c r="F46" i="18"/>
  <c r="F48" i="18"/>
  <c r="D81" i="18"/>
  <c r="D68" i="18"/>
  <c r="D86" i="18"/>
  <c r="F67" i="18"/>
  <c r="F69" i="18"/>
  <c r="E118" i="1"/>
  <c r="G118" i="1"/>
  <c r="C118" i="1"/>
  <c r="I118" i="1"/>
  <c r="J118" i="1"/>
  <c r="D118" i="1"/>
  <c r="F118" i="1"/>
  <c r="H118" i="1"/>
  <c r="B118" i="1"/>
  <c r="K64" i="1"/>
  <c r="K101" i="1"/>
  <c r="L56" i="1"/>
  <c r="L57" i="1" s="1"/>
  <c r="B114" i="1"/>
  <c r="B120" i="1" s="1"/>
  <c r="E115" i="18"/>
  <c r="C115" i="18"/>
  <c r="D115" i="18"/>
  <c r="F115" i="18"/>
  <c r="B119" i="18"/>
  <c r="G45" i="18" l="1"/>
  <c r="G46" i="18"/>
  <c r="H43" i="18"/>
  <c r="E71" i="18"/>
  <c r="D62" i="18" s="1"/>
  <c r="G48" i="18"/>
  <c r="I40" i="18"/>
  <c r="J38" i="18"/>
  <c r="D52" i="18"/>
  <c r="D77" i="18"/>
  <c r="H84" i="18"/>
  <c r="G85" i="18"/>
  <c r="F90" i="18"/>
  <c r="F91" i="18" s="1"/>
  <c r="F54" i="18" s="1"/>
  <c r="G89" i="18"/>
  <c r="I94" i="18"/>
  <c r="H96" i="18"/>
  <c r="G51" i="18"/>
  <c r="D104" i="18"/>
  <c r="G50" i="18"/>
  <c r="H112" i="18"/>
  <c r="G113" i="18"/>
  <c r="G115" i="18" s="1"/>
  <c r="C56" i="18"/>
  <c r="C57" i="18" s="1"/>
  <c r="C104" i="18"/>
  <c r="H49" i="18"/>
  <c r="H41" i="18"/>
  <c r="H48" i="18"/>
  <c r="F68" i="18"/>
  <c r="F70" i="18" s="1"/>
  <c r="F71" i="18" s="1"/>
  <c r="E62" i="18" s="1"/>
  <c r="E86" i="18"/>
  <c r="D53" i="18"/>
  <c r="D59" i="18" s="1"/>
  <c r="G67" i="18"/>
  <c r="G69" i="18"/>
  <c r="L64" i="1"/>
  <c r="L101" i="1"/>
  <c r="B10" i="8"/>
  <c r="K103" i="1"/>
  <c r="K117" i="1"/>
  <c r="K123" i="1" s="1"/>
  <c r="K118" i="1"/>
  <c r="C103" i="18" l="1"/>
  <c r="C105" i="18" s="1"/>
  <c r="C64" i="18"/>
  <c r="G68" i="18"/>
  <c r="H46" i="18"/>
  <c r="I43" i="18"/>
  <c r="I48" i="18" s="1"/>
  <c r="H45" i="18"/>
  <c r="I49" i="18"/>
  <c r="I41" i="18"/>
  <c r="H50" i="18"/>
  <c r="H42" i="18"/>
  <c r="H51" i="18" s="1"/>
  <c r="H85" i="18"/>
  <c r="I84" i="18"/>
  <c r="K38" i="18"/>
  <c r="J40" i="18"/>
  <c r="H113" i="18"/>
  <c r="H115" i="18" s="1"/>
  <c r="I112" i="18"/>
  <c r="H69" i="18"/>
  <c r="H67" i="18"/>
  <c r="H70" i="18" s="1"/>
  <c r="H71" i="18" s="1"/>
  <c r="G62" i="18" s="1"/>
  <c r="I96" i="18"/>
  <c r="J94" i="18"/>
  <c r="H68" i="18"/>
  <c r="H89" i="18"/>
  <c r="G90" i="18"/>
  <c r="G91" i="18" s="1"/>
  <c r="G54" i="18" s="1"/>
  <c r="G70" i="18"/>
  <c r="G71" i="18" s="1"/>
  <c r="F62" i="18" s="1"/>
  <c r="D60" i="18"/>
  <c r="E79" i="18"/>
  <c r="E78" i="18"/>
  <c r="F86" i="18"/>
  <c r="E53" i="18"/>
  <c r="E59" i="18" s="1"/>
  <c r="D58" i="18"/>
  <c r="D55" i="18"/>
  <c r="B105" i="1"/>
  <c r="B119" i="1"/>
  <c r="B121" i="1" s="1"/>
  <c r="B124" i="1"/>
  <c r="L103" i="1"/>
  <c r="B11" i="8"/>
  <c r="L117" i="1"/>
  <c r="L123" i="1" s="1"/>
  <c r="L118" i="1"/>
  <c r="I68" i="18" l="1"/>
  <c r="E80" i="18"/>
  <c r="D56" i="18"/>
  <c r="D57" i="18" s="1"/>
  <c r="J49" i="18"/>
  <c r="J41" i="18"/>
  <c r="G86" i="18"/>
  <c r="F53" i="18"/>
  <c r="F59" i="18" s="1"/>
  <c r="L38" i="18"/>
  <c r="K40" i="18"/>
  <c r="I67" i="18"/>
  <c r="I70" i="18" s="1"/>
  <c r="I71" i="18" s="1"/>
  <c r="H62" i="18" s="1"/>
  <c r="I69" i="18"/>
  <c r="C125" i="18"/>
  <c r="C127" i="18" s="1"/>
  <c r="C3" i="9"/>
  <c r="D3" i="9" s="1"/>
  <c r="C119" i="18"/>
  <c r="J43" i="18"/>
  <c r="I45" i="18"/>
  <c r="I50" i="18" s="1"/>
  <c r="I46" i="18"/>
  <c r="I113" i="18"/>
  <c r="I115" i="18" s="1"/>
  <c r="J112" i="18"/>
  <c r="I89" i="18"/>
  <c r="H90" i="18"/>
  <c r="H91" i="18" s="1"/>
  <c r="H54" i="18" s="1"/>
  <c r="I42" i="18"/>
  <c r="I51" i="18" s="1"/>
  <c r="K94" i="18"/>
  <c r="J96" i="18"/>
  <c r="I85" i="18"/>
  <c r="J84" i="18"/>
  <c r="D64" i="18" l="1"/>
  <c r="D103" i="18"/>
  <c r="D105" i="18" s="1"/>
  <c r="J45" i="18"/>
  <c r="J50" i="18" s="1"/>
  <c r="J46" i="18"/>
  <c r="K43" i="18"/>
  <c r="H86" i="18"/>
  <c r="G53" i="18"/>
  <c r="G59" i="18" s="1"/>
  <c r="E52" i="18"/>
  <c r="E77" i="18"/>
  <c r="I90" i="18"/>
  <c r="I91" i="18" s="1"/>
  <c r="I54" i="18" s="1"/>
  <c r="J89" i="18"/>
  <c r="J42" i="18"/>
  <c r="J51" i="18" s="1"/>
  <c r="J113" i="18"/>
  <c r="J115" i="18" s="1"/>
  <c r="K112" i="18"/>
  <c r="J67" i="18"/>
  <c r="J69" i="18"/>
  <c r="K42" i="18"/>
  <c r="K49" i="18"/>
  <c r="K41" i="18"/>
  <c r="K84" i="18"/>
  <c r="J85" i="18"/>
  <c r="K96" i="18"/>
  <c r="L94" i="18"/>
  <c r="L96" i="18" s="1"/>
  <c r="J48" i="18"/>
  <c r="E81" i="18"/>
  <c r="E104" i="18" s="1"/>
  <c r="M38" i="18"/>
  <c r="M40" i="18" s="1"/>
  <c r="L40" i="18"/>
  <c r="E60" i="18" l="1"/>
  <c r="F79" i="18"/>
  <c r="K46" i="18"/>
  <c r="K45" i="18"/>
  <c r="L43" i="18"/>
  <c r="K89" i="18"/>
  <c r="J90" i="18"/>
  <c r="J91" i="18" s="1"/>
  <c r="J54" i="18" s="1"/>
  <c r="E58" i="18"/>
  <c r="E55" i="18"/>
  <c r="D125" i="18"/>
  <c r="D127" i="18" s="1"/>
  <c r="C4" i="9"/>
  <c r="D4" i="9" s="1"/>
  <c r="D119" i="18"/>
  <c r="F78" i="18"/>
  <c r="K69" i="18"/>
  <c r="K67" i="18"/>
  <c r="K51" i="18"/>
  <c r="J68" i="18"/>
  <c r="K48" i="18"/>
  <c r="J70" i="18"/>
  <c r="J71" i="18" s="1"/>
  <c r="I62" i="18" s="1"/>
  <c r="L49" i="18"/>
  <c r="L41" i="18"/>
  <c r="L48" i="18"/>
  <c r="K85" i="18"/>
  <c r="L84" i="18"/>
  <c r="L85" i="18" s="1"/>
  <c r="L112" i="18"/>
  <c r="L113" i="18" s="1"/>
  <c r="L114" i="18" s="1"/>
  <c r="L115" i="18" s="1"/>
  <c r="B116" i="18" s="1"/>
  <c r="B121" i="18" s="1"/>
  <c r="K113" i="18"/>
  <c r="K115" i="18" s="1"/>
  <c r="I86" i="18"/>
  <c r="H53" i="18"/>
  <c r="H59" i="18" s="1"/>
  <c r="M49" i="18"/>
  <c r="M41" i="18"/>
  <c r="M42" i="18"/>
  <c r="K50" i="18"/>
  <c r="L68" i="18" l="1"/>
  <c r="L69" i="18"/>
  <c r="L67" i="18"/>
  <c r="L70" i="18" s="1"/>
  <c r="L71" i="18" s="1"/>
  <c r="K62" i="18" s="1"/>
  <c r="L89" i="18"/>
  <c r="L90" i="18" s="1"/>
  <c r="L91" i="18" s="1"/>
  <c r="L54" i="18" s="1"/>
  <c r="M54" i="18" s="1"/>
  <c r="K90" i="18"/>
  <c r="K91" i="18" s="1"/>
  <c r="K54" i="18" s="1"/>
  <c r="M69" i="18"/>
  <c r="M67" i="18"/>
  <c r="F80" i="18"/>
  <c r="F81" i="18" s="1"/>
  <c r="F104" i="18" s="1"/>
  <c r="K70" i="18"/>
  <c r="K71" i="18" s="1"/>
  <c r="J62" i="18" s="1"/>
  <c r="J86" i="18"/>
  <c r="I53" i="18"/>
  <c r="I59" i="18" s="1"/>
  <c r="L45" i="18"/>
  <c r="L50" i="18" s="1"/>
  <c r="M43" i="18"/>
  <c r="L46" i="18"/>
  <c r="K68" i="18"/>
  <c r="L42" i="18"/>
  <c r="E56" i="18"/>
  <c r="E57" i="18"/>
  <c r="M46" i="18" l="1"/>
  <c r="M51" i="18" s="1"/>
  <c r="M45" i="18"/>
  <c r="M50" i="18" s="1"/>
  <c r="M48" i="18"/>
  <c r="F52" i="18"/>
  <c r="F77" i="18"/>
  <c r="E103" i="18"/>
  <c r="E105" i="18" s="1"/>
  <c r="E64" i="18"/>
  <c r="L51" i="18"/>
  <c r="K86" i="18"/>
  <c r="J53" i="18"/>
  <c r="J59" i="18" s="1"/>
  <c r="F60" i="18" l="1"/>
  <c r="G79" i="18"/>
  <c r="F58" i="18"/>
  <c r="F55" i="18"/>
  <c r="G78" i="18"/>
  <c r="M68" i="18"/>
  <c r="M70" i="18" s="1"/>
  <c r="M71" i="18" s="1"/>
  <c r="L62" i="18" s="1"/>
  <c r="M62" i="18" s="1"/>
  <c r="L86" i="18"/>
  <c r="L53" i="18" s="1"/>
  <c r="K53" i="18"/>
  <c r="K59" i="18" s="1"/>
  <c r="C5" i="9"/>
  <c r="D5" i="9" s="1"/>
  <c r="E125" i="18"/>
  <c r="E127" i="18" s="1"/>
  <c r="E119" i="18"/>
  <c r="G80" i="18" l="1"/>
  <c r="G81" i="18"/>
  <c r="G104" i="18" s="1"/>
  <c r="F56" i="18"/>
  <c r="F57" i="18"/>
  <c r="M53" i="18"/>
  <c r="L59" i="18"/>
  <c r="M59" i="18" s="1"/>
  <c r="F64" i="18" l="1"/>
  <c r="F103" i="18"/>
  <c r="F105" i="18" s="1"/>
  <c r="G52" i="18"/>
  <c r="G77" i="18"/>
  <c r="G58" i="18" l="1"/>
  <c r="G55" i="18"/>
  <c r="G60" i="18"/>
  <c r="H79" i="18"/>
  <c r="H78" i="18"/>
  <c r="C6" i="9"/>
  <c r="D6" i="9" s="1"/>
  <c r="F125" i="18"/>
  <c r="F127" i="18" s="1"/>
  <c r="F119" i="18"/>
  <c r="H80" i="18" l="1"/>
  <c r="G56" i="18"/>
  <c r="G57" i="18" s="1"/>
  <c r="G103" i="18" l="1"/>
  <c r="G105" i="18" s="1"/>
  <c r="G64" i="18"/>
  <c r="H52" i="18"/>
  <c r="H77" i="18"/>
  <c r="H81" i="18"/>
  <c r="H104" i="18" s="1"/>
  <c r="I78" i="18"/>
  <c r="H58" i="18" l="1"/>
  <c r="H55" i="18"/>
  <c r="H60" i="18"/>
  <c r="I79" i="18"/>
  <c r="C7" i="9"/>
  <c r="D7" i="9" s="1"/>
  <c r="G125" i="18"/>
  <c r="G127" i="18" s="1"/>
  <c r="G119" i="18"/>
  <c r="H56" i="18" l="1"/>
  <c r="H57" i="18" s="1"/>
  <c r="I80" i="18"/>
  <c r="H103" i="18" l="1"/>
  <c r="H105" i="18" s="1"/>
  <c r="H64" i="18"/>
  <c r="I52" i="18"/>
  <c r="I77" i="18"/>
  <c r="J78" i="18" s="1"/>
  <c r="I81" i="18"/>
  <c r="I104" i="18" s="1"/>
  <c r="I60" i="18" l="1"/>
  <c r="J79" i="18"/>
  <c r="I58" i="18"/>
  <c r="I55" i="18"/>
  <c r="C8" i="9"/>
  <c r="D8" i="9" s="1"/>
  <c r="H125" i="18"/>
  <c r="H127" i="18" s="1"/>
  <c r="H119" i="18"/>
  <c r="I56" i="18" l="1"/>
  <c r="I57" i="18" s="1"/>
  <c r="J80" i="18"/>
  <c r="I64" i="18" l="1"/>
  <c r="I103" i="18"/>
  <c r="I105" i="18" s="1"/>
  <c r="J52" i="18"/>
  <c r="J77" i="18"/>
  <c r="J81" i="18"/>
  <c r="J104" i="18" s="1"/>
  <c r="K78" i="18"/>
  <c r="J60" i="18" l="1"/>
  <c r="K79" i="18"/>
  <c r="J58" i="18"/>
  <c r="J55" i="18"/>
  <c r="C9" i="9"/>
  <c r="D9" i="9" s="1"/>
  <c r="I125" i="18"/>
  <c r="I127" i="18" s="1"/>
  <c r="I119" i="18"/>
  <c r="J56" i="18" l="1"/>
  <c r="J57" i="18" s="1"/>
  <c r="K80" i="18"/>
  <c r="J103" i="18" l="1"/>
  <c r="J105" i="18" s="1"/>
  <c r="J64" i="18"/>
  <c r="K77" i="18"/>
  <c r="K52" i="18"/>
  <c r="L78" i="18"/>
  <c r="K81" i="18"/>
  <c r="K104" i="18" s="1"/>
  <c r="J125" i="18" l="1"/>
  <c r="J127" i="18" s="1"/>
  <c r="C10" i="9"/>
  <c r="D10" i="9" s="1"/>
  <c r="J119" i="18"/>
  <c r="L81" i="18"/>
  <c r="L104" i="18"/>
  <c r="K58" i="18"/>
  <c r="K55" i="18"/>
  <c r="K60" i="18"/>
  <c r="L79" i="18"/>
  <c r="L80" i="18" s="1"/>
  <c r="K56" i="18" l="1"/>
  <c r="K57" i="18"/>
  <c r="L77" i="18"/>
  <c r="L60" i="18" s="1"/>
  <c r="L52" i="18"/>
  <c r="L58" i="18" l="1"/>
  <c r="M52" i="18"/>
  <c r="L55" i="18"/>
  <c r="L56" i="18" s="1"/>
  <c r="L57" i="18" s="1"/>
  <c r="L103" i="18" s="1"/>
  <c r="L105" i="18" s="1"/>
  <c r="K64" i="18"/>
  <c r="K103" i="18"/>
  <c r="K105" i="18" s="1"/>
  <c r="B107" i="18" s="1"/>
  <c r="C11" i="9" l="1"/>
  <c r="D11" i="9" s="1"/>
  <c r="K125" i="18"/>
  <c r="K127" i="18" s="1"/>
  <c r="K119" i="18"/>
  <c r="M58" i="18"/>
  <c r="M60" i="18" s="1"/>
  <c r="M55" i="18"/>
  <c r="M56" i="18" l="1"/>
  <c r="M57" i="18"/>
  <c r="M64" i="18" s="1"/>
  <c r="L63" i="18" s="1"/>
  <c r="L64" i="18" s="1"/>
  <c r="C12" i="9" l="1"/>
  <c r="D12" i="9" s="1"/>
  <c r="L125" i="18"/>
  <c r="L119" i="18"/>
  <c r="B120" i="18" s="1"/>
  <c r="B122" i="18" s="1"/>
  <c r="L126" i="18" l="1"/>
  <c r="L127" i="18" s="1"/>
  <c r="B128" i="1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C17" authorId="0" shapeId="0" xr:uid="{00000000-0006-0000-0600-000001000000}">
      <text>
        <r>
          <rPr>
            <b/>
            <sz val="9"/>
            <color rgb="FF000000"/>
            <rFont val="Geneva"/>
            <family val="2"/>
            <charset val="1"/>
          </rPr>
          <t>Aswath Damodaran:</t>
        </r>
        <r>
          <rPr>
            <sz val="9"/>
            <color rgb="FF000000"/>
            <rFont val="Geneva"/>
            <family val="2"/>
            <charset val="1"/>
          </rPr>
          <t xml:space="preserve">
</t>
        </r>
        <r>
          <rPr>
            <sz val="9"/>
            <color rgb="FF000000"/>
            <rFont val="Geneva"/>
            <family val="2"/>
            <charset val="1"/>
          </rPr>
          <t>If your company is rated, use the actual rating. If you want to use a synthetic rating, use the synthetic ratings worksheet (available under spreadsheets).</t>
        </r>
      </text>
    </comment>
  </commentList>
</comments>
</file>

<file path=xl/sharedStrings.xml><?xml version="1.0" encoding="utf-8"?>
<sst xmlns="http://schemas.openxmlformats.org/spreadsheetml/2006/main" count="402" uniqueCount="282">
  <si>
    <t>Market Risk Premium =</t>
  </si>
  <si>
    <t>After-tax Cashflow</t>
  </si>
  <si>
    <t>Riskfree rate =</t>
  </si>
  <si>
    <t>Book Value of Debt =</t>
  </si>
  <si>
    <t>Pre-tax cost of debt =</t>
  </si>
  <si>
    <t>Average Maturity of Debt =</t>
  </si>
  <si>
    <t>Interest expense</t>
  </si>
  <si>
    <t>Output</t>
  </si>
  <si>
    <t>Number of years embedded in yr 6 estimate =</t>
  </si>
  <si>
    <t xml:space="preserve"> - Deprec'n (including capacity)</t>
  </si>
  <si>
    <t xml:space="preserve"> + Terminal Value</t>
  </si>
  <si>
    <t>Capital Maintenance</t>
  </si>
  <si>
    <t>Terminal year</t>
  </si>
  <si>
    <t>be treated as operating expenses. This program will convert commitments to make operating leases into debt and</t>
  </si>
  <si>
    <t>adjust the operating income accordingly, by adding back the imputed interest expense on this debt.</t>
  </si>
  <si>
    <t>Inputs</t>
  </si>
  <si>
    <t>Operating lease expense in current year =</t>
  </si>
  <si>
    <t>Units sold</t>
  </si>
  <si>
    <t>Price per unit</t>
  </si>
  <si>
    <t>Variable cost per unit</t>
  </si>
  <si>
    <t>NA</t>
  </si>
  <si>
    <t>Cost of Equity =</t>
  </si>
  <si>
    <t>After-tax Cost of Debt =</t>
  </si>
  <si>
    <t>Cost of Capital =</t>
  </si>
  <si>
    <t>Year</t>
  </si>
  <si>
    <t>Total Market</t>
  </si>
  <si>
    <t>Market Share</t>
  </si>
  <si>
    <t>Revenues</t>
  </si>
  <si>
    <t xml:space="preserve"> - Allocated G&amp;A</t>
  </si>
  <si>
    <t xml:space="preserve"> - Advertising Exp.</t>
  </si>
  <si>
    <t>Operating Profit</t>
  </si>
  <si>
    <t>Taxes</t>
  </si>
  <si>
    <t>EBIT(1-t)</t>
  </si>
  <si>
    <t xml:space="preserve"> + Deprec'n</t>
  </si>
  <si>
    <t xml:space="preserve"> + Fixed Allocated Exp (1-t)</t>
  </si>
  <si>
    <t xml:space="preserve"> - Cap Ex</t>
  </si>
  <si>
    <t xml:space="preserve"> - Chg in WC</t>
  </si>
  <si>
    <t xml:space="preserve"> + Salvage Value</t>
  </si>
  <si>
    <t>Working Capital Worksheet</t>
  </si>
  <si>
    <t>Inventory</t>
  </si>
  <si>
    <t>Accounts Rec</t>
  </si>
  <si>
    <t xml:space="preserve"> - Acc Payable</t>
  </si>
  <si>
    <t>Working Capital</t>
  </si>
  <si>
    <t>Chg in WC</t>
  </si>
  <si>
    <t>Capital Expenditure Worksheet</t>
  </si>
  <si>
    <t>BV: Beg</t>
  </si>
  <si>
    <t>Depreciable BV</t>
  </si>
  <si>
    <t>Levered beta for sector =</t>
  </si>
  <si>
    <t>D/E Ratio for sector =</t>
  </si>
  <si>
    <t>Unlevered beta for sector =</t>
  </si>
  <si>
    <t>Cash/ Firm Value =</t>
  </si>
  <si>
    <t>STL Deprecn</t>
  </si>
  <si>
    <t>BV: End</t>
  </si>
  <si>
    <t>Allocated Expenses Worksheet</t>
  </si>
  <si>
    <t>Adverstising Expense Worksheet</t>
  </si>
  <si>
    <t>Without Apparel</t>
  </si>
  <si>
    <t>With Apparel</t>
  </si>
  <si>
    <t>Distribution System Worksheet</t>
  </si>
  <si>
    <t>Expansion Investment</t>
  </si>
  <si>
    <t xml:space="preserve">Remaining Balance </t>
  </si>
  <si>
    <t>Accounting Return Computation</t>
  </si>
  <si>
    <t>After-tax Operating Income</t>
  </si>
  <si>
    <t xml:space="preserve">Avge. BV of Investment </t>
  </si>
  <si>
    <t xml:space="preserve">Return on Capital </t>
  </si>
  <si>
    <t>EBITDA Margin =</t>
  </si>
  <si>
    <t>Summary of Inputs / Cost of Capital Computation</t>
  </si>
  <si>
    <t>Growth in Total Market =</t>
  </si>
  <si>
    <t>Target Market Share =</t>
  </si>
  <si>
    <t>Share Price =</t>
  </si>
  <si>
    <t>Number of Shares Outstanding =</t>
  </si>
  <si>
    <t>Market Value of Interest bearing Debt =</t>
  </si>
  <si>
    <t>PV of Operating Leases =</t>
  </si>
  <si>
    <t>Operating Lease Converter</t>
  </si>
  <si>
    <t>Operating lease expenses are really financial expenses, and should be treated as such. Accounting standards allow them to</t>
  </si>
  <si>
    <t>(I allocated 20% of the book value of distribution expansion to this project each year)</t>
  </si>
  <si>
    <t>Average ROC =</t>
  </si>
  <si>
    <t>Time Weighted Return Computation</t>
  </si>
  <si>
    <t>Internal Rate of Return =</t>
  </si>
  <si>
    <t>Inflation rate =</t>
  </si>
  <si>
    <t xml:space="preserve"> - Production Costs</t>
  </si>
  <si>
    <t xml:space="preserve"> - Marketing Costs (Retail stores)</t>
  </si>
  <si>
    <t>Marketing cost per unit (retail)</t>
  </si>
  <si>
    <t>Variable cost per unit =</t>
  </si>
  <si>
    <t>Price per unit =</t>
  </si>
  <si>
    <t>Marketing cost (Outside retail)</t>
  </si>
  <si>
    <t>Percent of units sold- outside</t>
  </si>
  <si>
    <t xml:space="preserve"> - Outside retailers</t>
  </si>
  <si>
    <t>Operating Lease Commitments (From footnote to financials)</t>
  </si>
  <si>
    <t>Commitment</t>
  </si>
  <si>
    <t>! Year 1 is next year, ….</t>
  </si>
  <si>
    <t>6 and beyond</t>
  </si>
  <si>
    <t>Pre-tax Cost of Debt =</t>
  </si>
  <si>
    <t>Market Value of Equity =</t>
  </si>
  <si>
    <t>MV Debt/Equity Ratio =</t>
  </si>
  <si>
    <t>MV Debt/Capital Ratio =</t>
  </si>
  <si>
    <t>Unlevered Beta for Business =</t>
  </si>
  <si>
    <t>Levered Beta =</t>
  </si>
  <si>
    <t>Investment: Stores</t>
  </si>
  <si>
    <t>Investment: Infrastructure</t>
  </si>
  <si>
    <t>Allocated Expenses</t>
  </si>
  <si>
    <t>Item</t>
  </si>
  <si>
    <t>Growth rate</t>
  </si>
  <si>
    <t>Proportion allocated</t>
  </si>
  <si>
    <t>G&amp;A</t>
  </si>
  <si>
    <t>Advertising</t>
  </si>
  <si>
    <t>Current Expenses</t>
  </si>
  <si>
    <t>(in 000s)</t>
  </si>
  <si>
    <t>Incremental Advertising cost</t>
  </si>
  <si>
    <t>-</t>
  </si>
  <si>
    <t xml:space="preserve"> - Opp. Cost of Capacity</t>
  </si>
  <si>
    <t>Capacity Cost</t>
  </si>
  <si>
    <t>Unit capacity =</t>
  </si>
  <si>
    <t>Depreciation on Capacity expansion</t>
  </si>
  <si>
    <t>Total capacity used</t>
  </si>
  <si>
    <t>Cost of new capacity =</t>
  </si>
  <si>
    <t>(in current $)</t>
  </si>
  <si>
    <t>Depreciation on Expansion (STL: 20 year life; Salvage=0)</t>
  </si>
  <si>
    <t>Remaining Balance on first expansion investment</t>
  </si>
  <si>
    <t>! I use the average lease expense over the first five years</t>
  </si>
  <si>
    <t>to estimate the number of years of expenses in yr 6</t>
  </si>
  <si>
    <t>Converting Operating Leases into debt</t>
  </si>
  <si>
    <t>Present Value</t>
  </si>
  <si>
    <t>! Commitment beyond year 6 converted into an annuity for ten years</t>
  </si>
  <si>
    <t>Debt Value of leases =</t>
  </si>
  <si>
    <t>Total Debt outstanding =</t>
  </si>
  <si>
    <t>Allocated Corporate G&amp;A</t>
  </si>
  <si>
    <t>Divisional G&amp;A</t>
  </si>
  <si>
    <t>Average</t>
  </si>
  <si>
    <t>Median</t>
  </si>
  <si>
    <t>Aggregate</t>
  </si>
  <si>
    <t>Sum</t>
  </si>
  <si>
    <t>Firm Value</t>
  </si>
  <si>
    <t>Enterprise Value</t>
  </si>
  <si>
    <t>D/E Ratio</t>
  </si>
  <si>
    <t>Cash/Firm Value</t>
  </si>
  <si>
    <t>After-tax operating income</t>
  </si>
  <si>
    <t>Incremental Revenues</t>
  </si>
  <si>
    <t>Synergy benefits</t>
  </si>
  <si>
    <t>After-tax operating margin =</t>
  </si>
  <si>
    <t>PV of cash flows</t>
  </si>
  <si>
    <t>Overall NPV =</t>
  </si>
  <si>
    <t>Terminal value</t>
  </si>
  <si>
    <t>NPV =</t>
  </si>
  <si>
    <t>After-tax operating income (CF)</t>
  </si>
  <si>
    <t>Total incremental cashflow</t>
  </si>
  <si>
    <t>NPV</t>
  </si>
  <si>
    <t xml:space="preserve">IRR </t>
  </si>
  <si>
    <t>PV</t>
  </si>
  <si>
    <t>IRR Computation (Use the solver or goal seek function to get to IRR)</t>
  </si>
  <si>
    <t>Total Corporate G&amp;A</t>
  </si>
  <si>
    <t>% of Revenues</t>
  </si>
  <si>
    <t>Total Equity Risk Premium (Weighted Average)</t>
  </si>
  <si>
    <t>Weight * Premium</t>
  </si>
  <si>
    <t>Africa</t>
  </si>
  <si>
    <t>Asia</t>
  </si>
  <si>
    <t>Australia &amp; New Zealand</t>
  </si>
  <si>
    <t>Central and South America</t>
  </si>
  <si>
    <t>Eastern Europe &amp; Russia</t>
  </si>
  <si>
    <t>Middle East</t>
  </si>
  <si>
    <t>North America</t>
  </si>
  <si>
    <t>Western Europe</t>
  </si>
  <si>
    <t>Region</t>
  </si>
  <si>
    <t>(Includes country risk for regional exposure)</t>
  </si>
  <si>
    <t>Country Risk Premium</t>
  </si>
  <si>
    <t>Mature market premium</t>
  </si>
  <si>
    <t>Capital Maintenance as % of depreciation</t>
  </si>
  <si>
    <t>AT Operating Income</t>
  </si>
  <si>
    <t>Invested Capital</t>
  </si>
  <si>
    <t>Return on Capital</t>
  </si>
  <si>
    <t>Growth in device sales=</t>
  </si>
  <si>
    <t>Company</t>
  </si>
  <si>
    <t>Market Capitalization</t>
  </si>
  <si>
    <t>Cash &amp; Equivalents</t>
  </si>
  <si>
    <t>Total Debt (including leases)</t>
  </si>
  <si>
    <t>Beta</t>
  </si>
  <si>
    <t>Levered beta for Devices</t>
  </si>
  <si>
    <t>Cost of equity for Devices=</t>
  </si>
  <si>
    <t>Cost of capital for Devices =</t>
  </si>
  <si>
    <t>Marginal Tax Rate =</t>
  </si>
  <si>
    <t>Used by devices =</t>
  </si>
  <si>
    <t>Growth in device market =</t>
  </si>
  <si>
    <t>Unlevered Beta</t>
  </si>
  <si>
    <t>Unlevered beta corrected for cash</t>
  </si>
  <si>
    <t>Incremental revenue in year 1 =</t>
  </si>
  <si>
    <t>Beiqi Foton Motor Co., Ltd. (SHSE:600166)</t>
  </si>
  <si>
    <t>China Automotive Engineering Research Institute Co., Ltd. (SHSE:601965)</t>
  </si>
  <si>
    <t>Daimler AG (XTRA:DAI)</t>
  </si>
  <si>
    <t>Dongfeng Motor Group Company Limited (SEHK:489)</t>
  </si>
  <si>
    <t>General Motors Company (NYSE:GM)</t>
  </si>
  <si>
    <t>Guangzhou Automobile Group Co., Ltd. (SEHK:2238)</t>
  </si>
  <si>
    <t>Harley-Davidson, Inc. (NYSE:HOG)</t>
  </si>
  <si>
    <t>Hero MotoCorp Limited (BSE:500182)</t>
  </si>
  <si>
    <t>Honda Motor Co., Ltd. (TSE:7267)</t>
  </si>
  <si>
    <t>Hyundai Motor Company (KOSE:A005380)</t>
  </si>
  <si>
    <t>Jiangling Motors Corporation, Ltd. (SZSE:000550)</t>
  </si>
  <si>
    <t>Mazda Motor Corporation (TSE:7261)</t>
  </si>
  <si>
    <t>Mitsubishi Motors Corporation (TSE:7211)</t>
  </si>
  <si>
    <t>Piaggio &amp; C. SpA (BIT:PIA)</t>
  </si>
  <si>
    <t>SAIC Motor Corporation Limited (SHSE:600104)</t>
  </si>
  <si>
    <t>Suzuki Motor Corporation (TSE:7269)</t>
  </si>
  <si>
    <t>Tata Motors Limited (BSE:500570)</t>
  </si>
  <si>
    <t>Toyota Motor Corporation (TSE:7203)</t>
  </si>
  <si>
    <t>TVS Motor Company Limited (BSE:532343)</t>
  </si>
  <si>
    <t>Volkswagen AG (XTRA:VOW3)</t>
  </si>
  <si>
    <t>Capacity used by Devices</t>
  </si>
  <si>
    <t xml:space="preserve"> + PV of iDevice synergy =</t>
  </si>
  <si>
    <t>Value of side-benefit (synergy) for iDevices</t>
  </si>
  <si>
    <t>PV of iDevice synergy =</t>
  </si>
  <si>
    <t>Value of side-benefit (synergy) for iDevices store</t>
  </si>
  <si>
    <t>PV of iDevices synergy =</t>
  </si>
  <si>
    <t>Marketing cost (Google Stores)</t>
  </si>
  <si>
    <t>Unlevered beta for Software/Devices =</t>
  </si>
  <si>
    <t>Tesla, Inc. (NasdaqGS:TSLA)</t>
  </si>
  <si>
    <t>BYD Company Limited (SEHK:1211)</t>
  </si>
  <si>
    <t>NIO Limited (NYSE:NIO)</t>
  </si>
  <si>
    <t>Bayerische Motoren Werke Aktiengesellschaft (XTRA:BMW)</t>
  </si>
  <si>
    <t>Ford Motor Company (NYSE:F)</t>
  </si>
  <si>
    <t>Great Wall Motor Company Limited (SEHK:2333)</t>
  </si>
  <si>
    <t>Ferrari N.V. (NYSE:RACE)</t>
  </si>
  <si>
    <t>Geely Automobile Holdings Limited (SEHK:175)</t>
  </si>
  <si>
    <t>Maruti Suzuki India Limited (NSEI:MARUTI)</t>
  </si>
  <si>
    <t>Kia Corporation (KOSE:A000270)</t>
  </si>
  <si>
    <t>Porsche Automobil Holding SE (XTRA:PAH3)</t>
  </si>
  <si>
    <t>Nissan Motor Co., Ltd. (TSE:7201)</t>
  </si>
  <si>
    <t>PT Astra International Tbk (IDX:ASII)</t>
  </si>
  <si>
    <t>Bajaj Auto Limited (NSEI:BAJAJ-AUTO)</t>
  </si>
  <si>
    <t>Subaru Corporation (TSE:7270)</t>
  </si>
  <si>
    <t>Renault SA (ENXTPA:RNO)</t>
  </si>
  <si>
    <t>Mahindra &amp; Mahindra Limited (NSEI:M&amp;M)</t>
  </si>
  <si>
    <t>Chongqing Changan Automobile Company Limited (SZSE:200625)</t>
  </si>
  <si>
    <t>Eicher Motors Limited (BSE:505200)</t>
  </si>
  <si>
    <t>Ford Otomotiv Sanayi A.S. (IBSE:FROTO)</t>
  </si>
  <si>
    <t>FAW Jiefang Group Co., Ltd (SZSE:000800)</t>
  </si>
  <si>
    <t>Yamaha Motor Co., Ltd. (TSE:7272)</t>
  </si>
  <si>
    <t>Isuzu Motors Limited (TSE:7202)</t>
  </si>
  <si>
    <t>Thor Industries, Inc. (NYSE:THO)</t>
  </si>
  <si>
    <t>Yadea Group Holdings Ltd. (SEHK:1585)</t>
  </si>
  <si>
    <t>BAIC BluePark New Energy Technology Co., Ltd. (SHSE:600733)</t>
  </si>
  <si>
    <t>Brilliance China Automotive Holdings Limited (SEHK:1114)</t>
  </si>
  <si>
    <t>Chongqing Sokon Industry Group Stock Co.,Ltd. (SHSE:601127)</t>
  </si>
  <si>
    <t>Trigano S.A. (ENXTPA:TRI)</t>
  </si>
  <si>
    <t>Aston Martin Lagonda Global Holdings plc (LSE:AML)</t>
  </si>
  <si>
    <t>BAIC Motor Corporation Limited (SEHK:1958)</t>
  </si>
  <si>
    <t>Yulon Nissan Motor Co., Ltd (TSEC:2227)</t>
  </si>
  <si>
    <t>Niu Technologies (NasdaqGM:NIU)</t>
  </si>
  <si>
    <t>Tofas Türk Otomobil Fabrikasi A.S. (IBSE:TOASO)</t>
  </si>
  <si>
    <t>Anhui Jianghuai Automobile Group Corp.,Ltd. (SHSE:600418)</t>
  </si>
  <si>
    <t>Winnebago Industries, Inc. (NYSE:WGO)</t>
  </si>
  <si>
    <t>DongFeng Automobile Co. LTD (SHSE:600006)</t>
  </si>
  <si>
    <t>Zhejiang Qianjiang Motorcycle Co., Ltd. (SZSE:000913)</t>
  </si>
  <si>
    <t>PIERER Mobility AG (WBAG:PMAG)</t>
  </si>
  <si>
    <t>CETC Energy Joint-Stock Co., Ltd. (SHSE:600877)</t>
  </si>
  <si>
    <t>Yulon Motor Company Ltd. (TSEC:2201)</t>
  </si>
  <si>
    <t>Lifan Technology (group) Co.,Ltd (SHSE:601777)</t>
  </si>
  <si>
    <t>(in millions)</t>
  </si>
  <si>
    <t>Loncin Motor Co., Ltd. (SHSE:603766)</t>
  </si>
  <si>
    <t>Cost of Capital for GCar =</t>
  </si>
  <si>
    <t>Unlevered Beta for GCar =</t>
  </si>
  <si>
    <t>Levered Beta for GCar =</t>
  </si>
  <si>
    <t>Capacity used by GCar</t>
  </si>
  <si>
    <t>Cash Flow from GCar</t>
  </si>
  <si>
    <t>PV of Cash Flows from GCar</t>
  </si>
  <si>
    <t xml:space="preserve">Net Present Value of GCar </t>
  </si>
  <si>
    <t xml:space="preserve"> - Google Stores</t>
  </si>
  <si>
    <t>Marketing cost per unit (Google)</t>
  </si>
  <si>
    <t xml:space="preserve"> - Marketing Costs (Google stores)</t>
  </si>
  <si>
    <t>Net Present Value of GCar</t>
  </si>
  <si>
    <t>Incremental Cash flows (GCar &amp; iDevices)</t>
  </si>
  <si>
    <t>Terminal value (GCar and iDevices)</t>
  </si>
  <si>
    <t>After-tax Incremental Operating Income</t>
  </si>
  <si>
    <t>After-tax Operating Income with Synergy</t>
  </si>
  <si>
    <t>After-tax Incremental Operating Income with Synergy</t>
  </si>
  <si>
    <t>BV of Capacity Expansion</t>
  </si>
  <si>
    <t>ROIC (no synergy)</t>
  </si>
  <si>
    <t>Incremental ROIC (no synergy)</t>
  </si>
  <si>
    <t>ROIC (with synergy)</t>
  </si>
  <si>
    <t>BV of Fixed Assets (start of year)</t>
  </si>
  <si>
    <t>BV of Working Capital (start of year)</t>
  </si>
  <si>
    <t>Finite</t>
  </si>
  <si>
    <t>Longer Life</t>
  </si>
  <si>
    <t>Trade Off Cashflow</t>
  </si>
  <si>
    <t>Cashflows from Gcar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</si>
</sst>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_);_(&quot;$&quot;* \(#,##0.0\);_(&quot;$&quot;* &quot;-&quot;??_);_(@_)"/>
    <numFmt numFmtId="165" formatCode="_(&quot;$&quot;* #,##0_);_(&quot;$&quot;* \(#,##0\);_(&quot;$&quot;* &quot;-&quot;??_);_(@_)"/>
    <numFmt numFmtId="166" formatCode="0.0%"/>
    <numFmt numFmtId="167" formatCode="_(* #,##0.0000_);_(* \(#,##0.0000\);_(* &quot;-&quot;??_);_(@_)"/>
    <numFmt numFmtId="168" formatCode="&quot;$&quot;#,##0"/>
    <numFmt numFmtId="169" formatCode="_(* #,##0_);_(* \(#,##0\);_(* &quot;-&quot;??_);_(@_)"/>
    <numFmt numFmtId="170" formatCode="&quot;$&quot;#,##0.00"/>
    <numFmt numFmtId="171" formatCode="0.000"/>
    <numFmt numFmtId="172" formatCode="0.0000"/>
    <numFmt numFmtId="173" formatCode="&quot;$&quot;#,##0.00;[Red]&quot;$&quot;#,##0.00"/>
  </numFmts>
  <fonts count="24">
    <font>
      <sz val="10"/>
      <name val="Geneva"/>
    </font>
    <font>
      <b/>
      <sz val="10"/>
      <name val="Geneva"/>
      <family val="2"/>
    </font>
    <font>
      <i/>
      <sz val="10"/>
      <name val="Geneva"/>
      <family val="2"/>
    </font>
    <font>
      <b/>
      <i/>
      <sz val="10"/>
      <name val="Geneva"/>
      <family val="2"/>
    </font>
    <font>
      <sz val="10"/>
      <name val="Geneva"/>
      <family val="2"/>
    </font>
    <font>
      <b/>
      <sz val="14"/>
      <name val="Geneva"/>
      <family val="2"/>
    </font>
    <font>
      <b/>
      <sz val="14"/>
      <name val="Times"/>
      <family val="1"/>
    </font>
    <font>
      <sz val="8"/>
      <name val="Verdana"/>
      <family val="2"/>
    </font>
    <font>
      <sz val="12"/>
      <name val="Times"/>
      <family val="1"/>
    </font>
    <font>
      <b/>
      <sz val="10"/>
      <name val="Times"/>
      <family val="1"/>
    </font>
    <font>
      <sz val="10"/>
      <name val="Times"/>
      <family val="1"/>
    </font>
    <font>
      <i/>
      <sz val="10"/>
      <name val="Times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name val="Geneva"/>
      <family val="2"/>
    </font>
    <font>
      <sz val="10"/>
      <name val="Geneva"/>
      <family val="2"/>
    </font>
    <font>
      <sz val="8"/>
      <color indexed="8"/>
      <name val="Arial"/>
      <family val="2"/>
    </font>
    <font>
      <sz val="12"/>
      <color indexed="8"/>
      <name val="Times Roman"/>
    </font>
    <font>
      <sz val="12"/>
      <name val="Times Roman"/>
    </font>
    <font>
      <b/>
      <sz val="9"/>
      <color rgb="FF000000"/>
      <name val="Geneva"/>
      <family val="2"/>
      <charset val="1"/>
    </font>
    <font>
      <sz val="9"/>
      <color rgb="FF000000"/>
      <name val="Geneva"/>
      <family val="2"/>
      <charset val="1"/>
    </font>
    <font>
      <sz val="14"/>
      <name val="Geneva"/>
      <family val="2"/>
    </font>
    <font>
      <i/>
      <sz val="14"/>
      <name val="Geneva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 applyAlignment="0"/>
  </cellStyleXfs>
  <cellXfs count="154">
    <xf numFmtId="0" fontId="0" fillId="0" borderId="0" xfId="0"/>
    <xf numFmtId="165" fontId="0" fillId="0" borderId="0" xfId="2" applyNumberFormat="1" applyFont="1"/>
    <xf numFmtId="165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9" fontId="0" fillId="0" borderId="4" xfId="0" applyNumberFormat="1" applyBorder="1"/>
    <xf numFmtId="165" fontId="0" fillId="0" borderId="4" xfId="2" applyNumberFormat="1" applyFont="1" applyBorder="1"/>
    <xf numFmtId="165" fontId="0" fillId="0" borderId="4" xfId="0" applyNumberFormat="1" applyBorder="1"/>
    <xf numFmtId="10" fontId="0" fillId="0" borderId="5" xfId="0" applyNumberFormat="1" applyBorder="1"/>
    <xf numFmtId="10" fontId="0" fillId="0" borderId="4" xfId="3" applyNumberFormat="1" applyFont="1" applyBorder="1"/>
    <xf numFmtId="9" fontId="0" fillId="0" borderId="0" xfId="0" applyNumberFormat="1" applyBorder="1"/>
    <xf numFmtId="10" fontId="0" fillId="0" borderId="0" xfId="3" applyNumberFormat="1" applyFont="1" applyBorder="1"/>
    <xf numFmtId="44" fontId="0" fillId="0" borderId="4" xfId="2" applyFont="1" applyBorder="1"/>
    <xf numFmtId="43" fontId="0" fillId="0" borderId="4" xfId="1" applyFont="1" applyBorder="1"/>
    <xf numFmtId="10" fontId="0" fillId="0" borderId="4" xfId="0" applyNumberFormat="1" applyBorder="1"/>
    <xf numFmtId="0" fontId="0" fillId="0" borderId="0" xfId="0" applyBorder="1"/>
    <xf numFmtId="0" fontId="5" fillId="0" borderId="0" xfId="0" applyFont="1" applyAlignment="1">
      <alignment horizontal="centerContinuous"/>
    </xf>
    <xf numFmtId="0" fontId="5" fillId="0" borderId="0" xfId="0" applyFont="1"/>
    <xf numFmtId="0" fontId="2" fillId="0" borderId="4" xfId="0" applyFont="1" applyBorder="1" applyAlignment="1">
      <alignment horizontal="center"/>
    </xf>
    <xf numFmtId="0" fontId="0" fillId="0" borderId="6" xfId="0" applyBorder="1"/>
    <xf numFmtId="165" fontId="0" fillId="0" borderId="7" xfId="2" applyNumberFormat="1" applyFont="1" applyBorder="1"/>
    <xf numFmtId="0" fontId="0" fillId="0" borderId="7" xfId="0" applyBorder="1"/>
    <xf numFmtId="165" fontId="2" fillId="0" borderId="0" xfId="0" applyNumberFormat="1" applyFont="1"/>
    <xf numFmtId="165" fontId="2" fillId="0" borderId="0" xfId="2" applyNumberFormat="1" applyFont="1"/>
    <xf numFmtId="165" fontId="0" fillId="0" borderId="7" xfId="0" applyNumberFormat="1" applyBorder="1"/>
    <xf numFmtId="0" fontId="2" fillId="0" borderId="4" xfId="0" applyFont="1" applyBorder="1"/>
    <xf numFmtId="10" fontId="0" fillId="0" borderId="4" xfId="1" applyNumberFormat="1" applyFont="1" applyBorder="1"/>
    <xf numFmtId="167" fontId="0" fillId="0" borderId="4" xfId="1" applyNumberFormat="1" applyFont="1" applyBorder="1"/>
    <xf numFmtId="169" fontId="0" fillId="0" borderId="4" xfId="2" applyNumberFormat="1" applyFont="1" applyBorder="1"/>
    <xf numFmtId="170" fontId="0" fillId="0" borderId="4" xfId="1" applyNumberFormat="1" applyFont="1" applyBorder="1"/>
    <xf numFmtId="165" fontId="0" fillId="0" borderId="8" xfId="0" applyNumberFormat="1" applyBorder="1"/>
    <xf numFmtId="0" fontId="0" fillId="0" borderId="4" xfId="0" applyBorder="1" applyAlignment="1">
      <alignment horizontal="center"/>
    </xf>
    <xf numFmtId="168" fontId="0" fillId="0" borderId="0" xfId="0" applyNumberFormat="1"/>
    <xf numFmtId="0" fontId="6" fillId="0" borderId="0" xfId="0" applyFont="1" applyAlignment="1">
      <alignment horizontal="centerContinuous"/>
    </xf>
    <xf numFmtId="0" fontId="6" fillId="0" borderId="0" xfId="0" applyFont="1"/>
    <xf numFmtId="0" fontId="8" fillId="0" borderId="9" xfId="0" applyFont="1" applyBorder="1" applyAlignment="1">
      <alignment horizontal="left"/>
    </xf>
    <xf numFmtId="0" fontId="8" fillId="0" borderId="10" xfId="0" applyFont="1" applyBorder="1" applyAlignment="1">
      <alignment horizontal="centerContinuous"/>
    </xf>
    <xf numFmtId="0" fontId="8" fillId="0" borderId="11" xfId="0" applyFont="1" applyBorder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8" fillId="0" borderId="12" xfId="0" applyFont="1" applyBorder="1" applyAlignment="1">
      <alignment horizontal="left"/>
    </xf>
    <xf numFmtId="0" fontId="8" fillId="0" borderId="0" xfId="0" applyFont="1" applyBorder="1" applyAlignment="1">
      <alignment horizontal="centerContinuous"/>
    </xf>
    <xf numFmtId="0" fontId="8" fillId="0" borderId="13" xfId="0" applyFont="1" applyBorder="1" applyAlignment="1">
      <alignment horizontal="centerContinuous"/>
    </xf>
    <xf numFmtId="0" fontId="8" fillId="0" borderId="14" xfId="0" applyFont="1" applyBorder="1" applyAlignment="1">
      <alignment horizontal="left"/>
    </xf>
    <xf numFmtId="0" fontId="8" fillId="0" borderId="15" xfId="0" applyFont="1" applyBorder="1" applyAlignment="1">
      <alignment horizontal="left"/>
    </xf>
    <xf numFmtId="0" fontId="8" fillId="0" borderId="1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/>
    <xf numFmtId="0" fontId="10" fillId="0" borderId="0" xfId="0" applyFont="1"/>
    <xf numFmtId="44" fontId="10" fillId="2" borderId="4" xfId="2" applyFont="1" applyFill="1" applyBorder="1"/>
    <xf numFmtId="0" fontId="11" fillId="0" borderId="0" xfId="0" applyFont="1"/>
    <xf numFmtId="0" fontId="10" fillId="0" borderId="4" xfId="0" applyFont="1" applyBorder="1" applyAlignment="1">
      <alignment horizontal="center"/>
    </xf>
    <xf numFmtId="44" fontId="10" fillId="2" borderId="4" xfId="2" applyNumberFormat="1" applyFont="1" applyFill="1" applyBorder="1"/>
    <xf numFmtId="10" fontId="10" fillId="2" borderId="5" xfId="0" applyNumberFormat="1" applyFont="1" applyFill="1" applyBorder="1" applyAlignment="1">
      <alignment horizontal="center"/>
    </xf>
    <xf numFmtId="44" fontId="9" fillId="0" borderId="0" xfId="2" applyFont="1" applyBorder="1"/>
    <xf numFmtId="0" fontId="10" fillId="3" borderId="4" xfId="0" applyFont="1" applyFill="1" applyBorder="1" applyAlignment="1">
      <alignment horizontal="center"/>
    </xf>
    <xf numFmtId="0" fontId="10" fillId="0" borderId="4" xfId="0" applyFont="1" applyBorder="1"/>
    <xf numFmtId="44" fontId="10" fillId="3" borderId="4" xfId="0" applyNumberFormat="1" applyFont="1" applyFill="1" applyBorder="1"/>
    <xf numFmtId="44" fontId="10" fillId="3" borderId="4" xfId="2" applyFont="1" applyFill="1" applyBorder="1"/>
    <xf numFmtId="0" fontId="10" fillId="0" borderId="17" xfId="0" applyFont="1" applyBorder="1"/>
    <xf numFmtId="44" fontId="10" fillId="3" borderId="17" xfId="0" applyNumberFormat="1" applyFont="1" applyFill="1" applyBorder="1"/>
    <xf numFmtId="44" fontId="10" fillId="3" borderId="17" xfId="2" applyFont="1" applyFill="1" applyBorder="1"/>
    <xf numFmtId="0" fontId="10" fillId="0" borderId="5" xfId="0" applyFont="1" applyBorder="1"/>
    <xf numFmtId="44" fontId="10" fillId="3" borderId="5" xfId="0" applyNumberFormat="1" applyFont="1" applyFill="1" applyBorder="1"/>
    <xf numFmtId="0" fontId="0" fillId="0" borderId="0" xfId="0" applyAlignment="1">
      <alignment horizontal="center"/>
    </xf>
    <xf numFmtId="2" fontId="0" fillId="0" borderId="4" xfId="2" applyNumberFormat="1" applyFont="1" applyBorder="1"/>
    <xf numFmtId="2" fontId="0" fillId="0" borderId="4" xfId="0" applyNumberFormat="1" applyBorder="1"/>
    <xf numFmtId="170" fontId="0" fillId="0" borderId="4" xfId="0" applyNumberFormat="1" applyBorder="1"/>
    <xf numFmtId="0" fontId="0" fillId="0" borderId="18" xfId="0" applyFill="1" applyBorder="1"/>
    <xf numFmtId="164" fontId="0" fillId="0" borderId="4" xfId="2" applyNumberFormat="1" applyFont="1" applyBorder="1"/>
    <xf numFmtId="168" fontId="0" fillId="0" borderId="4" xfId="2" applyNumberFormat="1" applyFont="1" applyBorder="1"/>
    <xf numFmtId="10" fontId="0" fillId="0" borderId="18" xfId="3" applyNumberFormat="1" applyFont="1" applyBorder="1"/>
    <xf numFmtId="170" fontId="0" fillId="0" borderId="0" xfId="0" applyNumberFormat="1"/>
    <xf numFmtId="170" fontId="0" fillId="0" borderId="7" xfId="0" applyNumberFormat="1" applyBorder="1"/>
    <xf numFmtId="168" fontId="0" fillId="0" borderId="7" xfId="0" applyNumberFormat="1" applyBorder="1"/>
    <xf numFmtId="0" fontId="1" fillId="0" borderId="0" xfId="0" applyFont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6" xfId="0" applyBorder="1"/>
    <xf numFmtId="10" fontId="0" fillId="0" borderId="18" xfId="0" applyNumberFormat="1" applyBorder="1"/>
    <xf numFmtId="170" fontId="0" fillId="0" borderId="18" xfId="0" applyNumberFormat="1" applyBorder="1"/>
    <xf numFmtId="2" fontId="0" fillId="0" borderId="0" xfId="0" applyNumberFormat="1"/>
    <xf numFmtId="168" fontId="0" fillId="0" borderId="4" xfId="0" applyNumberFormat="1" applyBorder="1"/>
    <xf numFmtId="0" fontId="0" fillId="0" borderId="4" xfId="0" applyFill="1" applyBorder="1"/>
    <xf numFmtId="1" fontId="0" fillId="0" borderId="4" xfId="3" applyNumberFormat="1" applyFont="1" applyBorder="1" applyAlignment="1">
      <alignment horizontal="center"/>
    </xf>
    <xf numFmtId="165" fontId="0" fillId="0" borderId="4" xfId="3" applyNumberFormat="1" applyFont="1" applyBorder="1"/>
    <xf numFmtId="10" fontId="0" fillId="0" borderId="0" xfId="0" applyNumberFormat="1"/>
    <xf numFmtId="168" fontId="0" fillId="0" borderId="18" xfId="0" applyNumberFormat="1" applyBorder="1"/>
    <xf numFmtId="165" fontId="0" fillId="0" borderId="0" xfId="0" applyNumberFormat="1" applyBorder="1"/>
    <xf numFmtId="2" fontId="0" fillId="0" borderId="4" xfId="3" applyNumberFormat="1" applyFont="1" applyBorder="1"/>
    <xf numFmtId="172" fontId="0" fillId="0" borderId="4" xfId="3" applyNumberFormat="1" applyFont="1" applyBorder="1"/>
    <xf numFmtId="165" fontId="0" fillId="0" borderId="5" xfId="0" applyNumberFormat="1" applyBorder="1"/>
    <xf numFmtId="170" fontId="0" fillId="0" borderId="4" xfId="3" applyNumberFormat="1" applyFont="1" applyBorder="1"/>
    <xf numFmtId="168" fontId="0" fillId="0" borderId="4" xfId="3" applyNumberFormat="1" applyFont="1" applyBorder="1"/>
    <xf numFmtId="0" fontId="3" fillId="0" borderId="0" xfId="0" applyFont="1"/>
    <xf numFmtId="166" fontId="0" fillId="0" borderId="0" xfId="0" applyNumberFormat="1"/>
    <xf numFmtId="166" fontId="0" fillId="0" borderId="4" xfId="0" applyNumberFormat="1" applyBorder="1"/>
    <xf numFmtId="0" fontId="0" fillId="0" borderId="4" xfId="0" applyBorder="1" applyAlignment="1">
      <alignment horizontal="left"/>
    </xf>
    <xf numFmtId="10" fontId="0" fillId="0" borderId="17" xfId="3" applyNumberFormat="1" applyFont="1" applyBorder="1"/>
    <xf numFmtId="10" fontId="0" fillId="0" borderId="5" xfId="3" applyNumberFormat="1" applyFont="1" applyBorder="1"/>
    <xf numFmtId="0" fontId="12" fillId="0" borderId="4" xfId="0" applyFont="1" applyBorder="1" applyAlignment="1">
      <alignment wrapText="1"/>
    </xf>
    <xf numFmtId="0" fontId="12" fillId="0" borderId="4" xfId="0" applyFont="1" applyBorder="1" applyAlignment="1">
      <alignment horizontal="center" wrapText="1"/>
    </xf>
    <xf numFmtId="10" fontId="8" fillId="0" borderId="20" xfId="0" applyNumberFormat="1" applyFont="1" applyBorder="1" applyAlignment="1">
      <alignment horizontal="center" vertical="center"/>
    </xf>
    <xf numFmtId="0" fontId="14" fillId="0" borderId="4" xfId="0" applyFont="1" applyFill="1" applyBorder="1" applyAlignment="1">
      <alignment horizontal="center"/>
    </xf>
    <xf numFmtId="170" fontId="13" fillId="0" borderId="4" xfId="0" applyNumberFormat="1" applyFont="1" applyBorder="1"/>
    <xf numFmtId="10" fontId="13" fillId="0" borderId="4" xfId="0" applyNumberFormat="1" applyFont="1" applyBorder="1"/>
    <xf numFmtId="0" fontId="13" fillId="0" borderId="0" xfId="0" applyFont="1"/>
    <xf numFmtId="172" fontId="13" fillId="0" borderId="4" xfId="0" applyNumberFormat="1" applyFont="1" applyBorder="1"/>
    <xf numFmtId="0" fontId="12" fillId="0" borderId="18" xfId="0" applyFont="1" applyFill="1" applyBorder="1"/>
    <xf numFmtId="170" fontId="12" fillId="0" borderId="0" xfId="0" applyNumberFormat="1" applyFont="1" applyBorder="1" applyAlignment="1">
      <alignment horizontal="center"/>
    </xf>
    <xf numFmtId="173" fontId="12" fillId="0" borderId="0" xfId="0" applyNumberFormat="1" applyFont="1" applyBorder="1" applyAlignment="1">
      <alignment horizontal="center"/>
    </xf>
    <xf numFmtId="0" fontId="13" fillId="0" borderId="0" xfId="0" applyFont="1" applyFill="1" applyBorder="1"/>
    <xf numFmtId="0" fontId="13" fillId="0" borderId="0" xfId="0" applyFont="1" applyBorder="1" applyAlignment="1">
      <alignment horizontal="center"/>
    </xf>
    <xf numFmtId="170" fontId="13" fillId="0" borderId="0" xfId="0" applyNumberFormat="1" applyFont="1" applyBorder="1" applyAlignment="1">
      <alignment horizontal="center"/>
    </xf>
    <xf numFmtId="0" fontId="13" fillId="0" borderId="4" xfId="0" applyFont="1" applyFill="1" applyBorder="1"/>
    <xf numFmtId="0" fontId="13" fillId="0" borderId="4" xfId="0" applyFont="1" applyBorder="1"/>
    <xf numFmtId="0" fontId="13" fillId="0" borderId="4" xfId="0" applyFont="1" applyBorder="1" applyAlignment="1">
      <alignment horizontal="center"/>
    </xf>
    <xf numFmtId="171" fontId="13" fillId="0" borderId="4" xfId="0" applyNumberFormat="1" applyFont="1" applyBorder="1" applyAlignment="1">
      <alignment horizontal="center"/>
    </xf>
    <xf numFmtId="0" fontId="12" fillId="0" borderId="4" xfId="0" applyFont="1" applyBorder="1"/>
    <xf numFmtId="0" fontId="12" fillId="0" borderId="4" xfId="0" applyFont="1" applyBorder="1" applyAlignment="1">
      <alignment horizontal="center"/>
    </xf>
    <xf numFmtId="171" fontId="12" fillId="0" borderId="4" xfId="0" applyNumberFormat="1" applyFont="1" applyBorder="1" applyAlignment="1">
      <alignment horizontal="center"/>
    </xf>
    <xf numFmtId="10" fontId="12" fillId="0" borderId="4" xfId="0" applyNumberFormat="1" applyFont="1" applyBorder="1"/>
    <xf numFmtId="0" fontId="12" fillId="0" borderId="0" xfId="0" applyFont="1"/>
    <xf numFmtId="171" fontId="13" fillId="0" borderId="4" xfId="0" applyNumberFormat="1" applyFont="1" applyBorder="1"/>
    <xf numFmtId="10" fontId="0" fillId="4" borderId="4" xfId="0" applyNumberFormat="1" applyFill="1" applyBorder="1"/>
    <xf numFmtId="9" fontId="0" fillId="4" borderId="4" xfId="0" applyNumberFormat="1" applyFill="1" applyBorder="1" applyAlignment="1">
      <alignment horizontal="center"/>
    </xf>
    <xf numFmtId="9" fontId="0" fillId="4" borderId="4" xfId="0" applyNumberFormat="1" applyFill="1" applyBorder="1"/>
    <xf numFmtId="170" fontId="0" fillId="4" borderId="4" xfId="0" applyNumberFormat="1" applyFill="1" applyBorder="1"/>
    <xf numFmtId="173" fontId="0" fillId="0" borderId="7" xfId="0" applyNumberFormat="1" applyBorder="1"/>
    <xf numFmtId="10" fontId="15" fillId="0" borderId="5" xfId="0" applyNumberFormat="1" applyFont="1" applyBorder="1" applyAlignment="1">
      <alignment horizontal="center" vertical="center"/>
    </xf>
    <xf numFmtId="10" fontId="15" fillId="0" borderId="19" xfId="0" applyNumberFormat="1" applyFont="1" applyBorder="1" applyAlignment="1">
      <alignment horizontal="center" vertical="center"/>
    </xf>
    <xf numFmtId="0" fontId="16" fillId="0" borderId="4" xfId="0" applyFont="1" applyBorder="1"/>
    <xf numFmtId="0" fontId="4" fillId="0" borderId="0" xfId="0" applyFont="1"/>
    <xf numFmtId="0" fontId="18" fillId="5" borderId="4" xfId="4" applyFont="1" applyFill="1" applyBorder="1" applyAlignment="1">
      <alignment horizontal="left" vertical="top" wrapText="1"/>
    </xf>
    <xf numFmtId="44" fontId="19" fillId="5" borderId="4" xfId="2" applyFont="1" applyFill="1" applyBorder="1" applyAlignment="1">
      <alignment horizontal="right" vertical="top" wrapText="1"/>
    </xf>
    <xf numFmtId="170" fontId="19" fillId="5" borderId="4" xfId="2" applyNumberFormat="1" applyFont="1" applyFill="1" applyBorder="1" applyAlignment="1">
      <alignment horizontal="right" vertical="top" wrapText="1"/>
    </xf>
    <xf numFmtId="2" fontId="19" fillId="5" borderId="4" xfId="0" applyNumberFormat="1" applyFont="1" applyFill="1" applyBorder="1" applyAlignment="1">
      <alignment horizontal="right" vertical="top" wrapText="1"/>
    </xf>
    <xf numFmtId="0" fontId="4" fillId="0" borderId="4" xfId="0" applyFont="1" applyBorder="1"/>
    <xf numFmtId="0" fontId="4" fillId="0" borderId="4" xfId="0" applyFont="1" applyFill="1" applyBorder="1"/>
    <xf numFmtId="0" fontId="22" fillId="0" borderId="4" xfId="0" applyFont="1" applyBorder="1" applyAlignment="1">
      <alignment horizontal="center"/>
    </xf>
    <xf numFmtId="165" fontId="23" fillId="0" borderId="4" xfId="2" applyNumberFormat="1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165" fontId="22" fillId="0" borderId="4" xfId="2" applyNumberFormat="1" applyFont="1" applyBorder="1" applyAlignment="1">
      <alignment horizontal="center"/>
    </xf>
    <xf numFmtId="0" fontId="23" fillId="5" borderId="4" xfId="0" applyFont="1" applyFill="1" applyBorder="1" applyAlignment="1">
      <alignment horizontal="center"/>
    </xf>
    <xf numFmtId="165" fontId="22" fillId="5" borderId="4" xfId="0" applyNumberFormat="1" applyFont="1" applyFill="1" applyBorder="1" applyAlignment="1">
      <alignment horizontal="center"/>
    </xf>
    <xf numFmtId="0" fontId="0" fillId="0" borderId="0" xfId="0" applyFont="1" applyFill="1" applyBorder="1"/>
    <xf numFmtId="165" fontId="0" fillId="0" borderId="0" xfId="3" applyNumberFormat="1" applyFont="1" applyBorder="1"/>
  </cellXfs>
  <cellStyles count="5">
    <cellStyle name="Comma" xfId="1" builtinId="3"/>
    <cellStyle name="Currency" xfId="2" builtinId="4"/>
    <cellStyle name="Normal" xfId="0" builtinId="0"/>
    <cellStyle name="Percent" xfId="3" builtinId="5"/>
    <cellStyle name="TextNormal" xfId="4" xr:uid="{00000000-0005-0000-0000-000004000000}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worksheet" Target="worksheets/sheet12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6.xml"/><Relationship Id="rId12" Type="http://schemas.openxmlformats.org/officeDocument/2006/relationships/worksheet" Target="worksheets/sheet11.xml"/><Relationship Id="rId17" Type="http://schemas.openxmlformats.org/officeDocument/2006/relationships/worksheet" Target="worksheets/sheet1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5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worksheet" Target="worksheets/sheet10.xml"/><Relationship Id="rId5" Type="http://schemas.openxmlformats.org/officeDocument/2006/relationships/chartsheet" Target="chartsheets/sheet1.xml"/><Relationship Id="rId15" Type="http://schemas.openxmlformats.org/officeDocument/2006/relationships/worksheet" Target="worksheets/sheet14.xml"/><Relationship Id="rId10" Type="http://schemas.openxmlformats.org/officeDocument/2006/relationships/worksheet" Target="worksheets/sheet9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8.xml"/><Relationship Id="rId14" Type="http://schemas.openxmlformats.org/officeDocument/2006/relationships/worksheet" Target="worksheets/sheet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hPercent val="100"/>
      <c:rotY val="20"/>
      <c:depthPercent val="100"/>
      <c:rAngAx val="0"/>
    </c:view3D>
    <c:floor>
      <c:thickness val="0"/>
      <c:spPr>
        <a:solidFill>
          <a:srgbClr val="C0C0C0"/>
        </a:solidFill>
        <a:ln w="3175">
          <a:solidFill>
            <a:srgbClr val="000000"/>
          </a:solidFill>
          <a:prstDash val="solid"/>
        </a:ln>
      </c:spPr>
    </c:floor>
    <c:sideWall>
      <c:thickness val="0"/>
      <c:spPr>
        <a:noFill/>
        <a:ln w="12700">
          <a:solidFill>
            <a:srgbClr val="808080"/>
          </a:solidFill>
          <a:prstDash val="solid"/>
        </a:ln>
      </c:spPr>
    </c:sideWall>
    <c:backWall>
      <c:thickness val="0"/>
      <c:spPr>
        <a:noFill/>
        <a:ln w="12700">
          <a:solidFill>
            <a:srgbClr val="808080"/>
          </a:solidFill>
          <a:prstDash val="solid"/>
        </a:ln>
      </c:spPr>
    </c:backWall>
    <c:plotArea>
      <c:layout>
        <c:manualLayout>
          <c:layoutTarget val="inner"/>
          <c:xMode val="edge"/>
          <c:yMode val="edge"/>
          <c:x val="0.10074074074074074"/>
          <c:y val="1.5250544662309368E-2"/>
          <c:w val="0.82074074074074077"/>
          <c:h val="0.91503267973856206"/>
        </c:manualLayout>
      </c:layout>
      <c:bar3DChart>
        <c:barDir val="col"/>
        <c:grouping val="standard"/>
        <c:varyColors val="0"/>
        <c:ser>
          <c:idx val="0"/>
          <c:order val="0"/>
          <c:tx>
            <c:strRef>
              <c:f>'Sensitivity to price &amp; costs'!$A$3</c:f>
              <c:strCache>
                <c:ptCount val="1"/>
                <c:pt idx="0">
                  <c:v>$900.00</c:v>
                </c:pt>
              </c:strCache>
            </c:strRef>
          </c:tx>
          <c:spPr>
            <a:solidFill>
              <a:srgbClr val="8080FF"/>
            </a:solidFill>
            <a:ln w="25400">
              <a:noFill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cat>
            <c:numRef>
              <c:f>'Sensitivity to price &amp; costs'!$B$2:$F$2</c:f>
              <c:numCache>
                <c:formatCode>0.0%</c:formatCode>
                <c:ptCount val="5"/>
                <c:pt idx="0">
                  <c:v>0.3</c:v>
                </c:pt>
                <c:pt idx="1">
                  <c:v>0.35</c:v>
                </c:pt>
                <c:pt idx="2">
                  <c:v>0.4</c:v>
                </c:pt>
                <c:pt idx="3">
                  <c:v>0.45</c:v>
                </c:pt>
                <c:pt idx="4">
                  <c:v>0.5</c:v>
                </c:pt>
              </c:numCache>
            </c:numRef>
          </c:cat>
          <c:val>
            <c:numRef>
              <c:f>'Sensitivity to price &amp; costs'!$B$3:$F$3</c:f>
              <c:numCache>
                <c:formatCode>"$"#,##0</c:formatCode>
                <c:ptCount val="5"/>
                <c:pt idx="0">
                  <c:v>279</c:v>
                </c:pt>
                <c:pt idx="1">
                  <c:v>45</c:v>
                </c:pt>
                <c:pt idx="2">
                  <c:v>-383</c:v>
                </c:pt>
                <c:pt idx="3">
                  <c:v>-421</c:v>
                </c:pt>
                <c:pt idx="4">
                  <c:v>-652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40-EE44-B6DD-2FA394F47B56}"/>
            </c:ext>
          </c:extLst>
        </c:ser>
        <c:ser>
          <c:idx val="1"/>
          <c:order val="1"/>
          <c:tx>
            <c:strRef>
              <c:f>'Sensitivity to price &amp; costs'!$A$4</c:f>
              <c:strCache>
                <c:ptCount val="1"/>
                <c:pt idx="0">
                  <c:v>$950.00</c:v>
                </c:pt>
              </c:strCache>
            </c:strRef>
          </c:tx>
          <c:spPr>
            <a:solidFill>
              <a:srgbClr val="802060"/>
            </a:solidFill>
            <a:ln w="25400">
              <a:noFill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cat>
            <c:numRef>
              <c:f>'Sensitivity to price &amp; costs'!$B$2:$F$2</c:f>
              <c:numCache>
                <c:formatCode>0.0%</c:formatCode>
                <c:ptCount val="5"/>
                <c:pt idx="0">
                  <c:v>0.3</c:v>
                </c:pt>
                <c:pt idx="1">
                  <c:v>0.35</c:v>
                </c:pt>
                <c:pt idx="2">
                  <c:v>0.4</c:v>
                </c:pt>
                <c:pt idx="3">
                  <c:v>0.45</c:v>
                </c:pt>
                <c:pt idx="4">
                  <c:v>0.5</c:v>
                </c:pt>
              </c:numCache>
            </c:numRef>
          </c:cat>
          <c:val>
            <c:numRef>
              <c:f>'Sensitivity to price &amp; costs'!$B$4:$F$4</c:f>
              <c:numCache>
                <c:formatCode>"$"#,##0</c:formatCode>
                <c:ptCount val="5"/>
                <c:pt idx="0">
                  <c:v>431</c:v>
                </c:pt>
                <c:pt idx="1">
                  <c:v>185</c:v>
                </c:pt>
                <c:pt idx="2">
                  <c:v>-183</c:v>
                </c:pt>
                <c:pt idx="3">
                  <c:v>-306</c:v>
                </c:pt>
                <c:pt idx="4">
                  <c:v>-551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D40-EE44-B6DD-2FA394F47B56}"/>
            </c:ext>
          </c:extLst>
        </c:ser>
        <c:ser>
          <c:idx val="2"/>
          <c:order val="2"/>
          <c:tx>
            <c:strRef>
              <c:f>'Sensitivity to price &amp; costs'!$A$5</c:f>
              <c:strCache>
                <c:ptCount val="1"/>
                <c:pt idx="0">
                  <c:v>$1,000.00</c:v>
                </c:pt>
              </c:strCache>
            </c:strRef>
          </c:tx>
          <c:spPr>
            <a:solidFill>
              <a:srgbClr val="FFFFC0"/>
            </a:solidFill>
            <a:ln w="25400">
              <a:noFill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cat>
            <c:numRef>
              <c:f>'Sensitivity to price &amp; costs'!$B$2:$F$2</c:f>
              <c:numCache>
                <c:formatCode>0.0%</c:formatCode>
                <c:ptCount val="5"/>
                <c:pt idx="0">
                  <c:v>0.3</c:v>
                </c:pt>
                <c:pt idx="1">
                  <c:v>0.35</c:v>
                </c:pt>
                <c:pt idx="2">
                  <c:v>0.4</c:v>
                </c:pt>
                <c:pt idx="3">
                  <c:v>0.45</c:v>
                </c:pt>
                <c:pt idx="4">
                  <c:v>0.5</c:v>
                </c:pt>
              </c:numCache>
            </c:numRef>
          </c:cat>
          <c:val>
            <c:numRef>
              <c:f>'Sensitivity to price &amp; costs'!$B$5:$F$5</c:f>
              <c:numCache>
                <c:formatCode>"$"#,##0</c:formatCode>
                <c:ptCount val="5"/>
                <c:pt idx="0">
                  <c:v>583</c:v>
                </c:pt>
                <c:pt idx="1">
                  <c:v>325</c:v>
                </c:pt>
                <c:pt idx="2">
                  <c:v>67</c:v>
                </c:pt>
                <c:pt idx="3">
                  <c:v>-191</c:v>
                </c:pt>
                <c:pt idx="4">
                  <c:v>-450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D40-EE44-B6DD-2FA394F47B56}"/>
            </c:ext>
          </c:extLst>
        </c:ser>
        <c:ser>
          <c:idx val="3"/>
          <c:order val="3"/>
          <c:tx>
            <c:strRef>
              <c:f>'Sensitivity to price &amp; costs'!$A$6</c:f>
              <c:strCache>
                <c:ptCount val="1"/>
                <c:pt idx="0">
                  <c:v>$1,050.00</c:v>
                </c:pt>
              </c:strCache>
            </c:strRef>
          </c:tx>
          <c:spPr>
            <a:solidFill>
              <a:srgbClr val="A0E0E0"/>
            </a:solidFill>
            <a:ln w="25400">
              <a:noFill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cat>
            <c:numRef>
              <c:f>'Sensitivity to price &amp; costs'!$B$2:$F$2</c:f>
              <c:numCache>
                <c:formatCode>0.0%</c:formatCode>
                <c:ptCount val="5"/>
                <c:pt idx="0">
                  <c:v>0.3</c:v>
                </c:pt>
                <c:pt idx="1">
                  <c:v>0.35</c:v>
                </c:pt>
                <c:pt idx="2">
                  <c:v>0.4</c:v>
                </c:pt>
                <c:pt idx="3">
                  <c:v>0.45</c:v>
                </c:pt>
                <c:pt idx="4">
                  <c:v>0.5</c:v>
                </c:pt>
              </c:numCache>
            </c:numRef>
          </c:cat>
          <c:val>
            <c:numRef>
              <c:f>'Sensitivity to price &amp; costs'!$B$6:$F$6</c:f>
              <c:numCache>
                <c:formatCode>"$"#,##0</c:formatCode>
                <c:ptCount val="5"/>
                <c:pt idx="0">
                  <c:v>735</c:v>
                </c:pt>
                <c:pt idx="1">
                  <c:v>565</c:v>
                </c:pt>
                <c:pt idx="2">
                  <c:v>267</c:v>
                </c:pt>
                <c:pt idx="3">
                  <c:v>-76</c:v>
                </c:pt>
                <c:pt idx="4">
                  <c:v>-349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D40-EE44-B6DD-2FA394F47B56}"/>
            </c:ext>
          </c:extLst>
        </c:ser>
        <c:ser>
          <c:idx val="4"/>
          <c:order val="4"/>
          <c:tx>
            <c:strRef>
              <c:f>'Sensitivity to price &amp; costs'!$A$7</c:f>
              <c:strCache>
                <c:ptCount val="1"/>
                <c:pt idx="0">
                  <c:v>$1,100.00</c:v>
                </c:pt>
              </c:strCache>
            </c:strRef>
          </c:tx>
          <c:spPr>
            <a:solidFill>
              <a:srgbClr val="600080"/>
            </a:solidFill>
            <a:ln w="25400">
              <a:noFill/>
            </a:ln>
            <a:effectLst>
              <a:outerShdw dist="35921" dir="2700000" algn="br">
                <a:srgbClr val="000000"/>
              </a:outerShdw>
            </a:effectLst>
          </c:spPr>
          <c:invertIfNegative val="0"/>
          <c:cat>
            <c:numRef>
              <c:f>'Sensitivity to price &amp; costs'!$B$2:$F$2</c:f>
              <c:numCache>
                <c:formatCode>0.0%</c:formatCode>
                <c:ptCount val="5"/>
                <c:pt idx="0">
                  <c:v>0.3</c:v>
                </c:pt>
                <c:pt idx="1">
                  <c:v>0.35</c:v>
                </c:pt>
                <c:pt idx="2">
                  <c:v>0.4</c:v>
                </c:pt>
                <c:pt idx="3">
                  <c:v>0.45</c:v>
                </c:pt>
                <c:pt idx="4">
                  <c:v>0.5</c:v>
                </c:pt>
              </c:numCache>
            </c:numRef>
          </c:cat>
          <c:val>
            <c:numRef>
              <c:f>'Sensitivity to price &amp; costs'!$B$7:$F$7</c:f>
              <c:numCache>
                <c:formatCode>"$"#,##0</c:formatCode>
                <c:ptCount val="5"/>
                <c:pt idx="0">
                  <c:v>887</c:v>
                </c:pt>
                <c:pt idx="1">
                  <c:v>705</c:v>
                </c:pt>
                <c:pt idx="2">
                  <c:v>467</c:v>
                </c:pt>
                <c:pt idx="3">
                  <c:v>39</c:v>
                </c:pt>
                <c:pt idx="4">
                  <c:v>-248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D40-EE44-B6DD-2FA394F47B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445432479"/>
        <c:axId val="1"/>
        <c:axId val="2"/>
      </c:bar3DChart>
      <c:catAx>
        <c:axId val="144543247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algn="ctr" rtl="0">
                  <a:defRPr sz="1000" b="1" i="0" u="none" strike="noStrike" baseline="0">
                    <a:solidFill>
                      <a:srgbClr val="000000"/>
                    </a:solidFill>
                    <a:latin typeface="Verdana"/>
                    <a:ea typeface="Verdana"/>
                    <a:cs typeface="Verdana"/>
                  </a:defRPr>
                </a:pPr>
                <a:r>
                  <a:rPr lang="en-US"/>
                  <a:t>Variable cost as % of price</a:t>
                </a:r>
              </a:p>
            </c:rich>
          </c:tx>
          <c:layout>
            <c:manualLayout>
              <c:xMode val="edge"/>
              <c:yMode val="edge"/>
              <c:x val="0.30666662772494685"/>
              <c:y val="0.9324619193343191"/>
            </c:manualLayout>
          </c:layout>
          <c:overlay val="0"/>
          <c:spPr>
            <a:noFill/>
            <a:ln w="25400">
              <a:noFill/>
            </a:ln>
          </c:spPr>
        </c:title>
        <c:numFmt formatCode="0.0%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"/>
                <a:ea typeface="Times"/>
                <a:cs typeface="Times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1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 algn="ctr" rtl="0">
                  <a:defRPr sz="1000" b="1" i="0" u="none" strike="noStrike" baseline="0">
                    <a:solidFill>
                      <a:srgbClr val="000000"/>
                    </a:solidFill>
                    <a:latin typeface="Verdana"/>
                    <a:ea typeface="Verdana"/>
                    <a:cs typeface="Verdana"/>
                  </a:defRPr>
                </a:pPr>
                <a:r>
                  <a:rPr lang="en-US"/>
                  <a:t>NPV</a:t>
                </a:r>
              </a:p>
            </c:rich>
          </c:tx>
          <c:layout>
            <c:manualLayout>
              <c:xMode val="edge"/>
              <c:yMode val="edge"/>
              <c:x val="0.12296303651954484"/>
              <c:y val="0.44662311315889008"/>
            </c:manualLayout>
          </c:layout>
          <c:overlay val="0"/>
          <c:spPr>
            <a:noFill/>
            <a:ln w="25400">
              <a:noFill/>
            </a:ln>
          </c:spPr>
        </c:title>
        <c:numFmt formatCode="&quot;$&quot;#,##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"/>
                <a:ea typeface="Times"/>
                <a:cs typeface="Times"/>
              </a:defRPr>
            </a:pPr>
            <a:endParaRPr lang="en-US"/>
          </a:p>
        </c:txPr>
        <c:crossAx val="1445432479"/>
        <c:crosses val="autoZero"/>
        <c:crossBetween val="between"/>
      </c:valAx>
      <c:serAx>
        <c:axId val="2"/>
        <c:scaling>
          <c:orientation val="minMax"/>
        </c:scaling>
        <c:delete val="0"/>
        <c:axPos val="b"/>
        <c:title>
          <c:tx>
            <c:rich>
              <a:bodyPr rot="-5400000" vert="horz"/>
              <a:lstStyle/>
              <a:p>
                <a:pPr algn="ctr" rtl="0">
                  <a:defRPr sz="1000" b="1" i="0" u="none" strike="noStrike" baseline="0">
                    <a:solidFill>
                      <a:srgbClr val="000000"/>
                    </a:solidFill>
                    <a:latin typeface="Verdana"/>
                    <a:ea typeface="Verdana"/>
                    <a:cs typeface="Verdana"/>
                  </a:defRPr>
                </a:pPr>
                <a:r>
                  <a:rPr lang="en-US"/>
                  <a:t>Price/TV</a:t>
                </a:r>
              </a:p>
            </c:rich>
          </c:tx>
          <c:layout>
            <c:manualLayout>
              <c:xMode val="edge"/>
              <c:yMode val="edge"/>
              <c:x val="0.86962966424449173"/>
              <c:y val="0.7581700649864181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"/>
                <a:ea typeface="Times"/>
                <a:cs typeface="Times"/>
              </a:defRPr>
            </a:pPr>
            <a:endParaRPr lang="en-US"/>
          </a:p>
        </c:txPr>
        <c:crossAx val="1"/>
        <c:crosses val="autoZero"/>
        <c:tickLblSkip val="1"/>
        <c:tickMarkSkip val="1"/>
      </c:ser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Verdana"/>
          <a:ea typeface="Verdana"/>
          <a:cs typeface="Verdana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91" workbookViewId="0"/>
  </sheetViews>
  <pageMargins left="0.75" right="0.75" top="1" bottom="1" header="0.5" footer="0.5"/>
  <pageSetup orientation="landscape" horizontalDpi="4294967292" verticalDpi="4294967292"/>
  <headerFooter alignWithMargins="0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59800" cy="5816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A22FE5F-42C6-054C-970E-2212103B007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5"/>
  <sheetViews>
    <sheetView tabSelected="1" workbookViewId="0">
      <selection activeCell="C57" sqref="C57"/>
    </sheetView>
  </sheetViews>
  <sheetFormatPr baseColWidth="10" defaultRowHeight="14"/>
  <cols>
    <col min="1" max="1" width="28.140625" customWidth="1"/>
    <col min="2" max="2" width="19.140625" bestFit="1" customWidth="1"/>
    <col min="3" max="3" width="30.5703125" bestFit="1" customWidth="1"/>
    <col min="4" max="4" width="11.85546875" bestFit="1" customWidth="1"/>
    <col min="5" max="5" width="22" bestFit="1" customWidth="1"/>
    <col min="6" max="6" width="13.140625" bestFit="1" customWidth="1"/>
    <col min="7" max="7" width="11.85546875" bestFit="1" customWidth="1"/>
    <col min="8" max="8" width="15.140625" bestFit="1" customWidth="1"/>
    <col min="9" max="9" width="11.85546875" bestFit="1" customWidth="1"/>
    <col min="10" max="10" width="12.28515625" bestFit="1" customWidth="1"/>
    <col min="11" max="12" width="11.85546875" bestFit="1" customWidth="1"/>
  </cols>
  <sheetData>
    <row r="1" spans="1:10" s="21" customFormat="1" ht="19">
      <c r="A1" s="20" t="s">
        <v>65</v>
      </c>
      <c r="B1" s="20"/>
      <c r="C1" s="20"/>
      <c r="D1" s="20"/>
      <c r="E1" s="20"/>
      <c r="F1" s="20"/>
      <c r="G1" s="20"/>
      <c r="H1" s="20"/>
      <c r="I1" s="20"/>
      <c r="J1" s="20"/>
    </row>
    <row r="2" spans="1:10">
      <c r="A2" s="8" t="s">
        <v>66</v>
      </c>
      <c r="B2" s="131">
        <v>0.04</v>
      </c>
    </row>
    <row r="3" spans="1:10">
      <c r="A3" s="8" t="s">
        <v>67</v>
      </c>
      <c r="B3" s="131">
        <v>0.08</v>
      </c>
      <c r="E3" s="79" t="s">
        <v>99</v>
      </c>
    </row>
    <row r="4" spans="1:10">
      <c r="A4" s="8" t="s">
        <v>64</v>
      </c>
      <c r="B4" s="132" t="s">
        <v>20</v>
      </c>
      <c r="E4" s="8" t="s">
        <v>100</v>
      </c>
      <c r="F4" s="8" t="s">
        <v>105</v>
      </c>
      <c r="G4" s="8" t="s">
        <v>101</v>
      </c>
      <c r="H4" s="8" t="s">
        <v>102</v>
      </c>
    </row>
    <row r="5" spans="1:10">
      <c r="A5" s="8" t="s">
        <v>2</v>
      </c>
      <c r="B5" s="131">
        <v>1.4999999999999999E-2</v>
      </c>
      <c r="E5" s="8" t="s">
        <v>103</v>
      </c>
      <c r="F5" s="8">
        <v>10000000</v>
      </c>
      <c r="G5" s="9">
        <v>0.05</v>
      </c>
      <c r="H5" s="9">
        <v>0.1</v>
      </c>
    </row>
    <row r="6" spans="1:10">
      <c r="A6" s="8" t="s">
        <v>178</v>
      </c>
      <c r="B6" s="133">
        <v>0.25</v>
      </c>
      <c r="E6" s="8" t="s">
        <v>104</v>
      </c>
      <c r="F6" s="8">
        <v>8000000</v>
      </c>
      <c r="G6" s="9">
        <v>0.05</v>
      </c>
      <c r="H6" s="8" t="s">
        <v>108</v>
      </c>
    </row>
    <row r="7" spans="1:10">
      <c r="A7" s="72" t="s">
        <v>78</v>
      </c>
      <c r="B7" s="131">
        <v>0.01</v>
      </c>
    </row>
    <row r="8" spans="1:10">
      <c r="A8" s="72" t="s">
        <v>83</v>
      </c>
      <c r="B8" s="134">
        <v>75000</v>
      </c>
    </row>
    <row r="9" spans="1:10">
      <c r="A9" s="72" t="s">
        <v>82</v>
      </c>
      <c r="B9" s="134">
        <v>50000</v>
      </c>
      <c r="E9" s="101" t="s">
        <v>110</v>
      </c>
    </row>
    <row r="10" spans="1:10">
      <c r="A10" s="72" t="s">
        <v>84</v>
      </c>
      <c r="B10" s="133">
        <v>0.1</v>
      </c>
      <c r="E10" s="80" t="s">
        <v>111</v>
      </c>
      <c r="F10" s="81"/>
      <c r="G10" s="8">
        <v>100</v>
      </c>
    </row>
    <row r="11" spans="1:10">
      <c r="A11" s="72" t="s">
        <v>210</v>
      </c>
      <c r="B11" s="133">
        <v>0.05</v>
      </c>
      <c r="E11" s="82" t="s">
        <v>179</v>
      </c>
      <c r="F11" s="83"/>
      <c r="G11" s="9">
        <v>0.4</v>
      </c>
    </row>
    <row r="12" spans="1:10">
      <c r="A12" s="72" t="s">
        <v>85</v>
      </c>
      <c r="B12" s="133">
        <v>0.8</v>
      </c>
      <c r="E12" s="82" t="s">
        <v>169</v>
      </c>
      <c r="F12" s="83"/>
      <c r="G12" s="103">
        <v>0.12</v>
      </c>
    </row>
    <row r="13" spans="1:10">
      <c r="B13" s="14"/>
      <c r="E13" s="84" t="s">
        <v>114</v>
      </c>
      <c r="F13" s="85"/>
      <c r="G13" s="89">
        <v>5000000</v>
      </c>
      <c r="H13" t="s">
        <v>115</v>
      </c>
    </row>
    <row r="14" spans="1:10">
      <c r="A14" s="8" t="s">
        <v>68</v>
      </c>
      <c r="B14" s="16">
        <v>2000</v>
      </c>
    </row>
    <row r="15" spans="1:10">
      <c r="A15" s="8" t="s">
        <v>69</v>
      </c>
      <c r="B15" s="17">
        <v>650</v>
      </c>
      <c r="C15" s="139" t="s">
        <v>254</v>
      </c>
    </row>
    <row r="16" spans="1:10">
      <c r="A16" s="8" t="s">
        <v>4</v>
      </c>
      <c r="B16" s="30">
        <f>B5+0.6%</f>
        <v>2.0999999999999998E-2</v>
      </c>
      <c r="E16" s="101" t="s">
        <v>137</v>
      </c>
    </row>
    <row r="17" spans="1:7">
      <c r="E17" t="s">
        <v>183</v>
      </c>
      <c r="G17" s="8">
        <v>500000</v>
      </c>
    </row>
    <row r="18" spans="1:7">
      <c r="E18" t="s">
        <v>138</v>
      </c>
      <c r="G18" s="9">
        <v>0.4</v>
      </c>
    </row>
    <row r="20" spans="1:7">
      <c r="A20" s="8" t="s">
        <v>92</v>
      </c>
      <c r="B20" s="10">
        <f>B14*B15</f>
        <v>1300000</v>
      </c>
    </row>
    <row r="21" spans="1:7">
      <c r="A21" s="8" t="s">
        <v>70</v>
      </c>
      <c r="B21" s="10">
        <v>5000</v>
      </c>
    </row>
    <row r="22" spans="1:7">
      <c r="A22" s="8" t="s">
        <v>71</v>
      </c>
      <c r="B22" s="10">
        <f>'Operating Leases'!C30</f>
        <v>13853.655672007517</v>
      </c>
    </row>
    <row r="23" spans="1:7">
      <c r="A23" s="8" t="s">
        <v>124</v>
      </c>
      <c r="B23" s="10">
        <f>B21+B22</f>
        <v>18853.655672007517</v>
      </c>
    </row>
    <row r="24" spans="1:7">
      <c r="A24" s="8" t="s">
        <v>93</v>
      </c>
      <c r="B24" s="13">
        <f>B23/B20</f>
        <v>1.4502812055390397E-2</v>
      </c>
    </row>
    <row r="25" spans="1:7">
      <c r="A25" s="8" t="s">
        <v>94</v>
      </c>
      <c r="B25" s="13">
        <f>B23/(B23+B20)</f>
        <v>1.4295487289983545E-2</v>
      </c>
    </row>
    <row r="26" spans="1:7">
      <c r="A26" s="8" t="s">
        <v>257</v>
      </c>
      <c r="B26" s="31">
        <f>Beta!B76</f>
        <v>1.0410063118417634</v>
      </c>
    </row>
    <row r="27" spans="1:7">
      <c r="A27" s="8" t="s">
        <v>258</v>
      </c>
      <c r="B27" s="31">
        <f>B26*(1+(1-B6)*B24)</f>
        <v>1.0523294510086005</v>
      </c>
    </row>
    <row r="28" spans="1:7">
      <c r="A28" s="8" t="s">
        <v>164</v>
      </c>
      <c r="B28" s="13">
        <v>0.05</v>
      </c>
    </row>
    <row r="29" spans="1:7">
      <c r="A29" s="8" t="s">
        <v>0</v>
      </c>
      <c r="B29" s="30">
        <f>'ERP calculation'!E10</f>
        <v>6.1129000000000003E-2</v>
      </c>
      <c r="C29" t="s">
        <v>162</v>
      </c>
    </row>
    <row r="30" spans="1:7">
      <c r="A30" s="8" t="s">
        <v>21</v>
      </c>
      <c r="B30" s="18">
        <f>B5+B27*B29</f>
        <v>7.932784701070475E-2</v>
      </c>
    </row>
    <row r="31" spans="1:7">
      <c r="A31" s="8" t="s">
        <v>22</v>
      </c>
      <c r="B31" s="18">
        <f>B16*(1-B6)</f>
        <v>1.575E-2</v>
      </c>
    </row>
    <row r="32" spans="1:7">
      <c r="A32" s="144" t="s">
        <v>256</v>
      </c>
      <c r="B32" s="13">
        <f>B30*(1-B25)+B31*B25</f>
        <v>7.8418970706838703E-2</v>
      </c>
    </row>
    <row r="33" spans="1:12">
      <c r="A33" s="138" t="s">
        <v>211</v>
      </c>
      <c r="B33" s="96">
        <v>1.5</v>
      </c>
    </row>
    <row r="34" spans="1:12">
      <c r="A34" s="8" t="s">
        <v>175</v>
      </c>
      <c r="B34" s="97">
        <f>B33*(1+(1-(1-B6))*B24)</f>
        <v>1.5054385545207714</v>
      </c>
    </row>
    <row r="35" spans="1:12">
      <c r="A35" s="8" t="s">
        <v>176</v>
      </c>
      <c r="B35" s="13">
        <f>B5+B34*B29</f>
        <v>0.10702595339930024</v>
      </c>
    </row>
    <row r="36" spans="1:12">
      <c r="A36" s="8" t="s">
        <v>177</v>
      </c>
      <c r="B36" s="13">
        <f>B35*(1-B25)+B31*B25</f>
        <v>0.10572111916759941</v>
      </c>
    </row>
    <row r="37" spans="1:12" s="3" customFormat="1">
      <c r="A37" s="22" t="s">
        <v>24</v>
      </c>
      <c r="B37" s="22">
        <v>0</v>
      </c>
      <c r="C37" s="22">
        <v>1</v>
      </c>
      <c r="D37" s="22">
        <v>2</v>
      </c>
      <c r="E37" s="22">
        <v>3</v>
      </c>
      <c r="F37" s="22">
        <v>4</v>
      </c>
      <c r="G37" s="22">
        <v>5</v>
      </c>
      <c r="H37" s="22">
        <v>6</v>
      </c>
      <c r="I37" s="22">
        <v>7</v>
      </c>
      <c r="J37" s="22">
        <v>8</v>
      </c>
      <c r="K37" s="22">
        <v>9</v>
      </c>
      <c r="L37" s="22">
        <v>10</v>
      </c>
    </row>
    <row r="38" spans="1:12">
      <c r="A38" s="8" t="s">
        <v>25</v>
      </c>
      <c r="B38" s="69">
        <v>5000</v>
      </c>
      <c r="C38" s="69">
        <f t="shared" ref="C38:L38" si="0">B38*(1+$B$2)</f>
        <v>5200</v>
      </c>
      <c r="D38" s="69">
        <f t="shared" si="0"/>
        <v>5408</v>
      </c>
      <c r="E38" s="69">
        <f t="shared" si="0"/>
        <v>5624.3200000000006</v>
      </c>
      <c r="F38" s="69">
        <f t="shared" si="0"/>
        <v>5849.2928000000011</v>
      </c>
      <c r="G38" s="69">
        <f t="shared" si="0"/>
        <v>6083.2645120000016</v>
      </c>
      <c r="H38" s="69">
        <f t="shared" si="0"/>
        <v>6326.5950924800018</v>
      </c>
      <c r="I38" s="69">
        <f t="shared" si="0"/>
        <v>6579.6588961792022</v>
      </c>
      <c r="J38" s="69">
        <f t="shared" si="0"/>
        <v>6842.8452520263709</v>
      </c>
      <c r="K38" s="69">
        <f t="shared" si="0"/>
        <v>7116.5590621074261</v>
      </c>
      <c r="L38" s="69">
        <f t="shared" si="0"/>
        <v>7401.221424591723</v>
      </c>
    </row>
    <row r="39" spans="1:12">
      <c r="A39" s="8" t="s">
        <v>26</v>
      </c>
      <c r="B39" s="18">
        <v>0</v>
      </c>
      <c r="C39" s="18">
        <v>0.02</v>
      </c>
      <c r="D39" s="18">
        <v>0.04</v>
      </c>
      <c r="E39" s="18">
        <v>0.06</v>
      </c>
      <c r="F39" s="13">
        <v>0.08</v>
      </c>
      <c r="G39" s="13">
        <v>0.1</v>
      </c>
      <c r="H39" s="13">
        <f>G39</f>
        <v>0.1</v>
      </c>
      <c r="I39" s="13">
        <f>H39</f>
        <v>0.1</v>
      </c>
      <c r="J39" s="13">
        <f>I39</f>
        <v>0.1</v>
      </c>
      <c r="K39" s="13">
        <v>0.1</v>
      </c>
      <c r="L39" s="18">
        <v>0.1</v>
      </c>
    </row>
    <row r="40" spans="1:12">
      <c r="A40" s="8" t="s">
        <v>17</v>
      </c>
      <c r="B40" s="18"/>
      <c r="C40" s="70">
        <f>C39*C38</f>
        <v>104</v>
      </c>
      <c r="D40" s="70">
        <f>D39*D38</f>
        <v>216.32</v>
      </c>
      <c r="E40" s="70">
        <f t="shared" ref="E40:L40" si="1">E39*E38</f>
        <v>337.45920000000001</v>
      </c>
      <c r="F40" s="70">
        <f t="shared" si="1"/>
        <v>467.94342400000011</v>
      </c>
      <c r="G40" s="70">
        <f t="shared" si="1"/>
        <v>608.32645120000018</v>
      </c>
      <c r="H40" s="70">
        <f t="shared" si="1"/>
        <v>632.65950924800018</v>
      </c>
      <c r="I40" s="70">
        <f t="shared" si="1"/>
        <v>657.96588961792031</v>
      </c>
      <c r="J40" s="70">
        <f t="shared" si="1"/>
        <v>684.28452520263716</v>
      </c>
      <c r="K40" s="70">
        <f t="shared" si="1"/>
        <v>711.65590621074261</v>
      </c>
      <c r="L40" s="70">
        <f t="shared" si="1"/>
        <v>740.12214245917232</v>
      </c>
    </row>
    <row r="41" spans="1:12">
      <c r="A41" s="8" t="s">
        <v>86</v>
      </c>
      <c r="B41" s="18"/>
      <c r="C41" s="70">
        <f>$B$12*C40</f>
        <v>83.2</v>
      </c>
      <c r="D41" s="70">
        <f t="shared" ref="D41:L41" si="2">$B$12*D40</f>
        <v>173.05600000000001</v>
      </c>
      <c r="E41" s="70">
        <f t="shared" si="2"/>
        <v>269.96736000000004</v>
      </c>
      <c r="F41" s="70">
        <f t="shared" si="2"/>
        <v>374.3547392000001</v>
      </c>
      <c r="G41" s="70">
        <f t="shared" si="2"/>
        <v>486.66116096000019</v>
      </c>
      <c r="H41" s="70">
        <f t="shared" si="2"/>
        <v>506.12760739840019</v>
      </c>
      <c r="I41" s="70">
        <f t="shared" si="2"/>
        <v>526.37271169433632</v>
      </c>
      <c r="J41" s="70">
        <f t="shared" si="2"/>
        <v>547.42762016210975</v>
      </c>
      <c r="K41" s="70">
        <f t="shared" si="2"/>
        <v>569.32472496859407</v>
      </c>
      <c r="L41" s="70">
        <f t="shared" si="2"/>
        <v>592.09771396733788</v>
      </c>
    </row>
    <row r="42" spans="1:12">
      <c r="A42" s="8" t="s">
        <v>263</v>
      </c>
      <c r="B42" s="18"/>
      <c r="C42" s="70">
        <f>C40-C41</f>
        <v>20.799999999999997</v>
      </c>
      <c r="D42" s="70">
        <f t="shared" ref="D42:L42" si="3">D40-D41</f>
        <v>43.263999999999982</v>
      </c>
      <c r="E42" s="70">
        <f t="shared" si="3"/>
        <v>67.491839999999968</v>
      </c>
      <c r="F42" s="70">
        <f t="shared" si="3"/>
        <v>93.58868480000001</v>
      </c>
      <c r="G42" s="70">
        <f t="shared" si="3"/>
        <v>121.66529023999999</v>
      </c>
      <c r="H42" s="70">
        <f t="shared" si="3"/>
        <v>126.53190184959999</v>
      </c>
      <c r="I42" s="70">
        <f t="shared" si="3"/>
        <v>131.59317792358399</v>
      </c>
      <c r="J42" s="70">
        <f t="shared" si="3"/>
        <v>136.85690504052741</v>
      </c>
      <c r="K42" s="70">
        <f t="shared" si="3"/>
        <v>142.33118124214855</v>
      </c>
      <c r="L42" s="70">
        <f t="shared" si="3"/>
        <v>148.02442849183444</v>
      </c>
    </row>
    <row r="43" spans="1:12">
      <c r="A43" s="8" t="s">
        <v>18</v>
      </c>
      <c r="B43" s="18"/>
      <c r="C43" s="71">
        <f>B8</f>
        <v>75000</v>
      </c>
      <c r="D43" s="71">
        <f>C43*(1+$B$7)</f>
        <v>75750</v>
      </c>
      <c r="E43" s="71">
        <f t="shared" ref="E43:L43" si="4">D43*(1+$B$7)</f>
        <v>76507.5</v>
      </c>
      <c r="F43" s="71">
        <f t="shared" si="4"/>
        <v>77272.574999999997</v>
      </c>
      <c r="G43" s="71">
        <f t="shared" si="4"/>
        <v>78045.300749999995</v>
      </c>
      <c r="H43" s="71">
        <f t="shared" si="4"/>
        <v>78825.753757500002</v>
      </c>
      <c r="I43" s="71">
        <f t="shared" si="4"/>
        <v>79614.011295075004</v>
      </c>
      <c r="J43" s="71">
        <f t="shared" si="4"/>
        <v>80410.151408025762</v>
      </c>
      <c r="K43" s="71">
        <f t="shared" si="4"/>
        <v>81214.252922106025</v>
      </c>
      <c r="L43" s="71">
        <f t="shared" si="4"/>
        <v>82026.395451327087</v>
      </c>
    </row>
    <row r="44" spans="1:12">
      <c r="A44" s="8" t="s">
        <v>19</v>
      </c>
      <c r="B44" s="18"/>
      <c r="C44" s="71">
        <f>B9</f>
        <v>50000</v>
      </c>
      <c r="D44" s="71">
        <f>C44*(1+$B$7)</f>
        <v>50500</v>
      </c>
      <c r="E44" s="71">
        <f t="shared" ref="E44:L44" si="5">D44*(1+$B$7)</f>
        <v>51005</v>
      </c>
      <c r="F44" s="71">
        <f t="shared" si="5"/>
        <v>51515.05</v>
      </c>
      <c r="G44" s="71">
        <f t="shared" si="5"/>
        <v>52030.200500000006</v>
      </c>
      <c r="H44" s="71">
        <f t="shared" si="5"/>
        <v>52550.502505000004</v>
      </c>
      <c r="I44" s="71">
        <f t="shared" si="5"/>
        <v>53076.007530050003</v>
      </c>
      <c r="J44" s="71">
        <f t="shared" si="5"/>
        <v>53606.767605350506</v>
      </c>
      <c r="K44" s="71">
        <f t="shared" si="5"/>
        <v>54142.835281404012</v>
      </c>
      <c r="L44" s="71">
        <f t="shared" si="5"/>
        <v>54684.263634218056</v>
      </c>
    </row>
    <row r="45" spans="1:12">
      <c r="A45" s="8" t="s">
        <v>81</v>
      </c>
      <c r="B45" s="18"/>
      <c r="C45" s="71">
        <f>$B$10*C43</f>
        <v>7500</v>
      </c>
      <c r="D45" s="71">
        <f t="shared" ref="D45:L45" si="6">$B$10*D43</f>
        <v>7575</v>
      </c>
      <c r="E45" s="71">
        <f t="shared" si="6"/>
        <v>7650.75</v>
      </c>
      <c r="F45" s="71">
        <f t="shared" si="6"/>
        <v>7727.2574999999997</v>
      </c>
      <c r="G45" s="71">
        <f t="shared" si="6"/>
        <v>7804.5300749999997</v>
      </c>
      <c r="H45" s="71">
        <f t="shared" si="6"/>
        <v>7882.5753757500006</v>
      </c>
      <c r="I45" s="71">
        <f t="shared" si="6"/>
        <v>7961.4011295075006</v>
      </c>
      <c r="J45" s="71">
        <f t="shared" si="6"/>
        <v>8041.0151408025768</v>
      </c>
      <c r="K45" s="71">
        <f t="shared" si="6"/>
        <v>8121.4252922106025</v>
      </c>
      <c r="L45" s="71">
        <f t="shared" si="6"/>
        <v>8202.6395451327098</v>
      </c>
    </row>
    <row r="46" spans="1:12">
      <c r="A46" s="8" t="s">
        <v>264</v>
      </c>
      <c r="B46" s="18"/>
      <c r="C46" s="71">
        <f>$B$11*C43</f>
        <v>3750</v>
      </c>
      <c r="D46" s="71">
        <f t="shared" ref="D46:L46" si="7">$B$11*D43</f>
        <v>3787.5</v>
      </c>
      <c r="E46" s="71">
        <f t="shared" si="7"/>
        <v>3825.375</v>
      </c>
      <c r="F46" s="71">
        <f t="shared" si="7"/>
        <v>3863.6287499999999</v>
      </c>
      <c r="G46" s="71">
        <f t="shared" si="7"/>
        <v>3902.2650374999998</v>
      </c>
      <c r="H46" s="71">
        <f t="shared" si="7"/>
        <v>3941.2876878750003</v>
      </c>
      <c r="I46" s="71">
        <f t="shared" si="7"/>
        <v>3980.7005647537503</v>
      </c>
      <c r="J46" s="71">
        <f t="shared" si="7"/>
        <v>4020.5075704012884</v>
      </c>
      <c r="K46" s="71">
        <f t="shared" si="7"/>
        <v>4060.7126461053012</v>
      </c>
      <c r="L46" s="71">
        <f t="shared" si="7"/>
        <v>4101.3197725663549</v>
      </c>
    </row>
    <row r="47" spans="1:12" s="7" customFormat="1" ht="15" thickBo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</row>
    <row r="48" spans="1:12">
      <c r="A48" s="8" t="s">
        <v>27</v>
      </c>
      <c r="B48" s="8"/>
      <c r="C48" s="11">
        <f>C40*C43</f>
        <v>7800000</v>
      </c>
      <c r="D48" s="11">
        <f t="shared" ref="D48:L48" si="8">D40*D43</f>
        <v>16386240</v>
      </c>
      <c r="E48" s="11">
        <f t="shared" si="8"/>
        <v>25818159.743999999</v>
      </c>
      <c r="F48" s="11">
        <f t="shared" si="8"/>
        <v>36159193.326796807</v>
      </c>
      <c r="G48" s="11">
        <f t="shared" si="8"/>
        <v>47477020.838084206</v>
      </c>
      <c r="H48" s="11">
        <f t="shared" si="8"/>
        <v>49869862.688323654</v>
      </c>
      <c r="I48" s="11">
        <f t="shared" si="8"/>
        <v>52383303.76781518</v>
      </c>
      <c r="J48" s="11">
        <f t="shared" si="8"/>
        <v>55023422.277713075</v>
      </c>
      <c r="K48" s="11">
        <f t="shared" si="8"/>
        <v>57796602.760509811</v>
      </c>
      <c r="L48" s="11">
        <f t="shared" si="8"/>
        <v>60709551.53963951</v>
      </c>
    </row>
    <row r="49" spans="1:12">
      <c r="A49" s="8" t="s">
        <v>79</v>
      </c>
      <c r="B49" s="8"/>
      <c r="C49" s="10">
        <f>C40*C44</f>
        <v>5200000</v>
      </c>
      <c r="D49" s="10">
        <f t="shared" ref="D49:L49" si="9">D40*D44</f>
        <v>10924160</v>
      </c>
      <c r="E49" s="10">
        <f t="shared" si="9"/>
        <v>17212106.495999999</v>
      </c>
      <c r="F49" s="10">
        <f t="shared" si="9"/>
        <v>24106128.884531207</v>
      </c>
      <c r="G49" s="10">
        <f t="shared" si="9"/>
        <v>31651347.225389477</v>
      </c>
      <c r="H49" s="10">
        <f t="shared" si="9"/>
        <v>33246575.125549108</v>
      </c>
      <c r="I49" s="10">
        <f t="shared" si="9"/>
        <v>34922202.511876784</v>
      </c>
      <c r="J49" s="10">
        <f t="shared" si="9"/>
        <v>36682281.518475384</v>
      </c>
      <c r="K49" s="10">
        <f t="shared" si="9"/>
        <v>38531068.507006541</v>
      </c>
      <c r="L49" s="10">
        <f t="shared" si="9"/>
        <v>40473034.359759673</v>
      </c>
    </row>
    <row r="50" spans="1:12">
      <c r="A50" s="8" t="s">
        <v>80</v>
      </c>
      <c r="B50" s="8"/>
      <c r="C50" s="10">
        <f>C41*C45</f>
        <v>624000</v>
      </c>
      <c r="D50" s="10">
        <f t="shared" ref="D50:L50" si="10">D41*D45</f>
        <v>1310899.2000000002</v>
      </c>
      <c r="E50" s="10">
        <f t="shared" si="10"/>
        <v>2065452.7795200003</v>
      </c>
      <c r="F50" s="10">
        <f t="shared" si="10"/>
        <v>2892735.4661437445</v>
      </c>
      <c r="G50" s="10">
        <f t="shared" si="10"/>
        <v>3798161.6670467374</v>
      </c>
      <c r="H50" s="10">
        <f t="shared" si="10"/>
        <v>3989589.0150658931</v>
      </c>
      <c r="I50" s="10">
        <f t="shared" si="10"/>
        <v>4190664.3014252153</v>
      </c>
      <c r="J50" s="10">
        <f t="shared" si="10"/>
        <v>4401873.7822170462</v>
      </c>
      <c r="K50" s="10">
        <f t="shared" si="10"/>
        <v>4623728.2208407847</v>
      </c>
      <c r="L50" s="10">
        <f t="shared" si="10"/>
        <v>4856764.1231711619</v>
      </c>
    </row>
    <row r="51" spans="1:12">
      <c r="A51" s="8" t="s">
        <v>265</v>
      </c>
      <c r="B51" s="8"/>
      <c r="C51" s="10">
        <f>C42*C46</f>
        <v>77999.999999999985</v>
      </c>
      <c r="D51" s="10">
        <f t="shared" ref="D51:L51" si="11">D42*D46</f>
        <v>163862.39999999994</v>
      </c>
      <c r="E51" s="10">
        <f t="shared" si="11"/>
        <v>258181.59743999987</v>
      </c>
      <c r="F51" s="10">
        <f t="shared" si="11"/>
        <v>361591.93326796801</v>
      </c>
      <c r="G51" s="10">
        <f t="shared" si="11"/>
        <v>474770.20838084194</v>
      </c>
      <c r="H51" s="10">
        <f t="shared" si="11"/>
        <v>498698.6268832364</v>
      </c>
      <c r="I51" s="10">
        <f t="shared" si="11"/>
        <v>523833.03767815157</v>
      </c>
      <c r="J51" s="10">
        <f t="shared" si="11"/>
        <v>550234.22277713066</v>
      </c>
      <c r="K51" s="10">
        <f t="shared" si="11"/>
        <v>577966.02760509821</v>
      </c>
      <c r="L51" s="10">
        <f t="shared" si="11"/>
        <v>607095.51539639512</v>
      </c>
    </row>
    <row r="52" spans="1:12">
      <c r="A52" s="8" t="s">
        <v>9</v>
      </c>
      <c r="B52" s="8"/>
      <c r="C52" s="11">
        <f>C78+C98</f>
        <v>2500000</v>
      </c>
      <c r="D52" s="11">
        <f t="shared" ref="D52:L52" si="12">D78+D98</f>
        <v>2500000</v>
      </c>
      <c r="E52" s="11">
        <f t="shared" si="12"/>
        <v>2500000</v>
      </c>
      <c r="F52" s="11">
        <f t="shared" si="12"/>
        <v>2757575.25</v>
      </c>
      <c r="G52" s="11">
        <f t="shared" si="12"/>
        <v>2757575.25</v>
      </c>
      <c r="H52" s="11">
        <f t="shared" si="12"/>
        <v>2757575.25</v>
      </c>
      <c r="I52" s="11">
        <f t="shared" si="12"/>
        <v>2757575.25</v>
      </c>
      <c r="J52" s="11">
        <f t="shared" si="12"/>
        <v>2757575.25</v>
      </c>
      <c r="K52" s="11">
        <f t="shared" si="12"/>
        <v>2486861.0735929799</v>
      </c>
      <c r="L52" s="11">
        <f t="shared" si="12"/>
        <v>2486861.0735929799</v>
      </c>
    </row>
    <row r="53" spans="1:12">
      <c r="A53" s="8" t="s">
        <v>28</v>
      </c>
      <c r="B53" s="8"/>
      <c r="C53" s="11">
        <f>C83+C84</f>
        <v>1550000</v>
      </c>
      <c r="D53" s="11">
        <f t="shared" ref="D53:L53" si="13">D83+D84</f>
        <v>2152900</v>
      </c>
      <c r="E53" s="11">
        <f>E83+E84</f>
        <v>2812635.24</v>
      </c>
      <c r="F53" s="11">
        <f t="shared" si="13"/>
        <v>3533403.2581280004</v>
      </c>
      <c r="G53" s="11">
        <f t="shared" si="13"/>
        <v>4319680.3341720644</v>
      </c>
      <c r="H53" s="11">
        <f t="shared" si="13"/>
        <v>4536881.7103893366</v>
      </c>
      <c r="I53" s="11">
        <f t="shared" si="13"/>
        <v>4765004.5103367101</v>
      </c>
      <c r="J53" s="11">
        <f t="shared" si="13"/>
        <v>5004597.8974886183</v>
      </c>
      <c r="K53" s="11">
        <f t="shared" si="13"/>
        <v>5256238.649344529</v>
      </c>
      <c r="L53" s="11">
        <f t="shared" si="13"/>
        <v>5520532.5459851027</v>
      </c>
    </row>
    <row r="54" spans="1:12" s="7" customFormat="1" ht="15" thickBot="1">
      <c r="A54" s="8" t="s">
        <v>29</v>
      </c>
      <c r="B54" s="8"/>
      <c r="C54" s="11">
        <f t="shared" ref="C54:L54" si="14">C89</f>
        <v>1260000</v>
      </c>
      <c r="D54" s="11">
        <f t="shared" si="14"/>
        <v>1323000</v>
      </c>
      <c r="E54" s="11">
        <f t="shared" si="14"/>
        <v>1389150</v>
      </c>
      <c r="F54" s="11">
        <f t="shared" si="14"/>
        <v>1458607.5</v>
      </c>
      <c r="G54" s="11">
        <f t="shared" si="14"/>
        <v>1531537.875</v>
      </c>
      <c r="H54" s="11">
        <f t="shared" si="14"/>
        <v>1608114.7687499989</v>
      </c>
      <c r="I54" s="11">
        <f t="shared" si="14"/>
        <v>1688520.5071874987</v>
      </c>
      <c r="J54" s="11">
        <f t="shared" si="14"/>
        <v>1772946.5325468741</v>
      </c>
      <c r="K54" s="11">
        <f t="shared" si="14"/>
        <v>1861593.859174218</v>
      </c>
      <c r="L54" s="11">
        <f t="shared" si="14"/>
        <v>1954673.5521329287</v>
      </c>
    </row>
    <row r="55" spans="1:12">
      <c r="A55" s="8" t="s">
        <v>30</v>
      </c>
      <c r="B55" s="8"/>
      <c r="C55" s="11">
        <f>C48-SUM(C49:C54)</f>
        <v>-3412000</v>
      </c>
      <c r="D55" s="11">
        <f t="shared" ref="D55:L55" si="15">D48-SUM(D49:D54)</f>
        <v>-1988581.6000000015</v>
      </c>
      <c r="E55" s="11">
        <f t="shared" si="15"/>
        <v>-419366.3689600043</v>
      </c>
      <c r="F55" s="11">
        <f t="shared" si="15"/>
        <v>1049151.0347258821</v>
      </c>
      <c r="G55" s="11">
        <f t="shared" si="15"/>
        <v>2943948.2780950889</v>
      </c>
      <c r="H55" s="11">
        <f t="shared" si="15"/>
        <v>3232428.1916860789</v>
      </c>
      <c r="I55" s="11">
        <f t="shared" si="15"/>
        <v>3535503.6493108124</v>
      </c>
      <c r="J55" s="11">
        <f t="shared" si="15"/>
        <v>3853913.0742080212</v>
      </c>
      <c r="K55" s="11">
        <f t="shared" si="15"/>
        <v>4459146.4229456559</v>
      </c>
      <c r="L55" s="11">
        <f t="shared" si="15"/>
        <v>4810590.3696012646</v>
      </c>
    </row>
    <row r="56" spans="1:12" s="7" customFormat="1" ht="15" thickBot="1">
      <c r="A56" s="11" t="s">
        <v>31</v>
      </c>
      <c r="B56" s="11"/>
      <c r="C56" s="10">
        <f t="shared" ref="C56:L56" si="16">$B$6*C55</f>
        <v>-853000</v>
      </c>
      <c r="D56" s="10">
        <f t="shared" si="16"/>
        <v>-497145.40000000037</v>
      </c>
      <c r="E56" s="10">
        <f t="shared" si="16"/>
        <v>-104841.59224000107</v>
      </c>
      <c r="F56" s="10">
        <f t="shared" si="16"/>
        <v>262287.75868147053</v>
      </c>
      <c r="G56" s="10">
        <f t="shared" si="16"/>
        <v>735987.06952377222</v>
      </c>
      <c r="H56" s="10">
        <f t="shared" si="16"/>
        <v>808107.04792151973</v>
      </c>
      <c r="I56" s="10">
        <f t="shared" si="16"/>
        <v>883875.91232770309</v>
      </c>
      <c r="J56" s="10">
        <f t="shared" si="16"/>
        <v>963478.26855200529</v>
      </c>
      <c r="K56" s="10">
        <f t="shared" si="16"/>
        <v>1114786.605736414</v>
      </c>
      <c r="L56" s="10">
        <f t="shared" si="16"/>
        <v>1202647.5924003161</v>
      </c>
    </row>
    <row r="57" spans="1:12" s="6" customFormat="1" ht="15" thickBot="1">
      <c r="A57" s="23" t="s">
        <v>32</v>
      </c>
      <c r="B57" s="25"/>
      <c r="C57" s="24">
        <f>C55-C56</f>
        <v>-2559000</v>
      </c>
      <c r="D57" s="24">
        <f t="shared" ref="D57:L57" si="17">D55-D56</f>
        <v>-1491436.2000000011</v>
      </c>
      <c r="E57" s="24">
        <f t="shared" si="17"/>
        <v>-314524.77672000322</v>
      </c>
      <c r="F57" s="24">
        <f t="shared" si="17"/>
        <v>786863.27604441158</v>
      </c>
      <c r="G57" s="24">
        <f t="shared" si="17"/>
        <v>2207961.2085713167</v>
      </c>
      <c r="H57" s="24">
        <f t="shared" si="17"/>
        <v>2424321.1437645592</v>
      </c>
      <c r="I57" s="24">
        <f t="shared" si="17"/>
        <v>2651627.7369831093</v>
      </c>
      <c r="J57" s="24">
        <f t="shared" si="17"/>
        <v>2890434.8056560159</v>
      </c>
      <c r="K57" s="24">
        <f t="shared" si="17"/>
        <v>3344359.8172092419</v>
      </c>
      <c r="L57" s="24">
        <f t="shared" si="17"/>
        <v>3607942.7772009484</v>
      </c>
    </row>
    <row r="58" spans="1:12">
      <c r="A58" s="8" t="s">
        <v>33</v>
      </c>
      <c r="B58" s="8"/>
      <c r="C58" s="10">
        <f t="shared" ref="C58:L58" si="18">C52</f>
        <v>2500000</v>
      </c>
      <c r="D58" s="10">
        <f t="shared" si="18"/>
        <v>2500000</v>
      </c>
      <c r="E58" s="10">
        <f t="shared" si="18"/>
        <v>2500000</v>
      </c>
      <c r="F58" s="10">
        <f t="shared" si="18"/>
        <v>2757575.25</v>
      </c>
      <c r="G58" s="10">
        <f t="shared" si="18"/>
        <v>2757575.25</v>
      </c>
      <c r="H58" s="10">
        <f t="shared" si="18"/>
        <v>2757575.25</v>
      </c>
      <c r="I58" s="10">
        <f t="shared" si="18"/>
        <v>2757575.25</v>
      </c>
      <c r="J58" s="10">
        <f t="shared" si="18"/>
        <v>2757575.25</v>
      </c>
      <c r="K58" s="10">
        <f t="shared" si="18"/>
        <v>2486861.0735929799</v>
      </c>
      <c r="L58" s="10">
        <f t="shared" si="18"/>
        <v>2486861.0735929799</v>
      </c>
    </row>
    <row r="59" spans="1:12">
      <c r="A59" s="8" t="s">
        <v>34</v>
      </c>
      <c r="B59" s="8"/>
      <c r="C59" s="10">
        <f t="shared" ref="C59:L59" si="19">(C53-C84)*(1-$B$6)</f>
        <v>787500</v>
      </c>
      <c r="D59" s="10">
        <f t="shared" si="19"/>
        <v>826875</v>
      </c>
      <c r="E59" s="10">
        <f t="shared" si="19"/>
        <v>868218.75000000023</v>
      </c>
      <c r="F59" s="10">
        <f t="shared" si="19"/>
        <v>911629.6875</v>
      </c>
      <c r="G59" s="10">
        <f t="shared" si="19"/>
        <v>957211.171875</v>
      </c>
      <c r="H59" s="10">
        <f t="shared" si="19"/>
        <v>1005071.73046875</v>
      </c>
      <c r="I59" s="10">
        <f t="shared" si="19"/>
        <v>1055325.3169921876</v>
      </c>
      <c r="J59" s="10">
        <f t="shared" si="19"/>
        <v>1108091.5828417968</v>
      </c>
      <c r="K59" s="10">
        <f t="shared" si="19"/>
        <v>1163496.1619838867</v>
      </c>
      <c r="L59" s="10">
        <f t="shared" si="19"/>
        <v>1221670.9700830816</v>
      </c>
    </row>
    <row r="60" spans="1:12">
      <c r="A60" s="8" t="s">
        <v>35</v>
      </c>
      <c r="B60" s="10">
        <f>B74+B75</f>
        <v>27000000</v>
      </c>
      <c r="C60" s="10"/>
      <c r="D60" s="10">
        <f t="shared" ref="D60:L60" si="20">D74</f>
        <v>0</v>
      </c>
      <c r="E60" s="10">
        <f t="shared" si="20"/>
        <v>0</v>
      </c>
      <c r="F60" s="10">
        <f t="shared" si="20"/>
        <v>0</v>
      </c>
      <c r="G60" s="10">
        <f t="shared" si="20"/>
        <v>0</v>
      </c>
      <c r="H60" s="10">
        <f t="shared" si="20"/>
        <v>0</v>
      </c>
      <c r="I60" s="10">
        <f t="shared" si="20"/>
        <v>0</v>
      </c>
      <c r="J60" s="10">
        <f t="shared" si="20"/>
        <v>0</v>
      </c>
      <c r="K60" s="10">
        <f t="shared" si="20"/>
        <v>0</v>
      </c>
      <c r="L60" s="10">
        <f t="shared" si="20"/>
        <v>0</v>
      </c>
    </row>
    <row r="61" spans="1:12">
      <c r="A61" s="8" t="s">
        <v>109</v>
      </c>
      <c r="B61" s="10"/>
      <c r="C61" s="10"/>
      <c r="D61" s="10"/>
      <c r="E61" s="10">
        <f>E96</f>
        <v>5151505</v>
      </c>
      <c r="F61" s="10"/>
      <c r="G61" s="10">
        <f>G96</f>
        <v>0</v>
      </c>
      <c r="H61" s="10">
        <f>H96</f>
        <v>0</v>
      </c>
      <c r="I61" s="10"/>
      <c r="J61" s="10">
        <f>-J96</f>
        <v>-5414283.5281404015</v>
      </c>
      <c r="K61" s="10">
        <f>-K96</f>
        <v>0</v>
      </c>
      <c r="L61" s="10">
        <f>-L96</f>
        <v>0</v>
      </c>
    </row>
    <row r="62" spans="1:12">
      <c r="A62" s="8" t="s">
        <v>36</v>
      </c>
      <c r="B62" s="11">
        <f>C71</f>
        <v>598000</v>
      </c>
      <c r="C62" s="10">
        <f>D71</f>
        <v>658278.39999999991</v>
      </c>
      <c r="D62" s="10">
        <f t="shared" ref="D62:K62" si="21">E71</f>
        <v>723113.8470400006</v>
      </c>
      <c r="E62" s="10">
        <f t="shared" si="21"/>
        <v>792812.5746810881</v>
      </c>
      <c r="F62" s="10">
        <f t="shared" si="21"/>
        <v>867700.10919870203</v>
      </c>
      <c r="G62" s="10">
        <f t="shared" si="21"/>
        <v>183451.20851835655</v>
      </c>
      <c r="H62" s="10">
        <f t="shared" si="21"/>
        <v>192697.14942768402</v>
      </c>
      <c r="I62" s="10">
        <f t="shared" si="21"/>
        <v>202409.08575883834</v>
      </c>
      <c r="J62" s="10">
        <f t="shared" si="21"/>
        <v>212610.50368108228</v>
      </c>
      <c r="K62" s="10">
        <f t="shared" si="21"/>
        <v>223326.07306661084</v>
      </c>
      <c r="L62" s="10">
        <f>-L70</f>
        <v>-4654398.9513723627</v>
      </c>
    </row>
    <row r="63" spans="1:12" ht="15" thickBot="1">
      <c r="A63" s="8" t="s">
        <v>37</v>
      </c>
      <c r="B63" s="8"/>
      <c r="C63" s="10"/>
      <c r="D63" s="10"/>
      <c r="E63" s="10"/>
      <c r="F63" s="10"/>
      <c r="G63" s="10"/>
      <c r="H63" s="10"/>
      <c r="I63" s="10"/>
      <c r="J63" s="10"/>
      <c r="K63" s="10"/>
      <c r="L63" s="10">
        <f>L79</f>
        <v>2000000</v>
      </c>
    </row>
    <row r="64" spans="1:12" s="6" customFormat="1" ht="15" thickBot="1">
      <c r="A64" s="23" t="s">
        <v>1</v>
      </c>
      <c r="B64" s="24">
        <f>B57+B58+B59-B60-B61-B62</f>
        <v>-27598000</v>
      </c>
      <c r="C64" s="24">
        <f t="shared" ref="C64:K64" si="22">C57+C58+C59-C60-C61-C62</f>
        <v>70221.600000000093</v>
      </c>
      <c r="D64" s="24">
        <f t="shared" si="22"/>
        <v>1112324.9529599983</v>
      </c>
      <c r="E64" s="24">
        <f t="shared" si="22"/>
        <v>-2890623.6014010916</v>
      </c>
      <c r="F64" s="24">
        <f t="shared" si="22"/>
        <v>3588368.1043457096</v>
      </c>
      <c r="G64" s="24">
        <f t="shared" si="22"/>
        <v>5739296.4219279606</v>
      </c>
      <c r="H64" s="24">
        <f t="shared" si="22"/>
        <v>5994270.9748056252</v>
      </c>
      <c r="I64" s="24">
        <f t="shared" si="22"/>
        <v>6262119.2182164583</v>
      </c>
      <c r="J64" s="24">
        <f t="shared" si="22"/>
        <v>11957774.662957132</v>
      </c>
      <c r="K64" s="24">
        <f t="shared" si="22"/>
        <v>6771390.9797194973</v>
      </c>
      <c r="L64" s="24">
        <f>L57+L58+L59-L60-L61-L62+L63</f>
        <v>13970873.772249373</v>
      </c>
    </row>
    <row r="66" spans="1:12">
      <c r="A66" s="4" t="s">
        <v>38</v>
      </c>
    </row>
    <row r="67" spans="1:12">
      <c r="A67" t="s">
        <v>39</v>
      </c>
      <c r="C67" s="73">
        <f>0.1*C49</f>
        <v>520000</v>
      </c>
      <c r="D67" s="74">
        <f t="shared" ref="D67:L67" si="23">0.1*D49</f>
        <v>1092416</v>
      </c>
      <c r="E67" s="74">
        <f t="shared" si="23"/>
        <v>1721210.6496000001</v>
      </c>
      <c r="F67" s="74">
        <f t="shared" si="23"/>
        <v>2410612.8884531208</v>
      </c>
      <c r="G67" s="74">
        <f t="shared" si="23"/>
        <v>3165134.7225389481</v>
      </c>
      <c r="H67" s="74">
        <f t="shared" si="23"/>
        <v>3324657.512554911</v>
      </c>
      <c r="I67" s="74">
        <f t="shared" si="23"/>
        <v>3492220.2511876784</v>
      </c>
      <c r="J67" s="74">
        <f t="shared" si="23"/>
        <v>3668228.1518475385</v>
      </c>
      <c r="K67" s="74">
        <f t="shared" si="23"/>
        <v>3853106.8507006541</v>
      </c>
      <c r="L67" s="74">
        <f t="shared" si="23"/>
        <v>4047303.4359759674</v>
      </c>
    </row>
    <row r="68" spans="1:12">
      <c r="A68" t="s">
        <v>40</v>
      </c>
      <c r="C68" s="73">
        <f>0.05*C48</f>
        <v>390000</v>
      </c>
      <c r="D68" s="74">
        <f t="shared" ref="D68:L68" si="24">0.05*D48</f>
        <v>819312</v>
      </c>
      <c r="E68" s="74">
        <f t="shared" si="24"/>
        <v>1290907.9872000001</v>
      </c>
      <c r="F68" s="74">
        <f t="shared" si="24"/>
        <v>1807959.6663398405</v>
      </c>
      <c r="G68" s="74">
        <f t="shared" si="24"/>
        <v>2373851.0419042106</v>
      </c>
      <c r="H68" s="74">
        <f t="shared" si="24"/>
        <v>2493493.134416183</v>
      </c>
      <c r="I68" s="74">
        <f t="shared" si="24"/>
        <v>2619165.1883907593</v>
      </c>
      <c r="J68" s="74">
        <f t="shared" si="24"/>
        <v>2751171.1138856541</v>
      </c>
      <c r="K68" s="74">
        <f t="shared" si="24"/>
        <v>2889830.1380254906</v>
      </c>
      <c r="L68" s="74">
        <f t="shared" si="24"/>
        <v>3035477.5769819757</v>
      </c>
    </row>
    <row r="69" spans="1:12">
      <c r="A69" t="s">
        <v>41</v>
      </c>
      <c r="C69" s="73">
        <f>0.06*C49</f>
        <v>312000</v>
      </c>
      <c r="D69" s="74">
        <f t="shared" ref="D69:L69" si="25">0.06*D49</f>
        <v>655449.59999999998</v>
      </c>
      <c r="E69" s="74">
        <f t="shared" si="25"/>
        <v>1032726.3897599999</v>
      </c>
      <c r="F69" s="74">
        <f t="shared" si="25"/>
        <v>1446367.7330718725</v>
      </c>
      <c r="G69" s="74">
        <f t="shared" si="25"/>
        <v>1899080.8335233685</v>
      </c>
      <c r="H69" s="74">
        <f t="shared" si="25"/>
        <v>1994794.5075329463</v>
      </c>
      <c r="I69" s="74">
        <f t="shared" si="25"/>
        <v>2095332.150712607</v>
      </c>
      <c r="J69" s="74">
        <f t="shared" si="25"/>
        <v>2200936.8911085231</v>
      </c>
      <c r="K69" s="74">
        <f t="shared" si="25"/>
        <v>2311864.1104203924</v>
      </c>
      <c r="L69" s="74">
        <f t="shared" si="25"/>
        <v>2428382.0615855805</v>
      </c>
    </row>
    <row r="70" spans="1:12" ht="15" thickBot="1">
      <c r="A70" t="s">
        <v>42</v>
      </c>
      <c r="C70" s="10">
        <f>C67+C68-C69</f>
        <v>598000</v>
      </c>
      <c r="D70" s="10">
        <f t="shared" ref="D70:L70" si="26">D67+D68-D69</f>
        <v>1256278.3999999999</v>
      </c>
      <c r="E70" s="10">
        <f t="shared" si="26"/>
        <v>1979392.2470400005</v>
      </c>
      <c r="F70" s="10">
        <f t="shared" si="26"/>
        <v>2772204.8217210886</v>
      </c>
      <c r="G70" s="10">
        <f t="shared" si="26"/>
        <v>3639904.9309197906</v>
      </c>
      <c r="H70" s="10">
        <f t="shared" si="26"/>
        <v>3823356.1394381472</v>
      </c>
      <c r="I70" s="10">
        <f t="shared" si="26"/>
        <v>4016053.2888658312</v>
      </c>
      <c r="J70" s="10">
        <f t="shared" si="26"/>
        <v>4218462.3746246696</v>
      </c>
      <c r="K70" s="10">
        <f t="shared" si="26"/>
        <v>4431072.8783057518</v>
      </c>
      <c r="L70" s="10">
        <f t="shared" si="26"/>
        <v>4654398.9513723627</v>
      </c>
    </row>
    <row r="71" spans="1:12" s="6" customFormat="1" ht="15" thickBot="1">
      <c r="A71" s="5" t="s">
        <v>43</v>
      </c>
      <c r="C71" s="28">
        <f>C70-B70</f>
        <v>598000</v>
      </c>
      <c r="D71" s="28">
        <f t="shared" ref="D71:L71" si="27">D70-C70</f>
        <v>658278.39999999991</v>
      </c>
      <c r="E71" s="28">
        <f t="shared" si="27"/>
        <v>723113.8470400006</v>
      </c>
      <c r="F71" s="28">
        <f t="shared" si="27"/>
        <v>792812.5746810881</v>
      </c>
      <c r="G71" s="28">
        <f t="shared" si="27"/>
        <v>867700.10919870203</v>
      </c>
      <c r="H71" s="28">
        <f t="shared" si="27"/>
        <v>183451.20851835655</v>
      </c>
      <c r="I71" s="28">
        <f t="shared" si="27"/>
        <v>192697.14942768402</v>
      </c>
      <c r="J71" s="28">
        <f t="shared" si="27"/>
        <v>202409.08575883834</v>
      </c>
      <c r="K71" s="28">
        <f t="shared" si="27"/>
        <v>212610.50368108228</v>
      </c>
      <c r="L71" s="28">
        <f t="shared" si="27"/>
        <v>223326.07306661084</v>
      </c>
    </row>
    <row r="73" spans="1:12">
      <c r="A73" s="4" t="s">
        <v>44</v>
      </c>
    </row>
    <row r="74" spans="1:12">
      <c r="A74" t="s">
        <v>98</v>
      </c>
      <c r="B74" s="10">
        <v>22000000</v>
      </c>
      <c r="C74" s="10">
        <v>0</v>
      </c>
      <c r="D74" s="10">
        <v>0</v>
      </c>
      <c r="E74" s="10"/>
      <c r="F74" s="10"/>
      <c r="G74" s="10"/>
      <c r="H74" s="10"/>
      <c r="I74" s="10"/>
      <c r="J74" s="10"/>
      <c r="K74" s="10"/>
      <c r="L74" s="10"/>
    </row>
    <row r="75" spans="1:12">
      <c r="A75" t="s">
        <v>97</v>
      </c>
      <c r="B75" s="10">
        <v>5000000</v>
      </c>
      <c r="C75" s="10"/>
      <c r="D75" s="10"/>
      <c r="E75" s="10"/>
      <c r="F75" s="10"/>
      <c r="G75" s="10"/>
      <c r="H75" s="10"/>
      <c r="I75" s="10"/>
      <c r="J75" s="10"/>
      <c r="K75" s="10"/>
      <c r="L75" s="10"/>
    </row>
    <row r="76" spans="1:12">
      <c r="A76" t="s">
        <v>45</v>
      </c>
      <c r="B76" s="10"/>
      <c r="C76" s="10">
        <f>B74+B75</f>
        <v>27000000</v>
      </c>
      <c r="D76" s="10">
        <f>C76-C78</f>
        <v>24500000</v>
      </c>
      <c r="E76" s="10">
        <f>D76-D78</f>
        <v>22000000</v>
      </c>
      <c r="F76" s="10">
        <f t="shared" ref="F76:L76" si="28">E79</f>
        <v>19500000</v>
      </c>
      <c r="G76" s="10">
        <f t="shared" si="28"/>
        <v>17000000</v>
      </c>
      <c r="H76" s="10">
        <f t="shared" si="28"/>
        <v>14500000</v>
      </c>
      <c r="I76" s="10">
        <f t="shared" si="28"/>
        <v>12000000</v>
      </c>
      <c r="J76" s="10">
        <f t="shared" si="28"/>
        <v>9500000</v>
      </c>
      <c r="K76" s="10">
        <f t="shared" si="28"/>
        <v>7000000</v>
      </c>
      <c r="L76" s="10">
        <f t="shared" si="28"/>
        <v>4500000</v>
      </c>
    </row>
    <row r="77" spans="1:12">
      <c r="A77" t="s">
        <v>46</v>
      </c>
      <c r="B77" s="10"/>
      <c r="C77" s="10">
        <f>C76-2000000</f>
        <v>25000000</v>
      </c>
      <c r="D77" s="10">
        <f t="shared" ref="D77:L77" si="29">C77-C78</f>
        <v>22500000</v>
      </c>
      <c r="E77" s="10">
        <f t="shared" si="29"/>
        <v>20000000</v>
      </c>
      <c r="F77" s="10">
        <f t="shared" si="29"/>
        <v>17500000</v>
      </c>
      <c r="G77" s="10">
        <f t="shared" si="29"/>
        <v>15000000</v>
      </c>
      <c r="H77" s="10">
        <f t="shared" si="29"/>
        <v>12500000</v>
      </c>
      <c r="I77" s="10">
        <f t="shared" si="29"/>
        <v>10000000</v>
      </c>
      <c r="J77" s="10">
        <f t="shared" si="29"/>
        <v>7500000</v>
      </c>
      <c r="K77" s="10">
        <f t="shared" si="29"/>
        <v>5000000</v>
      </c>
      <c r="L77" s="10">
        <f t="shared" si="29"/>
        <v>2500000</v>
      </c>
    </row>
    <row r="78" spans="1:12" ht="15" thickBot="1">
      <c r="A78" t="s">
        <v>51</v>
      </c>
      <c r="B78" s="10"/>
      <c r="C78" s="10">
        <f>C77/10</f>
        <v>2500000</v>
      </c>
      <c r="D78" s="10">
        <f>C78</f>
        <v>2500000</v>
      </c>
      <c r="E78" s="10">
        <f t="shared" ref="E78:L78" si="30">D78</f>
        <v>2500000</v>
      </c>
      <c r="F78" s="10">
        <f t="shared" si="30"/>
        <v>2500000</v>
      </c>
      <c r="G78" s="10">
        <f t="shared" si="30"/>
        <v>2500000</v>
      </c>
      <c r="H78" s="10">
        <f t="shared" si="30"/>
        <v>2500000</v>
      </c>
      <c r="I78" s="10">
        <f t="shared" si="30"/>
        <v>2500000</v>
      </c>
      <c r="J78" s="10">
        <f t="shared" si="30"/>
        <v>2500000</v>
      </c>
      <c r="K78" s="10">
        <f t="shared" si="30"/>
        <v>2500000</v>
      </c>
      <c r="L78" s="10">
        <f t="shared" si="30"/>
        <v>2500000</v>
      </c>
    </row>
    <row r="79" spans="1:12" s="6" customFormat="1" ht="15" thickBot="1">
      <c r="A79" s="5" t="s">
        <v>52</v>
      </c>
      <c r="B79" s="24">
        <f>B74+B75</f>
        <v>27000000</v>
      </c>
      <c r="C79" s="24">
        <f>C76-C78</f>
        <v>24500000</v>
      </c>
      <c r="D79" s="24">
        <f t="shared" ref="D79:L79" si="31">D76-D78</f>
        <v>22000000</v>
      </c>
      <c r="E79" s="24">
        <f t="shared" si="31"/>
        <v>19500000</v>
      </c>
      <c r="F79" s="24">
        <f t="shared" si="31"/>
        <v>17000000</v>
      </c>
      <c r="G79" s="24">
        <f t="shared" si="31"/>
        <v>14500000</v>
      </c>
      <c r="H79" s="24">
        <f t="shared" si="31"/>
        <v>12000000</v>
      </c>
      <c r="I79" s="24">
        <f t="shared" si="31"/>
        <v>9500000</v>
      </c>
      <c r="J79" s="24">
        <f t="shared" si="31"/>
        <v>7000000</v>
      </c>
      <c r="K79" s="24">
        <f t="shared" si="31"/>
        <v>4500000</v>
      </c>
      <c r="L79" s="24">
        <f t="shared" si="31"/>
        <v>2000000</v>
      </c>
    </row>
    <row r="81" spans="1:12">
      <c r="A81" s="4" t="s">
        <v>53</v>
      </c>
    </row>
    <row r="82" spans="1:12">
      <c r="A82" t="s">
        <v>149</v>
      </c>
      <c r="B82" s="10">
        <f>F5</f>
        <v>10000000</v>
      </c>
      <c r="C82" s="10">
        <f>B82*(1+$G$5)</f>
        <v>10500000</v>
      </c>
      <c r="D82" s="10">
        <f t="shared" ref="D82:L82" si="32">C82*(1+$G$5)</f>
        <v>11025000</v>
      </c>
      <c r="E82" s="10">
        <f t="shared" si="32"/>
        <v>11576250</v>
      </c>
      <c r="F82" s="10">
        <f t="shared" si="32"/>
        <v>12155062.5</v>
      </c>
      <c r="G82" s="10">
        <f t="shared" si="32"/>
        <v>12762815.625</v>
      </c>
      <c r="H82" s="10">
        <f t="shared" si="32"/>
        <v>13400956.40625</v>
      </c>
      <c r="I82" s="10">
        <f t="shared" si="32"/>
        <v>14071004.2265625</v>
      </c>
      <c r="J82" s="10">
        <f t="shared" si="32"/>
        <v>14774554.437890626</v>
      </c>
      <c r="K82" s="10">
        <f t="shared" si="32"/>
        <v>15513282.159785159</v>
      </c>
      <c r="L82" s="10">
        <f t="shared" si="32"/>
        <v>16288946.267774418</v>
      </c>
    </row>
    <row r="83" spans="1:12" ht="15" thickBot="1">
      <c r="A83" t="s">
        <v>125</v>
      </c>
      <c r="B83" s="10"/>
      <c r="C83" s="10">
        <f>C82*$H$5</f>
        <v>1050000</v>
      </c>
      <c r="D83" s="10">
        <f t="shared" ref="D83:L83" si="33">D82*$H$5</f>
        <v>1102500</v>
      </c>
      <c r="E83" s="10">
        <f t="shared" si="33"/>
        <v>1157625</v>
      </c>
      <c r="F83" s="10">
        <f t="shared" si="33"/>
        <v>1215506.25</v>
      </c>
      <c r="G83" s="10">
        <f t="shared" si="33"/>
        <v>1276281.5625</v>
      </c>
      <c r="H83" s="10">
        <f t="shared" si="33"/>
        <v>1340095.640625</v>
      </c>
      <c r="I83" s="10">
        <f t="shared" si="33"/>
        <v>1407100.4226562502</v>
      </c>
      <c r="J83" s="10">
        <f t="shared" si="33"/>
        <v>1477455.4437890628</v>
      </c>
      <c r="K83" s="10">
        <f t="shared" si="33"/>
        <v>1551328.215978516</v>
      </c>
      <c r="L83" s="10">
        <f t="shared" si="33"/>
        <v>1628894.6267774419</v>
      </c>
    </row>
    <row r="84" spans="1:12" s="6" customFormat="1" ht="15" thickBot="1">
      <c r="A84" s="5" t="s">
        <v>126</v>
      </c>
      <c r="B84" s="24"/>
      <c r="C84" s="24">
        <f>500000</f>
        <v>500000</v>
      </c>
      <c r="D84" s="24">
        <f>C84*(D48/C48)</f>
        <v>1050400</v>
      </c>
      <c r="E84" s="24">
        <f>D84*(E48/D48)</f>
        <v>1655010.24</v>
      </c>
      <c r="F84" s="24">
        <f>E84*(F48/E48)</f>
        <v>2317897.0081280004</v>
      </c>
      <c r="G84" s="24">
        <f t="shared" ref="G84:L84" si="34">F84*(G48/F48)</f>
        <v>3043398.7716720644</v>
      </c>
      <c r="H84" s="24">
        <f t="shared" si="34"/>
        <v>3196786.0697643366</v>
      </c>
      <c r="I84" s="24">
        <f t="shared" si="34"/>
        <v>3357904.08768046</v>
      </c>
      <c r="J84" s="24">
        <f t="shared" si="34"/>
        <v>3527142.4536995557</v>
      </c>
      <c r="K84" s="24">
        <f t="shared" si="34"/>
        <v>3704910.4333660132</v>
      </c>
      <c r="L84" s="24">
        <f t="shared" si="34"/>
        <v>3891637.9192076605</v>
      </c>
    </row>
    <row r="86" spans="1:12">
      <c r="A86" s="4" t="s">
        <v>54</v>
      </c>
    </row>
    <row r="87" spans="1:12">
      <c r="A87" t="s">
        <v>55</v>
      </c>
      <c r="B87" s="10">
        <f>F6</f>
        <v>8000000</v>
      </c>
      <c r="C87" s="10">
        <f t="shared" ref="C87:L87" si="35">B87*1.05</f>
        <v>8400000</v>
      </c>
      <c r="D87" s="10">
        <f t="shared" si="35"/>
        <v>8820000</v>
      </c>
      <c r="E87" s="10">
        <f t="shared" si="35"/>
        <v>9261000</v>
      </c>
      <c r="F87" s="10">
        <f t="shared" si="35"/>
        <v>9724050</v>
      </c>
      <c r="G87" s="10">
        <f t="shared" si="35"/>
        <v>10210252.5</v>
      </c>
      <c r="H87" s="10">
        <f t="shared" si="35"/>
        <v>10720765.125</v>
      </c>
      <c r="I87" s="10">
        <f t="shared" si="35"/>
        <v>11256803.38125</v>
      </c>
      <c r="J87" s="10">
        <f t="shared" si="35"/>
        <v>11819643.5503125</v>
      </c>
      <c r="K87" s="10">
        <f t="shared" si="35"/>
        <v>12410625.727828126</v>
      </c>
      <c r="L87" s="10">
        <f t="shared" si="35"/>
        <v>13031157.014219534</v>
      </c>
    </row>
    <row r="88" spans="1:12" ht="15" thickBot="1">
      <c r="A88" t="s">
        <v>56</v>
      </c>
      <c r="B88" s="10">
        <f>B87</f>
        <v>8000000</v>
      </c>
      <c r="C88" s="10">
        <f>C87*1.15</f>
        <v>9660000</v>
      </c>
      <c r="D88" s="10">
        <f t="shared" ref="D88:L88" si="36">D87*1.15</f>
        <v>10143000</v>
      </c>
      <c r="E88" s="10">
        <f t="shared" si="36"/>
        <v>10650150</v>
      </c>
      <c r="F88" s="10">
        <f t="shared" si="36"/>
        <v>11182657.5</v>
      </c>
      <c r="G88" s="10">
        <f t="shared" si="36"/>
        <v>11741790.375</v>
      </c>
      <c r="H88" s="10">
        <f t="shared" si="36"/>
        <v>12328879.893749999</v>
      </c>
      <c r="I88" s="10">
        <f t="shared" si="36"/>
        <v>12945323.888437498</v>
      </c>
      <c r="J88" s="10">
        <f t="shared" si="36"/>
        <v>13592590.082859375</v>
      </c>
      <c r="K88" s="10">
        <f t="shared" si="36"/>
        <v>14272219.587002344</v>
      </c>
      <c r="L88" s="10">
        <f t="shared" si="36"/>
        <v>14985830.566352462</v>
      </c>
    </row>
    <row r="89" spans="1:12" s="6" customFormat="1" ht="15" thickBot="1">
      <c r="A89" s="5" t="s">
        <v>107</v>
      </c>
      <c r="B89" s="24"/>
      <c r="C89" s="24">
        <f>C88-C87</f>
        <v>1260000</v>
      </c>
      <c r="D89" s="24">
        <f t="shared" ref="D89:L89" si="37">D88-D87</f>
        <v>1323000</v>
      </c>
      <c r="E89" s="24">
        <f t="shared" si="37"/>
        <v>1389150</v>
      </c>
      <c r="F89" s="24">
        <f t="shared" si="37"/>
        <v>1458607.5</v>
      </c>
      <c r="G89" s="24">
        <f t="shared" si="37"/>
        <v>1531537.875</v>
      </c>
      <c r="H89" s="24">
        <f t="shared" si="37"/>
        <v>1608114.7687499989</v>
      </c>
      <c r="I89" s="24">
        <f t="shared" si="37"/>
        <v>1688520.5071874987</v>
      </c>
      <c r="J89" s="24">
        <f t="shared" si="37"/>
        <v>1772946.5325468741</v>
      </c>
      <c r="K89" s="24">
        <f t="shared" si="37"/>
        <v>1861593.859174218</v>
      </c>
      <c r="L89" s="24">
        <f t="shared" si="37"/>
        <v>1954673.5521329287</v>
      </c>
    </row>
    <row r="91" spans="1:12">
      <c r="A91" s="4" t="s">
        <v>57</v>
      </c>
    </row>
    <row r="92" spans="1:12">
      <c r="A92" t="s">
        <v>204</v>
      </c>
      <c r="B92" s="13">
        <v>0.4</v>
      </c>
      <c r="C92" s="13">
        <f>B92*(1+$G$12)</f>
        <v>0.44800000000000006</v>
      </c>
      <c r="D92" s="13">
        <f t="shared" ref="D92:L92" si="38">C92*(1+$G$12)</f>
        <v>0.50176000000000009</v>
      </c>
      <c r="E92" s="13">
        <f t="shared" si="38"/>
        <v>0.56197120000000012</v>
      </c>
      <c r="F92" s="13">
        <f t="shared" si="38"/>
        <v>0.62940774400000021</v>
      </c>
      <c r="G92" s="13">
        <f t="shared" si="38"/>
        <v>0.70493667328000031</v>
      </c>
      <c r="H92" s="13">
        <f t="shared" si="38"/>
        <v>0.7895290740736004</v>
      </c>
      <c r="I92" s="13">
        <f t="shared" si="38"/>
        <v>0.88427256296243251</v>
      </c>
      <c r="J92" s="13">
        <f t="shared" si="38"/>
        <v>0.99038527051792447</v>
      </c>
      <c r="K92" s="13">
        <f t="shared" si="38"/>
        <v>1.1092315029800754</v>
      </c>
      <c r="L92" s="13">
        <f t="shared" si="38"/>
        <v>1.2423392833376845</v>
      </c>
    </row>
    <row r="93" spans="1:12">
      <c r="A93" t="s">
        <v>259</v>
      </c>
      <c r="B93" s="13"/>
      <c r="C93" s="13">
        <f>(C40/10)/$G$10</f>
        <v>0.10400000000000001</v>
      </c>
      <c r="D93" s="13">
        <f t="shared" ref="D93:L93" si="39">(D40/10)/$G$10</f>
        <v>0.21631999999999998</v>
      </c>
      <c r="E93" s="13">
        <f t="shared" si="39"/>
        <v>0.33745919999999996</v>
      </c>
      <c r="F93" s="13">
        <f t="shared" si="39"/>
        <v>0.46794342400000011</v>
      </c>
      <c r="G93" s="13">
        <f t="shared" si="39"/>
        <v>0.60832645120000017</v>
      </c>
      <c r="H93" s="13">
        <f t="shared" si="39"/>
        <v>0.63265950924800018</v>
      </c>
      <c r="I93" s="13">
        <f t="shared" si="39"/>
        <v>0.65796588961792024</v>
      </c>
      <c r="J93" s="13">
        <f t="shared" si="39"/>
        <v>0.68428452520263716</v>
      </c>
      <c r="K93" s="13">
        <f t="shared" si="39"/>
        <v>0.71165590621074259</v>
      </c>
      <c r="L93" s="13">
        <f t="shared" si="39"/>
        <v>0.74012214245917241</v>
      </c>
    </row>
    <row r="94" spans="1:12">
      <c r="A94" t="s">
        <v>113</v>
      </c>
      <c r="B94" s="75">
        <f>B92+B93</f>
        <v>0.4</v>
      </c>
      <c r="C94" s="18">
        <f>C92+C93</f>
        <v>0.55200000000000005</v>
      </c>
      <c r="D94" s="18">
        <f t="shared" ref="D94:L94" si="40">D92+D93</f>
        <v>0.71808000000000005</v>
      </c>
      <c r="E94" s="18">
        <f t="shared" si="40"/>
        <v>0.89943040000000007</v>
      </c>
      <c r="F94" s="18">
        <f t="shared" si="40"/>
        <v>1.0973511680000003</v>
      </c>
      <c r="G94" s="18">
        <f t="shared" si="40"/>
        <v>1.3132631244800006</v>
      </c>
      <c r="H94" s="18">
        <f t="shared" si="40"/>
        <v>1.4221885833216006</v>
      </c>
      <c r="I94" s="18">
        <f t="shared" si="40"/>
        <v>1.5422384525803527</v>
      </c>
      <c r="J94" s="18">
        <f t="shared" si="40"/>
        <v>1.6746697957205616</v>
      </c>
      <c r="K94" s="18">
        <f t="shared" si="40"/>
        <v>1.820887409190818</v>
      </c>
      <c r="L94" s="18">
        <f t="shared" si="40"/>
        <v>1.9824614257968569</v>
      </c>
    </row>
    <row r="95" spans="1:12" ht="15" thickBot="1">
      <c r="B95" s="75"/>
      <c r="C95" s="86"/>
      <c r="D95" s="86"/>
      <c r="E95" s="86"/>
      <c r="F95" s="86"/>
      <c r="G95" s="86"/>
      <c r="H95" s="86"/>
      <c r="I95" s="86"/>
      <c r="J95" s="86"/>
      <c r="K95" s="94"/>
      <c r="L95" s="86"/>
    </row>
    <row r="96" spans="1:12" s="6" customFormat="1" ht="15" thickBot="1">
      <c r="A96" s="5" t="s">
        <v>58</v>
      </c>
      <c r="B96" s="25"/>
      <c r="C96" s="25"/>
      <c r="D96" s="25"/>
      <c r="E96" s="78">
        <f>G13*(1+B7)^E37</f>
        <v>5151505</v>
      </c>
      <c r="F96" s="25"/>
      <c r="G96" s="78"/>
      <c r="H96" s="24"/>
      <c r="I96" s="25"/>
      <c r="J96" s="135">
        <f>G13*(1+B7)^J37</f>
        <v>5414283.5281404015</v>
      </c>
      <c r="K96" s="78"/>
      <c r="L96" s="25"/>
    </row>
    <row r="97" spans="1:12" s="4" customFormat="1">
      <c r="A97" s="4" t="s">
        <v>112</v>
      </c>
      <c r="I97" s="29"/>
      <c r="J97" s="29"/>
      <c r="K97" s="29"/>
      <c r="L97" s="29"/>
    </row>
    <row r="98" spans="1:12">
      <c r="A98" t="s">
        <v>116</v>
      </c>
      <c r="E98" s="76"/>
      <c r="F98" s="76">
        <f>E96/20</f>
        <v>257575.25</v>
      </c>
      <c r="G98" s="76">
        <f>F98</f>
        <v>257575.25</v>
      </c>
      <c r="H98" s="76">
        <f>G98</f>
        <v>257575.25</v>
      </c>
      <c r="I98" s="76">
        <f>H98</f>
        <v>257575.25</v>
      </c>
      <c r="J98" s="76">
        <f>E96/20</f>
        <v>257575.25</v>
      </c>
      <c r="K98" s="76">
        <f>E96/20-J96/20</f>
        <v>-13138.926407020073</v>
      </c>
      <c r="L98" s="76">
        <f>K98</f>
        <v>-13138.926407020073</v>
      </c>
    </row>
    <row r="99" spans="1:12">
      <c r="A99" t="s">
        <v>59</v>
      </c>
      <c r="E99" s="36"/>
      <c r="F99" s="36">
        <f>E96-F98</f>
        <v>4893929.75</v>
      </c>
      <c r="G99" s="36">
        <f t="shared" ref="G99:L99" si="41">F99-G98</f>
        <v>4636354.5</v>
      </c>
      <c r="H99" s="36">
        <f t="shared" si="41"/>
        <v>4378779.25</v>
      </c>
      <c r="I99" s="36">
        <f t="shared" si="41"/>
        <v>4121204</v>
      </c>
      <c r="J99" s="36">
        <f t="shared" si="41"/>
        <v>3863628.75</v>
      </c>
      <c r="K99" s="36">
        <f t="shared" si="41"/>
        <v>3876767.6764070201</v>
      </c>
      <c r="L99" s="36">
        <f t="shared" si="41"/>
        <v>3889906.6028140401</v>
      </c>
    </row>
    <row r="100" spans="1:12" s="4" customFormat="1">
      <c r="A100" s="4" t="s">
        <v>60</v>
      </c>
      <c r="I100" s="26"/>
      <c r="J100" s="27"/>
      <c r="K100" s="27"/>
      <c r="L100" s="27"/>
    </row>
    <row r="101" spans="1:12">
      <c r="A101" t="s">
        <v>61</v>
      </c>
      <c r="B101" s="8"/>
      <c r="C101" s="11">
        <f t="shared" ref="C101:L101" si="42">C57</f>
        <v>-2559000</v>
      </c>
      <c r="D101" s="11">
        <f t="shared" si="42"/>
        <v>-1491436.2000000011</v>
      </c>
      <c r="E101" s="11">
        <f t="shared" si="42"/>
        <v>-314524.77672000322</v>
      </c>
      <c r="F101" s="11">
        <f t="shared" si="42"/>
        <v>786863.27604441158</v>
      </c>
      <c r="G101" s="11">
        <f t="shared" si="42"/>
        <v>2207961.2085713167</v>
      </c>
      <c r="H101" s="11">
        <f t="shared" si="42"/>
        <v>2424321.1437645592</v>
      </c>
      <c r="I101" s="11">
        <f t="shared" si="42"/>
        <v>2651627.7369831093</v>
      </c>
      <c r="J101" s="11">
        <f t="shared" si="42"/>
        <v>2890434.8056560159</v>
      </c>
      <c r="K101" s="11">
        <f t="shared" si="42"/>
        <v>3344359.8172092419</v>
      </c>
      <c r="L101" s="11">
        <f t="shared" si="42"/>
        <v>3607942.7772009484</v>
      </c>
    </row>
    <row r="102" spans="1:12" ht="15" thickBot="1">
      <c r="A102" t="s">
        <v>62</v>
      </c>
      <c r="B102" s="8"/>
      <c r="C102" s="32">
        <f>(C76+C79)/2+0.2*C99+(C70+D70)/2</f>
        <v>26677139.199999999</v>
      </c>
      <c r="D102" s="32">
        <f t="shared" ref="D102:K102" si="43">(D76+D79)/2+0.2*D99+(D70+E70)/2</f>
        <v>24867835.323520001</v>
      </c>
      <c r="E102" s="32">
        <f t="shared" si="43"/>
        <v>23125798.534380544</v>
      </c>
      <c r="F102" s="32">
        <f t="shared" si="43"/>
        <v>22434840.82632044</v>
      </c>
      <c r="G102" s="32">
        <f t="shared" si="43"/>
        <v>20408901.435178969</v>
      </c>
      <c r="H102" s="32">
        <f t="shared" si="43"/>
        <v>18045460.564151987</v>
      </c>
      <c r="I102" s="32">
        <f t="shared" si="43"/>
        <v>15691498.631745251</v>
      </c>
      <c r="J102" s="32">
        <f t="shared" si="43"/>
        <v>13347493.376465211</v>
      </c>
      <c r="K102" s="32">
        <f t="shared" si="43"/>
        <v>11068089.45012046</v>
      </c>
      <c r="L102" s="32">
        <f>(L76+L79)/2+(L70+0)/2</f>
        <v>5577199.4756861813</v>
      </c>
    </row>
    <row r="103" spans="1:12" s="6" customFormat="1" ht="15" thickBot="1">
      <c r="A103" s="5" t="s">
        <v>63</v>
      </c>
      <c r="B103" s="8"/>
      <c r="C103" s="13">
        <f>C101/C102</f>
        <v>-9.5924828401390203E-2</v>
      </c>
      <c r="D103" s="13">
        <f>D101/D102</f>
        <v>-5.997450846030819E-2</v>
      </c>
      <c r="E103" s="13">
        <f>E101/E102</f>
        <v>-1.3600601780405858E-2</v>
      </c>
      <c r="F103" s="13">
        <f t="shared" ref="F103:L103" si="44">F101/F102</f>
        <v>3.5073272065352372E-2</v>
      </c>
      <c r="G103" s="13">
        <f t="shared" si="44"/>
        <v>0.10818618609061624</v>
      </c>
      <c r="H103" s="13">
        <f t="shared" si="44"/>
        <v>0.13434520749116086</v>
      </c>
      <c r="I103" s="13">
        <f t="shared" si="44"/>
        <v>0.16898498984785548</v>
      </c>
      <c r="J103" s="13">
        <f t="shared" si="44"/>
        <v>0.21655263082973589</v>
      </c>
      <c r="K103" s="13">
        <f t="shared" si="44"/>
        <v>0.30216234087020716</v>
      </c>
      <c r="L103" s="13">
        <f t="shared" si="44"/>
        <v>0.64690940191933</v>
      </c>
    </row>
    <row r="104" spans="1:12" ht="15" thickBot="1">
      <c r="A104" t="s">
        <v>74</v>
      </c>
      <c r="I104" s="2"/>
      <c r="J104" s="1"/>
      <c r="K104" s="1"/>
      <c r="L104" s="1"/>
    </row>
    <row r="105" spans="1:12" ht="15" thickBot="1">
      <c r="A105" t="s">
        <v>75</v>
      </c>
      <c r="B105" s="12">
        <f>AVERAGE(C103:L103)</f>
        <v>0.14427140904721539</v>
      </c>
      <c r="I105" s="2"/>
      <c r="J105" s="1"/>
      <c r="K105" s="1"/>
      <c r="L105" s="1"/>
    </row>
    <row r="106" spans="1:12">
      <c r="I106" s="2"/>
      <c r="J106" s="1"/>
      <c r="K106" s="1"/>
      <c r="L106" s="1"/>
    </row>
    <row r="107" spans="1:12" s="4" customFormat="1">
      <c r="A107" s="4" t="s">
        <v>76</v>
      </c>
      <c r="I107" s="26"/>
      <c r="J107" s="27"/>
      <c r="K107" s="27"/>
      <c r="L107" s="27"/>
    </row>
    <row r="108" spans="1:12">
      <c r="A108" t="s">
        <v>23</v>
      </c>
      <c r="B108" s="13">
        <f>B32</f>
        <v>7.8418970706838703E-2</v>
      </c>
    </row>
    <row r="109" spans="1:12">
      <c r="B109" s="15"/>
    </row>
    <row r="110" spans="1:12">
      <c r="A110" s="4" t="s">
        <v>206</v>
      </c>
      <c r="B110" s="15"/>
    </row>
    <row r="111" spans="1:12">
      <c r="A111" s="8" t="s">
        <v>136</v>
      </c>
      <c r="B111" s="100"/>
      <c r="C111" s="89">
        <f>G17</f>
        <v>500000</v>
      </c>
      <c r="D111" s="89">
        <f>C111*(1+$B$7)</f>
        <v>505000</v>
      </c>
      <c r="E111" s="89">
        <f t="shared" ref="E111:L111" si="45">D111*(1+$B$7)</f>
        <v>510050</v>
      </c>
      <c r="F111" s="89">
        <f t="shared" si="45"/>
        <v>515150.5</v>
      </c>
      <c r="G111" s="89">
        <f t="shared" si="45"/>
        <v>520302.005</v>
      </c>
      <c r="H111" s="89">
        <f t="shared" si="45"/>
        <v>525505.02505000005</v>
      </c>
      <c r="I111" s="89">
        <f t="shared" si="45"/>
        <v>530760.07530050003</v>
      </c>
      <c r="J111" s="89">
        <f t="shared" si="45"/>
        <v>536067.67605350504</v>
      </c>
      <c r="K111" s="89">
        <f t="shared" si="45"/>
        <v>541428.35281404015</v>
      </c>
      <c r="L111" s="89">
        <f t="shared" si="45"/>
        <v>546842.63634218054</v>
      </c>
    </row>
    <row r="112" spans="1:12">
      <c r="A112" s="8" t="s">
        <v>143</v>
      </c>
      <c r="B112" s="100"/>
      <c r="C112" s="89">
        <f>C111*$G$18</f>
        <v>200000</v>
      </c>
      <c r="D112" s="89">
        <f t="shared" ref="D112:L112" si="46">D111*$G$18</f>
        <v>202000</v>
      </c>
      <c r="E112" s="89">
        <f t="shared" si="46"/>
        <v>204020</v>
      </c>
      <c r="F112" s="89">
        <f t="shared" si="46"/>
        <v>206060.2</v>
      </c>
      <c r="G112" s="89">
        <f t="shared" si="46"/>
        <v>208120.80200000003</v>
      </c>
      <c r="H112" s="89">
        <f t="shared" si="46"/>
        <v>210202.01002000005</v>
      </c>
      <c r="I112" s="89">
        <f t="shared" si="46"/>
        <v>212304.03012020001</v>
      </c>
      <c r="J112" s="89">
        <f t="shared" si="46"/>
        <v>214427.07042140202</v>
      </c>
      <c r="K112" s="89">
        <f t="shared" si="46"/>
        <v>216571.34112561608</v>
      </c>
      <c r="L112" s="89">
        <f t="shared" si="46"/>
        <v>218737.05453687222</v>
      </c>
    </row>
    <row r="113" spans="1:12">
      <c r="A113" s="8" t="s">
        <v>139</v>
      </c>
      <c r="B113" s="100"/>
      <c r="C113" s="89">
        <f>C112/(1+$B$36)^C37</f>
        <v>180877.43512628437</v>
      </c>
      <c r="D113" s="89">
        <f t="shared" ref="D113:L113" si="47">D112/(1+$B$36)^D37</f>
        <v>165219.06501620921</v>
      </c>
      <c r="E113" s="89">
        <f t="shared" si="47"/>
        <v>150916.22360617848</v>
      </c>
      <c r="F113" s="89">
        <f t="shared" si="47"/>
        <v>137851.56419639336</v>
      </c>
      <c r="G113" s="89">
        <f t="shared" si="47"/>
        <v>125917.89866794935</v>
      </c>
      <c r="H113" s="89">
        <f t="shared" si="47"/>
        <v>115017.31806512779</v>
      </c>
      <c r="I113" s="89">
        <f t="shared" si="47"/>
        <v>105060.38930795804</v>
      </c>
      <c r="J113" s="89">
        <f t="shared" si="47"/>
        <v>95965.421444531428</v>
      </c>
      <c r="K113" s="89">
        <f t="shared" si="47"/>
        <v>87657.795423083866</v>
      </c>
      <c r="L113" s="89">
        <f t="shared" si="47"/>
        <v>80069.351885007374</v>
      </c>
    </row>
    <row r="114" spans="1:12">
      <c r="A114" s="8" t="s">
        <v>207</v>
      </c>
      <c r="B114" s="100">
        <f>SUM(C113:L113)</f>
        <v>1244552.4627387235</v>
      </c>
      <c r="C114" s="89"/>
      <c r="D114" s="89"/>
      <c r="E114" s="89"/>
      <c r="F114" s="89"/>
      <c r="G114" s="89"/>
      <c r="H114" s="89"/>
      <c r="I114" s="89"/>
      <c r="J114" s="89"/>
      <c r="K114" s="89"/>
      <c r="L114" s="89"/>
    </row>
    <row r="115" spans="1:12" s="19" customFormat="1">
      <c r="B115" s="15"/>
    </row>
    <row r="116" spans="1:12" s="19" customFormat="1">
      <c r="A116" s="90" t="s">
        <v>24</v>
      </c>
      <c r="B116" s="91">
        <f>B37</f>
        <v>0</v>
      </c>
      <c r="C116" s="91">
        <f t="shared" ref="C116:L116" si="48">C37</f>
        <v>1</v>
      </c>
      <c r="D116" s="91">
        <f t="shared" si="48"/>
        <v>2</v>
      </c>
      <c r="E116" s="91">
        <f t="shared" si="48"/>
        <v>3</v>
      </c>
      <c r="F116" s="91">
        <f t="shared" si="48"/>
        <v>4</v>
      </c>
      <c r="G116" s="91">
        <f t="shared" si="48"/>
        <v>5</v>
      </c>
      <c r="H116" s="91">
        <f t="shared" si="48"/>
        <v>6</v>
      </c>
      <c r="I116" s="91">
        <f t="shared" si="48"/>
        <v>7</v>
      </c>
      <c r="J116" s="91">
        <f t="shared" si="48"/>
        <v>8</v>
      </c>
      <c r="K116" s="91">
        <f t="shared" si="48"/>
        <v>9</v>
      </c>
      <c r="L116" s="91">
        <f t="shared" si="48"/>
        <v>10</v>
      </c>
    </row>
    <row r="117" spans="1:12" s="19" customFormat="1">
      <c r="A117" s="90" t="s">
        <v>260</v>
      </c>
      <c r="B117" s="92">
        <f>B64</f>
        <v>-27598000</v>
      </c>
      <c r="C117" s="92">
        <f t="shared" ref="C117:L117" si="49">C64</f>
        <v>70221.600000000093</v>
      </c>
      <c r="D117" s="92">
        <f t="shared" si="49"/>
        <v>1112324.9529599983</v>
      </c>
      <c r="E117" s="92">
        <f t="shared" si="49"/>
        <v>-2890623.6014010916</v>
      </c>
      <c r="F117" s="92">
        <f t="shared" si="49"/>
        <v>3588368.1043457096</v>
      </c>
      <c r="G117" s="92">
        <f t="shared" si="49"/>
        <v>5739296.4219279606</v>
      </c>
      <c r="H117" s="92">
        <f t="shared" si="49"/>
        <v>5994270.9748056252</v>
      </c>
      <c r="I117" s="92">
        <f t="shared" si="49"/>
        <v>6262119.2182164583</v>
      </c>
      <c r="J117" s="92">
        <f t="shared" si="49"/>
        <v>11957774.662957132</v>
      </c>
      <c r="K117" s="92">
        <f t="shared" si="49"/>
        <v>6771390.9797194973</v>
      </c>
      <c r="L117" s="92">
        <f t="shared" si="49"/>
        <v>13970873.772249373</v>
      </c>
    </row>
    <row r="118" spans="1:12">
      <c r="A118" s="8" t="s">
        <v>261</v>
      </c>
      <c r="B118" s="10">
        <f>B64/(1+$B$108)^B37</f>
        <v>-27598000</v>
      </c>
      <c r="C118" s="10">
        <f t="shared" ref="C118:L118" si="50">C64/(1+$B$108)^C37</f>
        <v>65115.323364512085</v>
      </c>
      <c r="D118" s="10">
        <f t="shared" si="50"/>
        <v>956437.60190945666</v>
      </c>
      <c r="E118" s="10">
        <f t="shared" si="50"/>
        <v>-2304777.4025487583</v>
      </c>
      <c r="F118" s="10">
        <f t="shared" si="50"/>
        <v>2653059.0212976732</v>
      </c>
      <c r="G118" s="10">
        <f t="shared" si="50"/>
        <v>3934785.4838614902</v>
      </c>
      <c r="H118" s="10">
        <f t="shared" si="50"/>
        <v>3810757.0120764831</v>
      </c>
      <c r="I118" s="10">
        <f t="shared" si="50"/>
        <v>3691549.5170163317</v>
      </c>
      <c r="J118" s="10">
        <f t="shared" si="50"/>
        <v>6536574.4629532341</v>
      </c>
      <c r="K118" s="10">
        <f t="shared" si="50"/>
        <v>3432339.3506912226</v>
      </c>
      <c r="L118" s="10">
        <f t="shared" si="50"/>
        <v>6566718.1826871559</v>
      </c>
    </row>
    <row r="119" spans="1:12">
      <c r="A119" t="s">
        <v>262</v>
      </c>
      <c r="B119" s="34">
        <f>SUM(B118:L118)</f>
        <v>1744558.5533088027</v>
      </c>
    </row>
    <row r="120" spans="1:12" ht="15" thickBot="1">
      <c r="A120" t="s">
        <v>205</v>
      </c>
      <c r="B120" s="95">
        <f>B114</f>
        <v>1244552.4627387235</v>
      </c>
    </row>
    <row r="121" spans="1:12" ht="15" thickBot="1">
      <c r="A121" t="s">
        <v>140</v>
      </c>
      <c r="B121" s="98">
        <f>B119+B120</f>
        <v>2989111.0160475262</v>
      </c>
    </row>
    <row r="122" spans="1:12">
      <c r="B122" s="95"/>
    </row>
    <row r="123" spans="1:12" ht="15" thickBot="1">
      <c r="A123" t="s">
        <v>144</v>
      </c>
      <c r="B123" s="95">
        <f>B117</f>
        <v>-27598000</v>
      </c>
      <c r="C123" s="2">
        <f>C117+C112</f>
        <v>270221.60000000009</v>
      </c>
      <c r="D123" s="2">
        <f t="shared" ref="D123:L123" si="51">D117+D112</f>
        <v>1314324.9529599983</v>
      </c>
      <c r="E123" s="2">
        <f t="shared" si="51"/>
        <v>-2686603.6014010916</v>
      </c>
      <c r="F123" s="2">
        <f t="shared" si="51"/>
        <v>3794428.3043457097</v>
      </c>
      <c r="G123" s="2">
        <f t="shared" si="51"/>
        <v>5947417.2239279607</v>
      </c>
      <c r="H123" s="2">
        <f t="shared" si="51"/>
        <v>6204472.9848256251</v>
      </c>
      <c r="I123" s="2">
        <f t="shared" si="51"/>
        <v>6474423.2483366579</v>
      </c>
      <c r="J123" s="2">
        <f t="shared" si="51"/>
        <v>12172201.733378533</v>
      </c>
      <c r="K123" s="2">
        <f t="shared" si="51"/>
        <v>6987962.3208451131</v>
      </c>
      <c r="L123" s="2">
        <f t="shared" si="51"/>
        <v>14189610.826786244</v>
      </c>
    </row>
    <row r="124" spans="1:12" ht="15" thickBot="1">
      <c r="A124" t="s">
        <v>77</v>
      </c>
      <c r="B124" s="12">
        <f>IRR(B123:L123,12%)</f>
        <v>9.4184115427338622E-2</v>
      </c>
    </row>
    <row r="125" spans="1:12">
      <c r="C125" s="19"/>
    </row>
  </sheetData>
  <phoneticPr fontId="7" type="noConversion"/>
  <printOptions gridLines="1" gridLinesSet="0"/>
  <pageMargins left="0.75" right="0.75" top="1" bottom="1" header="0.5" footer="0.5"/>
  <pageSetup paperSize="0" scale="60" orientation="landscape" horizontalDpi="4294967292" verticalDpi="4294967292"/>
  <headerFooter alignWithMargins="0">
    <oddHeader>&amp;A</oddHeader>
    <oddFooter>Page &amp;P</oddFooter>
  </headerFooter>
  <rowBreaks count="3" manualBreakCount="3">
    <brk id="17" max="65535" man="1"/>
    <brk id="37" max="65535" man="1"/>
    <brk id="70" max="6553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29"/>
  <sheetViews>
    <sheetView topLeftCell="A56" zoomScaleNormal="100" workbookViewId="0">
      <selection activeCell="K94" sqref="K94"/>
    </sheetView>
  </sheetViews>
  <sheetFormatPr baseColWidth="10" defaultRowHeight="14"/>
  <cols>
    <col min="1" max="1" width="29.140625" bestFit="1" customWidth="1"/>
    <col min="2" max="2" width="16.42578125" customWidth="1"/>
    <col min="3" max="3" width="11.85546875" bestFit="1" customWidth="1"/>
    <col min="4" max="4" width="11.85546875" customWidth="1"/>
    <col min="5" max="6" width="11.85546875" bestFit="1" customWidth="1"/>
    <col min="7" max="7" width="12.42578125" bestFit="1" customWidth="1"/>
    <col min="8" max="9" width="11.85546875" bestFit="1" customWidth="1"/>
    <col min="10" max="10" width="12" bestFit="1" customWidth="1"/>
    <col min="11" max="12" width="13.28515625" bestFit="1" customWidth="1"/>
    <col min="13" max="13" width="11.85546875" bestFit="1" customWidth="1"/>
  </cols>
  <sheetData>
    <row r="1" spans="1:10" s="21" customFormat="1" ht="19">
      <c r="A1" s="20" t="s">
        <v>65</v>
      </c>
      <c r="B1" s="20"/>
      <c r="C1" s="20"/>
      <c r="D1" s="20"/>
      <c r="E1" s="20"/>
      <c r="F1" s="20"/>
      <c r="G1" s="20"/>
      <c r="H1" s="20"/>
      <c r="I1" s="20"/>
      <c r="J1" s="20"/>
    </row>
    <row r="2" spans="1:10">
      <c r="A2" s="8" t="s">
        <v>66</v>
      </c>
      <c r="B2" s="9">
        <f>'Finite Life Analysis'!B2</f>
        <v>0.04</v>
      </c>
    </row>
    <row r="3" spans="1:10">
      <c r="A3" s="8" t="s">
        <v>67</v>
      </c>
      <c r="B3" s="18">
        <f>'Finite Life Analysis'!B3</f>
        <v>0.08</v>
      </c>
      <c r="E3" s="79" t="s">
        <v>99</v>
      </c>
    </row>
    <row r="4" spans="1:10">
      <c r="A4" s="8" t="s">
        <v>64</v>
      </c>
      <c r="B4" s="9" t="s">
        <v>20</v>
      </c>
      <c r="E4" s="8" t="s">
        <v>100</v>
      </c>
      <c r="F4" s="8" t="s">
        <v>105</v>
      </c>
      <c r="G4" s="8" t="s">
        <v>101</v>
      </c>
      <c r="H4" s="8" t="s">
        <v>102</v>
      </c>
    </row>
    <row r="5" spans="1:10">
      <c r="A5" s="8" t="s">
        <v>2</v>
      </c>
      <c r="B5" s="18">
        <f>'Finite Life Analysis'!B5</f>
        <v>1.4999999999999999E-2</v>
      </c>
      <c r="E5" s="8" t="s">
        <v>103</v>
      </c>
      <c r="F5" s="8">
        <f>'Finite Life Analysis'!F5</f>
        <v>10000000</v>
      </c>
      <c r="G5" s="9">
        <v>0.05</v>
      </c>
      <c r="H5" s="9">
        <v>0.1</v>
      </c>
    </row>
    <row r="6" spans="1:10">
      <c r="A6" s="8" t="s">
        <v>178</v>
      </c>
      <c r="B6" s="9">
        <f>'Finite Life Analysis'!B6</f>
        <v>0.25</v>
      </c>
      <c r="E6" s="8" t="s">
        <v>104</v>
      </c>
      <c r="F6" s="8">
        <f>'Finite Life Analysis'!F6</f>
        <v>8000000</v>
      </c>
      <c r="G6" s="9">
        <v>0.05</v>
      </c>
      <c r="H6" s="8" t="s">
        <v>108</v>
      </c>
    </row>
    <row r="7" spans="1:10">
      <c r="A7" s="72" t="s">
        <v>78</v>
      </c>
      <c r="B7" s="18">
        <f>'Finite Life Analysis'!B7</f>
        <v>0.01</v>
      </c>
    </row>
    <row r="8" spans="1:10">
      <c r="A8" s="72" t="s">
        <v>83</v>
      </c>
      <c r="B8" s="71">
        <f>'Finite Life Analysis'!B8</f>
        <v>75000</v>
      </c>
    </row>
    <row r="9" spans="1:10">
      <c r="A9" s="72" t="s">
        <v>82</v>
      </c>
      <c r="B9" s="71">
        <f>'Finite Life Analysis'!B9</f>
        <v>50000</v>
      </c>
      <c r="E9" s="79" t="s">
        <v>110</v>
      </c>
    </row>
    <row r="10" spans="1:10">
      <c r="A10" s="72" t="s">
        <v>84</v>
      </c>
      <c r="B10" s="9">
        <f>'Finite Life Analysis'!B10</f>
        <v>0.1</v>
      </c>
      <c r="E10" s="80" t="s">
        <v>111</v>
      </c>
      <c r="F10" s="81"/>
      <c r="G10" s="8">
        <f>'Finite Life Analysis'!G10</f>
        <v>100</v>
      </c>
    </row>
    <row r="11" spans="1:10">
      <c r="A11" s="72" t="s">
        <v>210</v>
      </c>
      <c r="B11" s="9">
        <f>'Finite Life Analysis'!B11</f>
        <v>0.05</v>
      </c>
      <c r="E11" s="82" t="s">
        <v>179</v>
      </c>
      <c r="F11" s="83"/>
      <c r="G11" s="8">
        <f>'Finite Life Analysis'!G11</f>
        <v>0.4</v>
      </c>
    </row>
    <row r="12" spans="1:10">
      <c r="A12" s="72" t="s">
        <v>85</v>
      </c>
      <c r="B12" s="9">
        <f>'Finite Life Analysis'!B12</f>
        <v>0.8</v>
      </c>
      <c r="E12" s="82" t="s">
        <v>180</v>
      </c>
      <c r="F12" s="83"/>
      <c r="G12" s="18">
        <f>'Finite Life Analysis'!G12</f>
        <v>0.12</v>
      </c>
    </row>
    <row r="13" spans="1:10">
      <c r="B13" s="14"/>
      <c r="E13" s="84" t="s">
        <v>114</v>
      </c>
      <c r="F13" s="85"/>
      <c r="G13" s="71">
        <f>'Finite Life Analysis'!G13</f>
        <v>5000000</v>
      </c>
      <c r="H13" t="s">
        <v>115</v>
      </c>
    </row>
    <row r="14" spans="1:10">
      <c r="A14" s="8" t="s">
        <v>68</v>
      </c>
      <c r="B14" s="16">
        <f>'Finite Life Analysis'!B14</f>
        <v>2000</v>
      </c>
    </row>
    <row r="15" spans="1:10">
      <c r="A15" s="8" t="s">
        <v>69</v>
      </c>
      <c r="B15" s="17">
        <f>'Finite Life Analysis'!B15</f>
        <v>650</v>
      </c>
      <c r="C15" t="s">
        <v>106</v>
      </c>
    </row>
    <row r="16" spans="1:10">
      <c r="A16" s="8" t="s">
        <v>4</v>
      </c>
      <c r="B16" s="30">
        <f>'Finite Life Analysis'!B16</f>
        <v>2.0999999999999998E-2</v>
      </c>
      <c r="E16" s="101" t="s">
        <v>137</v>
      </c>
    </row>
    <row r="17" spans="1:7">
      <c r="A17" s="8" t="s">
        <v>6</v>
      </c>
      <c r="B17" s="33">
        <f>'Finite Life Analysis'!B17</f>
        <v>0</v>
      </c>
      <c r="E17" t="s">
        <v>183</v>
      </c>
      <c r="G17" s="8">
        <f>'Finite Life Analysis'!G17</f>
        <v>500000</v>
      </c>
    </row>
    <row r="18" spans="1:7">
      <c r="A18" s="8" t="s">
        <v>3</v>
      </c>
      <c r="B18" s="33">
        <f>'Finite Life Analysis'!B18</f>
        <v>0</v>
      </c>
      <c r="E18" t="s">
        <v>138</v>
      </c>
      <c r="G18" s="9">
        <f>'Finite Life Analysis'!G18</f>
        <v>0.4</v>
      </c>
    </row>
    <row r="19" spans="1:7">
      <c r="A19" s="8" t="s">
        <v>5</v>
      </c>
      <c r="B19" s="17">
        <f>'Finite Life Analysis'!B19</f>
        <v>0</v>
      </c>
    </row>
    <row r="20" spans="1:7">
      <c r="A20" s="8" t="s">
        <v>92</v>
      </c>
      <c r="B20" s="10">
        <f>B14*B15</f>
        <v>1300000</v>
      </c>
    </row>
    <row r="21" spans="1:7">
      <c r="A21" s="8" t="s">
        <v>70</v>
      </c>
      <c r="B21" s="10">
        <f>B17*(1-(1+B16)^-B19)/B16+B18/(1+B16)^B19</f>
        <v>0</v>
      </c>
    </row>
    <row r="22" spans="1:7">
      <c r="A22" s="8" t="s">
        <v>71</v>
      </c>
      <c r="B22" s="10">
        <f>'Operating Leases'!C30</f>
        <v>13853.655672007517</v>
      </c>
    </row>
    <row r="23" spans="1:7">
      <c r="A23" s="8" t="s">
        <v>124</v>
      </c>
      <c r="B23" s="10">
        <f>B21+B22</f>
        <v>13853.655672007517</v>
      </c>
    </row>
    <row r="24" spans="1:7">
      <c r="A24" s="8" t="s">
        <v>93</v>
      </c>
      <c r="B24" s="13">
        <f>B23/B20</f>
        <v>1.0656658209236551E-2</v>
      </c>
    </row>
    <row r="25" spans="1:7">
      <c r="A25" s="8" t="s">
        <v>94</v>
      </c>
      <c r="B25" s="13">
        <f>B23/(B23+B20)</f>
        <v>1.0544291300785455E-2</v>
      </c>
    </row>
    <row r="26" spans="1:7">
      <c r="A26" s="8" t="s">
        <v>95</v>
      </c>
      <c r="B26" s="31">
        <f>Beta!B76</f>
        <v>1.0410063118417634</v>
      </c>
    </row>
    <row r="27" spans="1:7">
      <c r="A27" s="8" t="s">
        <v>96</v>
      </c>
      <c r="B27" s="31">
        <f>B26*(1+(1-B6)*B24)</f>
        <v>1.0493265481859799</v>
      </c>
    </row>
    <row r="28" spans="1:7">
      <c r="A28" s="8" t="s">
        <v>164</v>
      </c>
      <c r="B28" s="13">
        <f>'Finite Life Analysis'!B28</f>
        <v>0.05</v>
      </c>
    </row>
    <row r="29" spans="1:7">
      <c r="A29" s="8" t="s">
        <v>0</v>
      </c>
      <c r="B29" s="30">
        <f>'Finite Life Analysis'!B29</f>
        <v>6.1129000000000003E-2</v>
      </c>
    </row>
    <row r="30" spans="1:7">
      <c r="A30" s="8" t="s">
        <v>21</v>
      </c>
      <c r="B30" s="18">
        <f>B5+B27*B29</f>
        <v>7.9144282564060767E-2</v>
      </c>
    </row>
    <row r="31" spans="1:7">
      <c r="A31" s="8" t="s">
        <v>22</v>
      </c>
      <c r="B31" s="18">
        <f>B16*(1-B6)</f>
        <v>1.575E-2</v>
      </c>
    </row>
    <row r="32" spans="1:7">
      <c r="A32" s="8" t="s">
        <v>23</v>
      </c>
      <c r="B32" s="13">
        <f>B30*(1-B25)+B31*B25</f>
        <v>7.8475834781900997E-2</v>
      </c>
    </row>
    <row r="33" spans="1:13">
      <c r="A33" s="8" t="str">
        <f>'Finite Life Analysis'!A33</f>
        <v>Unlevered beta for Software/Devices =</v>
      </c>
      <c r="B33" s="70">
        <f>'Finite Life Analysis'!B33</f>
        <v>1.5</v>
      </c>
    </row>
    <row r="34" spans="1:13">
      <c r="A34" s="8" t="str">
        <f>'Finite Life Analysis'!A34</f>
        <v>Levered beta for Devices</v>
      </c>
      <c r="B34" s="70">
        <f>'Finite Life Analysis'!B34</f>
        <v>1.5054385545207714</v>
      </c>
    </row>
    <row r="35" spans="1:13">
      <c r="A35" s="8" t="str">
        <f>'Finite Life Analysis'!A35</f>
        <v>Cost of equity for Devices=</v>
      </c>
      <c r="B35" s="18">
        <f>'Finite Life Analysis'!B35</f>
        <v>0.10702595339930024</v>
      </c>
    </row>
    <row r="36" spans="1:13">
      <c r="A36" s="8" t="str">
        <f>'Finite Life Analysis'!A36</f>
        <v>Cost of capital for Devices =</v>
      </c>
      <c r="B36" s="18">
        <f>'Finite Life Analysis'!B36</f>
        <v>0.10572111916759941</v>
      </c>
    </row>
    <row r="37" spans="1:13" s="3" customFormat="1">
      <c r="A37" s="22" t="s">
        <v>24</v>
      </c>
      <c r="B37" s="22">
        <v>0</v>
      </c>
      <c r="C37" s="22">
        <v>1</v>
      </c>
      <c r="D37" s="22">
        <v>2</v>
      </c>
      <c r="E37" s="22">
        <v>3</v>
      </c>
      <c r="F37" s="22">
        <v>4</v>
      </c>
      <c r="G37" s="22">
        <v>5</v>
      </c>
      <c r="H37" s="22">
        <v>6</v>
      </c>
      <c r="I37" s="22">
        <v>7</v>
      </c>
      <c r="J37" s="22">
        <v>8</v>
      </c>
      <c r="K37" s="22">
        <v>9</v>
      </c>
      <c r="L37" s="22">
        <v>10</v>
      </c>
      <c r="M37" s="3" t="s">
        <v>12</v>
      </c>
    </row>
    <row r="38" spans="1:13">
      <c r="A38" s="8" t="s">
        <v>25</v>
      </c>
      <c r="B38" s="69">
        <f>'Finite Life Analysis'!B38</f>
        <v>5000</v>
      </c>
      <c r="C38" s="69">
        <f t="shared" ref="C38:L38" si="0">B38*(1+$B$2)</f>
        <v>5200</v>
      </c>
      <c r="D38" s="69">
        <f t="shared" si="0"/>
        <v>5408</v>
      </c>
      <c r="E38" s="69">
        <f t="shared" si="0"/>
        <v>5624.3200000000006</v>
      </c>
      <c r="F38" s="69">
        <f t="shared" si="0"/>
        <v>5849.2928000000011</v>
      </c>
      <c r="G38" s="69">
        <f t="shared" si="0"/>
        <v>6083.2645120000016</v>
      </c>
      <c r="H38" s="69">
        <f t="shared" si="0"/>
        <v>6326.5950924800018</v>
      </c>
      <c r="I38" s="69">
        <f t="shared" si="0"/>
        <v>6579.6588961792022</v>
      </c>
      <c r="J38" s="69">
        <f t="shared" si="0"/>
        <v>6842.8452520263709</v>
      </c>
      <c r="K38" s="69">
        <f t="shared" si="0"/>
        <v>7116.5590621074261</v>
      </c>
      <c r="L38" s="69">
        <f t="shared" si="0"/>
        <v>7401.221424591723</v>
      </c>
      <c r="M38" s="88">
        <f>L38*(1+B7)</f>
        <v>7475.2336388376407</v>
      </c>
    </row>
    <row r="39" spans="1:13">
      <c r="A39" s="8" t="s">
        <v>26</v>
      </c>
      <c r="B39" s="18">
        <v>0</v>
      </c>
      <c r="C39" s="18">
        <f>'Finite Life Analysis'!C39</f>
        <v>0.02</v>
      </c>
      <c r="D39" s="18">
        <f>'Finite Life Analysis'!D39</f>
        <v>0.04</v>
      </c>
      <c r="E39" s="18">
        <f>'Finite Life Analysis'!E39</f>
        <v>0.06</v>
      </c>
      <c r="F39" s="18">
        <f>'Finite Life Analysis'!F39</f>
        <v>0.08</v>
      </c>
      <c r="G39" s="18">
        <f>'Finite Life Analysis'!G39</f>
        <v>0.1</v>
      </c>
      <c r="H39" s="18">
        <f>'Finite Life Analysis'!H39</f>
        <v>0.1</v>
      </c>
      <c r="I39" s="18">
        <f>'Finite Life Analysis'!I39</f>
        <v>0.1</v>
      </c>
      <c r="J39" s="18">
        <f>'Finite Life Analysis'!J39</f>
        <v>0.1</v>
      </c>
      <c r="K39" s="18">
        <f>'Finite Life Analysis'!K39</f>
        <v>0.1</v>
      </c>
      <c r="L39" s="18">
        <f>'Finite Life Analysis'!L39</f>
        <v>0.1</v>
      </c>
      <c r="M39" s="13">
        <f>L39</f>
        <v>0.1</v>
      </c>
    </row>
    <row r="40" spans="1:13">
      <c r="A40" s="8" t="s">
        <v>17</v>
      </c>
      <c r="B40" s="18"/>
      <c r="C40" s="70">
        <f>C39*C38</f>
        <v>104</v>
      </c>
      <c r="D40" s="70">
        <f>D39*D38</f>
        <v>216.32</v>
      </c>
      <c r="E40" s="70">
        <f t="shared" ref="E40:M40" si="1">E39*E38</f>
        <v>337.45920000000001</v>
      </c>
      <c r="F40" s="70">
        <f t="shared" si="1"/>
        <v>467.94342400000011</v>
      </c>
      <c r="G40" s="70">
        <f t="shared" si="1"/>
        <v>608.32645120000018</v>
      </c>
      <c r="H40" s="70">
        <f t="shared" si="1"/>
        <v>632.65950924800018</v>
      </c>
      <c r="I40" s="70">
        <f t="shared" si="1"/>
        <v>657.96588961792031</v>
      </c>
      <c r="J40" s="70">
        <f t="shared" si="1"/>
        <v>684.28452520263716</v>
      </c>
      <c r="K40" s="70">
        <f t="shared" si="1"/>
        <v>711.65590621074261</v>
      </c>
      <c r="L40" s="70">
        <f t="shared" si="1"/>
        <v>740.12214245917232</v>
      </c>
      <c r="M40" s="70">
        <f t="shared" si="1"/>
        <v>747.52336388376409</v>
      </c>
    </row>
    <row r="41" spans="1:13">
      <c r="A41" s="8" t="s">
        <v>86</v>
      </c>
      <c r="B41" s="18"/>
      <c r="C41" s="70">
        <f>$B$12*C40</f>
        <v>83.2</v>
      </c>
      <c r="D41" s="70">
        <f t="shared" ref="D41:M41" si="2">$B$12*D40</f>
        <v>173.05600000000001</v>
      </c>
      <c r="E41" s="70">
        <f t="shared" si="2"/>
        <v>269.96736000000004</v>
      </c>
      <c r="F41" s="70">
        <f t="shared" si="2"/>
        <v>374.3547392000001</v>
      </c>
      <c r="G41" s="70">
        <f t="shared" si="2"/>
        <v>486.66116096000019</v>
      </c>
      <c r="H41" s="70">
        <f t="shared" si="2"/>
        <v>506.12760739840019</v>
      </c>
      <c r="I41" s="70">
        <f t="shared" si="2"/>
        <v>526.37271169433632</v>
      </c>
      <c r="J41" s="70">
        <f t="shared" si="2"/>
        <v>547.42762016210975</v>
      </c>
      <c r="K41" s="70">
        <f t="shared" si="2"/>
        <v>569.32472496859407</v>
      </c>
      <c r="L41" s="70">
        <f t="shared" si="2"/>
        <v>592.09771396733788</v>
      </c>
      <c r="M41" s="70">
        <f t="shared" si="2"/>
        <v>598.01869110701125</v>
      </c>
    </row>
    <row r="42" spans="1:13">
      <c r="A42" s="8" t="s">
        <v>263</v>
      </c>
      <c r="B42" s="18"/>
      <c r="C42" s="70">
        <f>C40-C41</f>
        <v>20.799999999999997</v>
      </c>
      <c r="D42" s="70">
        <f t="shared" ref="D42:M42" si="3">D40-D41</f>
        <v>43.263999999999982</v>
      </c>
      <c r="E42" s="70">
        <f t="shared" si="3"/>
        <v>67.491839999999968</v>
      </c>
      <c r="F42" s="70">
        <f t="shared" si="3"/>
        <v>93.58868480000001</v>
      </c>
      <c r="G42" s="70">
        <f t="shared" si="3"/>
        <v>121.66529023999999</v>
      </c>
      <c r="H42" s="70">
        <f t="shared" si="3"/>
        <v>126.53190184959999</v>
      </c>
      <c r="I42" s="70">
        <f t="shared" si="3"/>
        <v>131.59317792358399</v>
      </c>
      <c r="J42" s="70">
        <f t="shared" si="3"/>
        <v>136.85690504052741</v>
      </c>
      <c r="K42" s="70">
        <f t="shared" si="3"/>
        <v>142.33118124214855</v>
      </c>
      <c r="L42" s="70">
        <f t="shared" si="3"/>
        <v>148.02442849183444</v>
      </c>
      <c r="M42" s="70">
        <f t="shared" si="3"/>
        <v>149.50467277675284</v>
      </c>
    </row>
    <row r="43" spans="1:13">
      <c r="A43" s="8" t="s">
        <v>18</v>
      </c>
      <c r="B43" s="18"/>
      <c r="C43" s="71">
        <f>'Finite Life Analysis'!C43</f>
        <v>75000</v>
      </c>
      <c r="D43" s="71">
        <f>C43*(1+$B$7)</f>
        <v>75750</v>
      </c>
      <c r="E43" s="71">
        <f t="shared" ref="E43:L44" si="4">D43*(1+$B$7)</f>
        <v>76507.5</v>
      </c>
      <c r="F43" s="71">
        <f t="shared" si="4"/>
        <v>77272.574999999997</v>
      </c>
      <c r="G43" s="71">
        <f t="shared" si="4"/>
        <v>78045.300749999995</v>
      </c>
      <c r="H43" s="71">
        <f t="shared" si="4"/>
        <v>78825.753757500002</v>
      </c>
      <c r="I43" s="71">
        <f t="shared" si="4"/>
        <v>79614.011295075004</v>
      </c>
      <c r="J43" s="71">
        <f t="shared" si="4"/>
        <v>80410.151408025762</v>
      </c>
      <c r="K43" s="71">
        <f t="shared" si="4"/>
        <v>81214.252922106025</v>
      </c>
      <c r="L43" s="71">
        <f t="shared" si="4"/>
        <v>82026.395451327087</v>
      </c>
      <c r="M43" s="71">
        <f>L43*(1+$B$7)</f>
        <v>82846.659405840357</v>
      </c>
    </row>
    <row r="44" spans="1:13">
      <c r="A44" s="8" t="s">
        <v>19</v>
      </c>
      <c r="B44" s="18"/>
      <c r="C44" s="71">
        <f>'Finite Life Analysis'!C44</f>
        <v>50000</v>
      </c>
      <c r="D44" s="71">
        <f>C44*(1+$B$7)</f>
        <v>50500</v>
      </c>
      <c r="E44" s="71">
        <f t="shared" si="4"/>
        <v>51005</v>
      </c>
      <c r="F44" s="71">
        <f t="shared" si="4"/>
        <v>51515.05</v>
      </c>
      <c r="G44" s="71">
        <f t="shared" si="4"/>
        <v>52030.200500000006</v>
      </c>
      <c r="H44" s="71">
        <f t="shared" si="4"/>
        <v>52550.502505000004</v>
      </c>
      <c r="I44" s="71">
        <f t="shared" si="4"/>
        <v>53076.007530050003</v>
      </c>
      <c r="J44" s="71">
        <f t="shared" si="4"/>
        <v>53606.767605350506</v>
      </c>
      <c r="K44" s="71">
        <f t="shared" si="4"/>
        <v>54142.835281404012</v>
      </c>
      <c r="L44" s="71">
        <f t="shared" si="4"/>
        <v>54684.263634218056</v>
      </c>
      <c r="M44" s="71">
        <f>L44*(1+$B$7)</f>
        <v>55231.106270560238</v>
      </c>
    </row>
    <row r="45" spans="1:13">
      <c r="A45" s="8" t="s">
        <v>81</v>
      </c>
      <c r="B45" s="18"/>
      <c r="C45" s="71">
        <f>$B$10*C43</f>
        <v>7500</v>
      </c>
      <c r="D45" s="71">
        <f t="shared" ref="D45:L45" si="5">$B$10*D43</f>
        <v>7575</v>
      </c>
      <c r="E45" s="71">
        <f t="shared" si="5"/>
        <v>7650.75</v>
      </c>
      <c r="F45" s="71">
        <f t="shared" si="5"/>
        <v>7727.2574999999997</v>
      </c>
      <c r="G45" s="71">
        <f t="shared" si="5"/>
        <v>7804.5300749999997</v>
      </c>
      <c r="H45" s="71">
        <f t="shared" si="5"/>
        <v>7882.5753757500006</v>
      </c>
      <c r="I45" s="71">
        <f t="shared" si="5"/>
        <v>7961.4011295075006</v>
      </c>
      <c r="J45" s="71">
        <f t="shared" si="5"/>
        <v>8041.0151408025768</v>
      </c>
      <c r="K45" s="71">
        <f t="shared" si="5"/>
        <v>8121.4252922106025</v>
      </c>
      <c r="L45" s="71">
        <f t="shared" si="5"/>
        <v>8202.6395451327098</v>
      </c>
      <c r="M45" s="71">
        <f>$B$10*M43</f>
        <v>8284.6659405840364</v>
      </c>
    </row>
    <row r="46" spans="1:13">
      <c r="A46" s="8" t="s">
        <v>264</v>
      </c>
      <c r="B46" s="18"/>
      <c r="C46" s="71">
        <f>$B$11*C43</f>
        <v>3750</v>
      </c>
      <c r="D46" s="71">
        <f t="shared" ref="D46:L46" si="6">$B$11*D43</f>
        <v>3787.5</v>
      </c>
      <c r="E46" s="71">
        <f t="shared" si="6"/>
        <v>3825.375</v>
      </c>
      <c r="F46" s="71">
        <f t="shared" si="6"/>
        <v>3863.6287499999999</v>
      </c>
      <c r="G46" s="71">
        <f t="shared" si="6"/>
        <v>3902.2650374999998</v>
      </c>
      <c r="H46" s="71">
        <f t="shared" si="6"/>
        <v>3941.2876878750003</v>
      </c>
      <c r="I46" s="71">
        <f t="shared" si="6"/>
        <v>3980.7005647537503</v>
      </c>
      <c r="J46" s="71">
        <f t="shared" si="6"/>
        <v>4020.5075704012884</v>
      </c>
      <c r="K46" s="71">
        <f t="shared" si="6"/>
        <v>4060.7126461053012</v>
      </c>
      <c r="L46" s="71">
        <f t="shared" si="6"/>
        <v>4101.3197725663549</v>
      </c>
      <c r="M46" s="71">
        <f>$B$11*M43</f>
        <v>4142.3329702920182</v>
      </c>
    </row>
    <row r="47" spans="1:13" s="7" customFormat="1" ht="15" thickBo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</row>
    <row r="48" spans="1:13">
      <c r="A48" s="8" t="s">
        <v>27</v>
      </c>
      <c r="B48" s="8"/>
      <c r="C48" s="11">
        <f>C40*C43</f>
        <v>7800000</v>
      </c>
      <c r="D48" s="11">
        <f t="shared" ref="D48:L48" si="7">D40*D43</f>
        <v>16386240</v>
      </c>
      <c r="E48" s="11">
        <f t="shared" si="7"/>
        <v>25818159.743999999</v>
      </c>
      <c r="F48" s="11">
        <f t="shared" si="7"/>
        <v>36159193.326796807</v>
      </c>
      <c r="G48" s="11">
        <f t="shared" si="7"/>
        <v>47477020.838084206</v>
      </c>
      <c r="H48" s="11">
        <f t="shared" si="7"/>
        <v>49869862.688323654</v>
      </c>
      <c r="I48" s="11">
        <f t="shared" si="7"/>
        <v>52383303.76781518</v>
      </c>
      <c r="J48" s="11">
        <f t="shared" si="7"/>
        <v>55023422.277713075</v>
      </c>
      <c r="K48" s="11">
        <f t="shared" si="7"/>
        <v>57796602.760509811</v>
      </c>
      <c r="L48" s="11">
        <f t="shared" si="7"/>
        <v>60709551.53963951</v>
      </c>
      <c r="M48" s="11">
        <f>M40*M43</f>
        <v>61929813.52558627</v>
      </c>
    </row>
    <row r="49" spans="1:13">
      <c r="A49" s="8" t="s">
        <v>79</v>
      </c>
      <c r="B49" s="8"/>
      <c r="C49" s="10">
        <f>C40*C44</f>
        <v>5200000</v>
      </c>
      <c r="D49" s="10">
        <f t="shared" ref="D49:L51" si="8">D40*D44</f>
        <v>10924160</v>
      </c>
      <c r="E49" s="10">
        <f t="shared" si="8"/>
        <v>17212106.495999999</v>
      </c>
      <c r="F49" s="10">
        <f t="shared" si="8"/>
        <v>24106128.884531207</v>
      </c>
      <c r="G49" s="10">
        <f t="shared" si="8"/>
        <v>31651347.225389477</v>
      </c>
      <c r="H49" s="10">
        <f t="shared" si="8"/>
        <v>33246575.125549108</v>
      </c>
      <c r="I49" s="10">
        <f t="shared" si="8"/>
        <v>34922202.511876784</v>
      </c>
      <c r="J49" s="10">
        <f t="shared" si="8"/>
        <v>36682281.518475384</v>
      </c>
      <c r="K49" s="10">
        <f t="shared" si="8"/>
        <v>38531068.507006541</v>
      </c>
      <c r="L49" s="10">
        <f t="shared" si="8"/>
        <v>40473034.359759673</v>
      </c>
      <c r="M49" s="10">
        <f>M40*M44</f>
        <v>41286542.350390844</v>
      </c>
    </row>
    <row r="50" spans="1:13">
      <c r="A50" s="8" t="s">
        <v>80</v>
      </c>
      <c r="B50" s="8"/>
      <c r="C50" s="10">
        <f>C41*C45</f>
        <v>624000</v>
      </c>
      <c r="D50" s="10">
        <f t="shared" si="8"/>
        <v>1310899.2000000002</v>
      </c>
      <c r="E50" s="10">
        <f t="shared" si="8"/>
        <v>2065452.7795200003</v>
      </c>
      <c r="F50" s="10">
        <f t="shared" si="8"/>
        <v>2892735.4661437445</v>
      </c>
      <c r="G50" s="10">
        <f t="shared" si="8"/>
        <v>3798161.6670467374</v>
      </c>
      <c r="H50" s="10">
        <f t="shared" si="8"/>
        <v>3989589.0150658931</v>
      </c>
      <c r="I50" s="10">
        <f t="shared" si="8"/>
        <v>4190664.3014252153</v>
      </c>
      <c r="J50" s="10">
        <f t="shared" si="8"/>
        <v>4401873.7822170462</v>
      </c>
      <c r="K50" s="10">
        <f t="shared" si="8"/>
        <v>4623728.2208407847</v>
      </c>
      <c r="L50" s="10">
        <f t="shared" si="8"/>
        <v>4856764.1231711619</v>
      </c>
      <c r="M50" s="10">
        <f>M41*M45</f>
        <v>4954385.0820469018</v>
      </c>
    </row>
    <row r="51" spans="1:13">
      <c r="A51" s="8" t="s">
        <v>265</v>
      </c>
      <c r="B51" s="8"/>
      <c r="C51" s="10">
        <f>C42*C46</f>
        <v>77999.999999999985</v>
      </c>
      <c r="D51" s="10">
        <f t="shared" si="8"/>
        <v>163862.39999999994</v>
      </c>
      <c r="E51" s="10">
        <f t="shared" si="8"/>
        <v>258181.59743999987</v>
      </c>
      <c r="F51" s="10">
        <f t="shared" si="8"/>
        <v>361591.93326796801</v>
      </c>
      <c r="G51" s="10">
        <f t="shared" si="8"/>
        <v>474770.20838084194</v>
      </c>
      <c r="H51" s="10">
        <f t="shared" si="8"/>
        <v>498698.6268832364</v>
      </c>
      <c r="I51" s="10">
        <f t="shared" si="8"/>
        <v>523833.03767815157</v>
      </c>
      <c r="J51" s="10">
        <f t="shared" si="8"/>
        <v>550234.22277713066</v>
      </c>
      <c r="K51" s="10">
        <f t="shared" si="8"/>
        <v>577966.02760509821</v>
      </c>
      <c r="L51" s="10">
        <f t="shared" si="8"/>
        <v>607095.51539639512</v>
      </c>
      <c r="M51" s="10">
        <f>M42*M46</f>
        <v>619298.13525586284</v>
      </c>
    </row>
    <row r="52" spans="1:13">
      <c r="A52" s="8" t="s">
        <v>9</v>
      </c>
      <c r="B52" s="8"/>
      <c r="C52" s="11">
        <f>C80+C100</f>
        <v>2500000</v>
      </c>
      <c r="D52" s="11">
        <f t="shared" ref="D52:L52" si="9">D80+D100</f>
        <v>2401500</v>
      </c>
      <c r="E52" s="11">
        <f t="shared" si="9"/>
        <v>2332833.9105000002</v>
      </c>
      <c r="F52" s="11">
        <f t="shared" si="9"/>
        <v>2549407.4583157646</v>
      </c>
      <c r="G52" s="11">
        <f t="shared" si="9"/>
        <v>2534864.3182440372</v>
      </c>
      <c r="H52" s="11">
        <f t="shared" si="9"/>
        <v>2546480.7811903683</v>
      </c>
      <c r="I52" s="11">
        <f t="shared" si="9"/>
        <v>2560562.1624893975</v>
      </c>
      <c r="J52" s="11">
        <f t="shared" si="9"/>
        <v>2577174.839672423</v>
      </c>
      <c r="K52" s="11">
        <f t="shared" si="9"/>
        <v>2325680.1013030536</v>
      </c>
      <c r="L52" s="11">
        <f t="shared" si="9"/>
        <v>2347591.3911400926</v>
      </c>
      <c r="M52" s="11">
        <f>L52*(1+$B$7)</f>
        <v>2371067.3050514935</v>
      </c>
    </row>
    <row r="53" spans="1:13">
      <c r="A53" s="8" t="s">
        <v>28</v>
      </c>
      <c r="B53" s="8"/>
      <c r="C53" s="11">
        <f>C85+C86</f>
        <v>1550000</v>
      </c>
      <c r="D53" s="11">
        <f t="shared" ref="D53:L53" si="10">D85+D86</f>
        <v>2152900</v>
      </c>
      <c r="E53" s="11">
        <f>E85+E86</f>
        <v>2812635.24</v>
      </c>
      <c r="F53" s="11">
        <f t="shared" si="10"/>
        <v>3533403.2581280004</v>
      </c>
      <c r="G53" s="11">
        <f t="shared" si="10"/>
        <v>4319680.3341720644</v>
      </c>
      <c r="H53" s="11">
        <f t="shared" si="10"/>
        <v>4536881.7103893366</v>
      </c>
      <c r="I53" s="11">
        <f t="shared" si="10"/>
        <v>4765004.5103367101</v>
      </c>
      <c r="J53" s="11">
        <f t="shared" si="10"/>
        <v>5004597.8974886183</v>
      </c>
      <c r="K53" s="11">
        <f t="shared" si="10"/>
        <v>5256238.649344529</v>
      </c>
      <c r="L53" s="11">
        <f t="shared" si="10"/>
        <v>5520532.5459851027</v>
      </c>
      <c r="M53" s="11">
        <f>L53*(1+$B$7)</f>
        <v>5575737.8714449536</v>
      </c>
    </row>
    <row r="54" spans="1:13" s="7" customFormat="1" ht="15" thickBot="1">
      <c r="A54" s="8" t="s">
        <v>29</v>
      </c>
      <c r="B54" s="8"/>
      <c r="C54" s="11">
        <f t="shared" ref="C54:L54" si="11">C91</f>
        <v>1260000</v>
      </c>
      <c r="D54" s="11">
        <f t="shared" si="11"/>
        <v>1323000</v>
      </c>
      <c r="E54" s="11">
        <f t="shared" si="11"/>
        <v>1389150</v>
      </c>
      <c r="F54" s="11">
        <f t="shared" si="11"/>
        <v>1458607.5</v>
      </c>
      <c r="G54" s="11">
        <f t="shared" si="11"/>
        <v>1531537.875</v>
      </c>
      <c r="H54" s="11">
        <f t="shared" si="11"/>
        <v>1608114.7687499989</v>
      </c>
      <c r="I54" s="11">
        <f t="shared" si="11"/>
        <v>1688520.5071874987</v>
      </c>
      <c r="J54" s="11">
        <f t="shared" si="11"/>
        <v>1772946.5325468741</v>
      </c>
      <c r="K54" s="11">
        <f t="shared" si="11"/>
        <v>1861593.859174218</v>
      </c>
      <c r="L54" s="11">
        <f t="shared" si="11"/>
        <v>1954673.5521329287</v>
      </c>
      <c r="M54" s="11">
        <f>L54*(1+$B$7)</f>
        <v>1974220.2876542581</v>
      </c>
    </row>
    <row r="55" spans="1:13">
      <c r="A55" s="8" t="s">
        <v>30</v>
      </c>
      <c r="B55" s="8"/>
      <c r="C55" s="11">
        <f>C48-SUM(C49:C54)</f>
        <v>-3412000</v>
      </c>
      <c r="D55" s="11">
        <f t="shared" ref="D55:M55" si="12">D48-SUM(D49:D54)</f>
        <v>-1890081.6000000015</v>
      </c>
      <c r="E55" s="11">
        <f t="shared" si="12"/>
        <v>-252200.27946000174</v>
      </c>
      <c r="F55" s="11">
        <f t="shared" si="12"/>
        <v>1257318.8264101222</v>
      </c>
      <c r="G55" s="11">
        <f t="shared" si="12"/>
        <v>3166659.2098510489</v>
      </c>
      <c r="H55" s="11">
        <f t="shared" si="12"/>
        <v>3443522.6604957134</v>
      </c>
      <c r="I55" s="11">
        <f t="shared" si="12"/>
        <v>3732516.736821413</v>
      </c>
      <c r="J55" s="11">
        <f t="shared" si="12"/>
        <v>4034313.4845356047</v>
      </c>
      <c r="K55" s="11">
        <f t="shared" si="12"/>
        <v>4620327.3952355906</v>
      </c>
      <c r="L55" s="11">
        <f t="shared" si="12"/>
        <v>4949860.0520541519</v>
      </c>
      <c r="M55" s="11">
        <f t="shared" si="12"/>
        <v>5148562.4937419519</v>
      </c>
    </row>
    <row r="56" spans="1:13" s="7" customFormat="1" ht="15" thickBot="1">
      <c r="A56" s="11" t="s">
        <v>31</v>
      </c>
      <c r="B56" s="11"/>
      <c r="C56" s="10">
        <f t="shared" ref="C56:M56" si="13">$B$6*C55</f>
        <v>-853000</v>
      </c>
      <c r="D56" s="10">
        <f t="shared" si="13"/>
        <v>-472520.40000000037</v>
      </c>
      <c r="E56" s="10">
        <f t="shared" si="13"/>
        <v>-63050.069865000434</v>
      </c>
      <c r="F56" s="10">
        <f t="shared" si="13"/>
        <v>314329.70660253055</v>
      </c>
      <c r="G56" s="10">
        <f t="shared" si="13"/>
        <v>791664.80246276222</v>
      </c>
      <c r="H56" s="10">
        <f t="shared" si="13"/>
        <v>860880.66512392834</v>
      </c>
      <c r="I56" s="10">
        <f t="shared" si="13"/>
        <v>933129.18420535326</v>
      </c>
      <c r="J56" s="10">
        <f t="shared" si="13"/>
        <v>1008578.3711339012</v>
      </c>
      <c r="K56" s="10">
        <f t="shared" si="13"/>
        <v>1155081.8488088977</v>
      </c>
      <c r="L56" s="10">
        <f t="shared" si="13"/>
        <v>1237465.013013538</v>
      </c>
      <c r="M56" s="10">
        <f t="shared" si="13"/>
        <v>1287140.623435488</v>
      </c>
    </row>
    <row r="57" spans="1:13" s="6" customFormat="1" ht="15" thickBot="1">
      <c r="A57" s="23" t="s">
        <v>32</v>
      </c>
      <c r="B57" s="25"/>
      <c r="C57" s="24">
        <f>C55-C56</f>
        <v>-2559000</v>
      </c>
      <c r="D57" s="24">
        <f t="shared" ref="D57:M57" si="14">D55-D56</f>
        <v>-1417561.2000000011</v>
      </c>
      <c r="E57" s="24">
        <f t="shared" si="14"/>
        <v>-189150.2095950013</v>
      </c>
      <c r="F57" s="24">
        <f t="shared" si="14"/>
        <v>942989.11980759166</v>
      </c>
      <c r="G57" s="24">
        <f t="shared" si="14"/>
        <v>2374994.4073882867</v>
      </c>
      <c r="H57" s="24">
        <f t="shared" si="14"/>
        <v>2582641.995371785</v>
      </c>
      <c r="I57" s="24">
        <f t="shared" si="14"/>
        <v>2799387.5526160598</v>
      </c>
      <c r="J57" s="24">
        <f t="shared" si="14"/>
        <v>3025735.1134017035</v>
      </c>
      <c r="K57" s="24">
        <f t="shared" si="14"/>
        <v>3465245.546426693</v>
      </c>
      <c r="L57" s="24">
        <f t="shared" si="14"/>
        <v>3712395.0390406139</v>
      </c>
      <c r="M57" s="24">
        <f t="shared" si="14"/>
        <v>3861421.8703064639</v>
      </c>
    </row>
    <row r="58" spans="1:13">
      <c r="A58" s="8" t="s">
        <v>33</v>
      </c>
      <c r="B58" s="8"/>
      <c r="C58" s="10">
        <f t="shared" ref="C58:L58" si="15">C52</f>
        <v>2500000</v>
      </c>
      <c r="D58" s="10">
        <f t="shared" si="15"/>
        <v>2401500</v>
      </c>
      <c r="E58" s="10">
        <f t="shared" si="15"/>
        <v>2332833.9105000002</v>
      </c>
      <c r="F58" s="10">
        <f t="shared" si="15"/>
        <v>2549407.4583157646</v>
      </c>
      <c r="G58" s="10">
        <f t="shared" si="15"/>
        <v>2534864.3182440372</v>
      </c>
      <c r="H58" s="10">
        <f t="shared" si="15"/>
        <v>2546480.7811903683</v>
      </c>
      <c r="I58" s="10">
        <f t="shared" si="15"/>
        <v>2560562.1624893975</v>
      </c>
      <c r="J58" s="10">
        <f t="shared" si="15"/>
        <v>2577174.839672423</v>
      </c>
      <c r="K58" s="10">
        <f t="shared" si="15"/>
        <v>2325680.1013030536</v>
      </c>
      <c r="L58" s="10">
        <f t="shared" si="15"/>
        <v>2347591.3911400926</v>
      </c>
      <c r="M58" s="2">
        <f>M52</f>
        <v>2371067.3050514935</v>
      </c>
    </row>
    <row r="59" spans="1:13">
      <c r="A59" s="8" t="s">
        <v>34</v>
      </c>
      <c r="B59" s="8"/>
      <c r="C59" s="10">
        <f t="shared" ref="C59:L59" si="16">(C53-C86)*(1-$B$6)</f>
        <v>787500</v>
      </c>
      <c r="D59" s="10">
        <f t="shared" si="16"/>
        <v>826875</v>
      </c>
      <c r="E59" s="10">
        <f t="shared" si="16"/>
        <v>868218.75000000023</v>
      </c>
      <c r="F59" s="10">
        <f t="shared" si="16"/>
        <v>911629.6875</v>
      </c>
      <c r="G59" s="10">
        <f t="shared" si="16"/>
        <v>957211.171875</v>
      </c>
      <c r="H59" s="10">
        <f t="shared" si="16"/>
        <v>1005071.73046875</v>
      </c>
      <c r="I59" s="10">
        <f t="shared" si="16"/>
        <v>1055325.3169921876</v>
      </c>
      <c r="J59" s="10">
        <f t="shared" si="16"/>
        <v>1108091.5828417968</v>
      </c>
      <c r="K59" s="10">
        <f t="shared" si="16"/>
        <v>1163496.1619838867</v>
      </c>
      <c r="L59" s="10">
        <f t="shared" si="16"/>
        <v>1221670.9700830816</v>
      </c>
      <c r="M59" s="10">
        <f>L59*(1+B7)</f>
        <v>1233887.6797839124</v>
      </c>
    </row>
    <row r="60" spans="1:13">
      <c r="A60" s="8" t="s">
        <v>35</v>
      </c>
      <c r="B60" s="10">
        <f>B74+B75</f>
        <v>27000000</v>
      </c>
      <c r="C60" s="10">
        <f>C77</f>
        <v>1515000</v>
      </c>
      <c r="D60" s="10">
        <f t="shared" ref="D60:L60" si="17">D77</f>
        <v>1714839.105</v>
      </c>
      <c r="E60" s="10">
        <f t="shared" si="17"/>
        <v>1922816.8886576486</v>
      </c>
      <c r="F60" s="10">
        <f t="shared" si="17"/>
        <v>2146400.8075984861</v>
      </c>
      <c r="G60" s="10">
        <f t="shared" si="17"/>
        <v>2393453.6977073476</v>
      </c>
      <c r="H60" s="10">
        <f t="shared" si="17"/>
        <v>2429719.3441806622</v>
      </c>
      <c r="I60" s="10">
        <f t="shared" si="17"/>
        <v>2469113.6843196554</v>
      </c>
      <c r="J60" s="10">
        <f t="shared" si="17"/>
        <v>2511793.9700489268</v>
      </c>
      <c r="K60" s="10">
        <f t="shared" si="17"/>
        <v>2557931.9260804644</v>
      </c>
      <c r="L60" s="10">
        <f t="shared" si="17"/>
        <v>2607714.9408915602</v>
      </c>
      <c r="M60" s="2">
        <f>M58*(1+B7)^10</f>
        <v>2619133.4059989979</v>
      </c>
    </row>
    <row r="61" spans="1:13">
      <c r="A61" s="8" t="s">
        <v>109</v>
      </c>
      <c r="B61" s="10"/>
      <c r="C61" s="10"/>
      <c r="D61" s="10"/>
      <c r="E61" s="10">
        <f>E98</f>
        <v>5151505</v>
      </c>
      <c r="F61" s="10"/>
      <c r="G61" s="10">
        <f>G98</f>
        <v>0</v>
      </c>
      <c r="H61" s="10">
        <f>H98</f>
        <v>0</v>
      </c>
      <c r="I61" s="10"/>
      <c r="J61" s="10">
        <f>-J98</f>
        <v>-5414283.5281404015</v>
      </c>
      <c r="K61" s="10"/>
      <c r="L61" s="10"/>
    </row>
    <row r="62" spans="1:13">
      <c r="A62" s="8" t="s">
        <v>36</v>
      </c>
      <c r="B62" s="11">
        <f>C71</f>
        <v>598000</v>
      </c>
      <c r="C62" s="10">
        <f>D71</f>
        <v>658278.39999999991</v>
      </c>
      <c r="D62" s="10">
        <f t="shared" ref="D62:L62" si="18">E71</f>
        <v>723113.8470400006</v>
      </c>
      <c r="E62" s="10">
        <f t="shared" si="18"/>
        <v>792812.5746810881</v>
      </c>
      <c r="F62" s="10">
        <f t="shared" si="18"/>
        <v>867700.10919870203</v>
      </c>
      <c r="G62" s="10">
        <f t="shared" si="18"/>
        <v>183451.20851835655</v>
      </c>
      <c r="H62" s="10">
        <f t="shared" si="18"/>
        <v>192697.14942768402</v>
      </c>
      <c r="I62" s="10">
        <f t="shared" si="18"/>
        <v>202409.08575883834</v>
      </c>
      <c r="J62" s="10">
        <f t="shared" si="18"/>
        <v>212610.50368108228</v>
      </c>
      <c r="K62" s="10">
        <f t="shared" si="18"/>
        <v>223326.07306661084</v>
      </c>
      <c r="L62" s="10">
        <f t="shared" si="18"/>
        <v>93553.418922586367</v>
      </c>
      <c r="M62" s="10">
        <f>L62*(1+B7)</f>
        <v>94488.953111812225</v>
      </c>
    </row>
    <row r="63" spans="1:13" ht="15" thickBot="1">
      <c r="A63" s="8" t="s">
        <v>10</v>
      </c>
      <c r="B63" s="8"/>
      <c r="C63" s="10"/>
      <c r="D63" s="10"/>
      <c r="E63" s="10"/>
      <c r="F63" s="10"/>
      <c r="G63" s="10"/>
      <c r="H63" s="10"/>
      <c r="I63" s="10"/>
      <c r="J63" s="10"/>
      <c r="K63" s="10"/>
      <c r="L63" s="10">
        <f>M64/(B32-B7)</f>
        <v>69407762.77016297</v>
      </c>
    </row>
    <row r="64" spans="1:13" s="6" customFormat="1" ht="15" thickBot="1">
      <c r="A64" s="23" t="s">
        <v>1</v>
      </c>
      <c r="B64" s="24">
        <f>B57+B58+B59-B60-B61-B62</f>
        <v>-27598000</v>
      </c>
      <c r="C64" s="24">
        <f t="shared" ref="C64:M64" si="19">C57+C58+C59-C60-C61-C62</f>
        <v>-1444778.4</v>
      </c>
      <c r="D64" s="24">
        <f t="shared" si="19"/>
        <v>-627139.1520400017</v>
      </c>
      <c r="E64" s="24">
        <f t="shared" si="19"/>
        <v>-4855232.0124337375</v>
      </c>
      <c r="F64" s="24">
        <f t="shared" si="19"/>
        <v>1389925.3488261681</v>
      </c>
      <c r="G64" s="24">
        <f t="shared" si="19"/>
        <v>3290164.9912816198</v>
      </c>
      <c r="H64" s="24">
        <f t="shared" si="19"/>
        <v>3511778.0134225572</v>
      </c>
      <c r="I64" s="24">
        <f t="shared" si="19"/>
        <v>3743752.2620191514</v>
      </c>
      <c r="J64" s="24">
        <f t="shared" si="19"/>
        <v>9400880.5903263167</v>
      </c>
      <c r="K64" s="24">
        <f t="shared" si="19"/>
        <v>4173163.8105665585</v>
      </c>
      <c r="L64" s="24">
        <f>L57+L58+L59-L60-L61-L62+L63</f>
        <v>73988151.810612619</v>
      </c>
      <c r="M64" s="24">
        <f t="shared" si="19"/>
        <v>4752754.496031059</v>
      </c>
    </row>
    <row r="66" spans="1:13">
      <c r="A66" s="4" t="s">
        <v>38</v>
      </c>
    </row>
    <row r="67" spans="1:13">
      <c r="A67" t="s">
        <v>39</v>
      </c>
      <c r="C67" s="73">
        <f>0.1*C49</f>
        <v>520000</v>
      </c>
      <c r="D67" s="74">
        <f t="shared" ref="D67:L67" si="20">0.1*D49</f>
        <v>1092416</v>
      </c>
      <c r="E67" s="74">
        <f t="shared" si="20"/>
        <v>1721210.6496000001</v>
      </c>
      <c r="F67" s="74">
        <f t="shared" si="20"/>
        <v>2410612.8884531208</v>
      </c>
      <c r="G67" s="74">
        <f t="shared" si="20"/>
        <v>3165134.7225389481</v>
      </c>
      <c r="H67" s="74">
        <f t="shared" si="20"/>
        <v>3324657.512554911</v>
      </c>
      <c r="I67" s="74">
        <f t="shared" si="20"/>
        <v>3492220.2511876784</v>
      </c>
      <c r="J67" s="74">
        <f t="shared" si="20"/>
        <v>3668228.1518475385</v>
      </c>
      <c r="K67" s="74">
        <f t="shared" si="20"/>
        <v>3853106.8507006541</v>
      </c>
      <c r="L67" s="74">
        <f t="shared" si="20"/>
        <v>4047303.4359759674</v>
      </c>
      <c r="M67" s="74">
        <f>0.1*M49</f>
        <v>4128654.2350390847</v>
      </c>
    </row>
    <row r="68" spans="1:13">
      <c r="A68" t="s">
        <v>40</v>
      </c>
      <c r="C68" s="73">
        <f>0.05*C48</f>
        <v>390000</v>
      </c>
      <c r="D68" s="74">
        <f t="shared" ref="D68:L68" si="21">0.05*D48</f>
        <v>819312</v>
      </c>
      <c r="E68" s="74">
        <f t="shared" si="21"/>
        <v>1290907.9872000001</v>
      </c>
      <c r="F68" s="74">
        <f t="shared" si="21"/>
        <v>1807959.6663398405</v>
      </c>
      <c r="G68" s="74">
        <f t="shared" si="21"/>
        <v>2373851.0419042106</v>
      </c>
      <c r="H68" s="74">
        <f t="shared" si="21"/>
        <v>2493493.134416183</v>
      </c>
      <c r="I68" s="74">
        <f t="shared" si="21"/>
        <v>2619165.1883907593</v>
      </c>
      <c r="J68" s="74">
        <f t="shared" si="21"/>
        <v>2751171.1138856541</v>
      </c>
      <c r="K68" s="74">
        <f t="shared" si="21"/>
        <v>2889830.1380254906</v>
      </c>
      <c r="L68" s="74">
        <f t="shared" si="21"/>
        <v>3035477.5769819757</v>
      </c>
      <c r="M68" s="74">
        <f>0.05*M48</f>
        <v>3096490.6762793139</v>
      </c>
    </row>
    <row r="69" spans="1:13">
      <c r="A69" t="s">
        <v>41</v>
      </c>
      <c r="C69" s="73">
        <f>0.06*C49</f>
        <v>312000</v>
      </c>
      <c r="D69" s="74">
        <f t="shared" ref="D69:L69" si="22">0.06*D49</f>
        <v>655449.59999999998</v>
      </c>
      <c r="E69" s="74">
        <f t="shared" si="22"/>
        <v>1032726.3897599999</v>
      </c>
      <c r="F69" s="74">
        <f t="shared" si="22"/>
        <v>1446367.7330718725</v>
      </c>
      <c r="G69" s="74">
        <f t="shared" si="22"/>
        <v>1899080.8335233685</v>
      </c>
      <c r="H69" s="74">
        <f t="shared" si="22"/>
        <v>1994794.5075329463</v>
      </c>
      <c r="I69" s="74">
        <f t="shared" si="22"/>
        <v>2095332.150712607</v>
      </c>
      <c r="J69" s="74">
        <f t="shared" si="22"/>
        <v>2200936.8911085231</v>
      </c>
      <c r="K69" s="74">
        <f t="shared" si="22"/>
        <v>2311864.1104203924</v>
      </c>
      <c r="L69" s="74">
        <f t="shared" si="22"/>
        <v>2428382.0615855805</v>
      </c>
      <c r="M69" s="74">
        <f>0.06*M49</f>
        <v>2477192.5410234504</v>
      </c>
    </row>
    <row r="70" spans="1:13" ht="15" thickBot="1">
      <c r="A70" t="s">
        <v>42</v>
      </c>
      <c r="C70" s="10">
        <f>C67+C68-C69</f>
        <v>598000</v>
      </c>
      <c r="D70" s="10">
        <f t="shared" ref="D70:M70" si="23">D67+D68-D69</f>
        <v>1256278.3999999999</v>
      </c>
      <c r="E70" s="10">
        <f t="shared" si="23"/>
        <v>1979392.2470400005</v>
      </c>
      <c r="F70" s="10">
        <f t="shared" si="23"/>
        <v>2772204.8217210886</v>
      </c>
      <c r="G70" s="10">
        <f t="shared" si="23"/>
        <v>3639904.9309197906</v>
      </c>
      <c r="H70" s="10">
        <f t="shared" si="23"/>
        <v>3823356.1394381472</v>
      </c>
      <c r="I70" s="10">
        <f t="shared" si="23"/>
        <v>4016053.2888658312</v>
      </c>
      <c r="J70" s="10">
        <f t="shared" si="23"/>
        <v>4218462.3746246696</v>
      </c>
      <c r="K70" s="10">
        <f t="shared" si="23"/>
        <v>4431072.8783057518</v>
      </c>
      <c r="L70" s="10">
        <f t="shared" si="23"/>
        <v>4654398.9513723627</v>
      </c>
      <c r="M70" s="10">
        <f t="shared" si="23"/>
        <v>4747952.370294949</v>
      </c>
    </row>
    <row r="71" spans="1:13" s="6" customFormat="1" ht="15" thickBot="1">
      <c r="A71" s="5" t="s">
        <v>43</v>
      </c>
      <c r="C71" s="28">
        <f>C70-B70</f>
        <v>598000</v>
      </c>
      <c r="D71" s="28">
        <f t="shared" ref="D71:M71" si="24">D70-C70</f>
        <v>658278.39999999991</v>
      </c>
      <c r="E71" s="28">
        <f t="shared" si="24"/>
        <v>723113.8470400006</v>
      </c>
      <c r="F71" s="28">
        <f t="shared" si="24"/>
        <v>792812.5746810881</v>
      </c>
      <c r="G71" s="28">
        <f t="shared" si="24"/>
        <v>867700.10919870203</v>
      </c>
      <c r="H71" s="28">
        <f t="shared" si="24"/>
        <v>183451.20851835655</v>
      </c>
      <c r="I71" s="28">
        <f t="shared" si="24"/>
        <v>192697.14942768402</v>
      </c>
      <c r="J71" s="28">
        <f t="shared" si="24"/>
        <v>202409.08575883834</v>
      </c>
      <c r="K71" s="28">
        <f t="shared" si="24"/>
        <v>212610.50368108228</v>
      </c>
      <c r="L71" s="28">
        <f t="shared" si="24"/>
        <v>223326.07306661084</v>
      </c>
      <c r="M71" s="28">
        <f t="shared" si="24"/>
        <v>93553.418922586367</v>
      </c>
    </row>
    <row r="73" spans="1:13">
      <c r="A73" s="4" t="s">
        <v>44</v>
      </c>
    </row>
    <row r="74" spans="1:13">
      <c r="A74" t="s">
        <v>98</v>
      </c>
      <c r="B74" s="10">
        <f>'Finite Life Analysis'!B74</f>
        <v>22000000</v>
      </c>
      <c r="C74" s="10">
        <v>0</v>
      </c>
      <c r="D74" s="10">
        <v>0</v>
      </c>
      <c r="E74" s="10"/>
      <c r="F74" s="10"/>
      <c r="G74" s="10"/>
      <c r="H74" s="10"/>
      <c r="I74" s="10"/>
      <c r="J74" s="10"/>
      <c r="K74" s="10"/>
      <c r="L74" s="10"/>
    </row>
    <row r="75" spans="1:13">
      <c r="A75" t="s">
        <v>97</v>
      </c>
      <c r="B75" s="10">
        <f>'Finite Life Analysis'!B75</f>
        <v>5000000</v>
      </c>
      <c r="C75" s="10"/>
      <c r="D75" s="10"/>
      <c r="E75" s="10"/>
      <c r="F75" s="10"/>
      <c r="G75" s="10"/>
      <c r="H75" s="10"/>
      <c r="I75" s="10"/>
      <c r="J75" s="10"/>
      <c r="K75" s="10"/>
      <c r="L75" s="10"/>
    </row>
    <row r="76" spans="1:13">
      <c r="A76" t="s">
        <v>165</v>
      </c>
      <c r="B76" s="10"/>
      <c r="C76" s="13">
        <f>0.6*(1+$B$7)^C37</f>
        <v>0.60599999999999998</v>
      </c>
      <c r="D76" s="13">
        <f>0.7*(1+$B$7)^D37</f>
        <v>0.71406999999999998</v>
      </c>
      <c r="E76" s="13">
        <f>0.8*(1+$B$7)^E37</f>
        <v>0.8242408</v>
      </c>
      <c r="F76" s="13">
        <f>0.9*(1+$B$7)^F37</f>
        <v>0.936543609</v>
      </c>
      <c r="G76" s="13">
        <f t="shared" ref="G76:L76" si="25">1*(1+$B$7)^G37</f>
        <v>1.0510100500999999</v>
      </c>
      <c r="H76" s="13">
        <f t="shared" si="25"/>
        <v>1.0615201506010001</v>
      </c>
      <c r="I76" s="13">
        <f t="shared" si="25"/>
        <v>1.0721353521070098</v>
      </c>
      <c r="J76" s="13">
        <f t="shared" si="25"/>
        <v>1.0828567056280802</v>
      </c>
      <c r="K76" s="13">
        <f t="shared" si="25"/>
        <v>1.0936852726843611</v>
      </c>
      <c r="L76" s="13">
        <f t="shared" si="25"/>
        <v>1.1046221254112047</v>
      </c>
    </row>
    <row r="77" spans="1:13">
      <c r="A77" t="s">
        <v>11</v>
      </c>
      <c r="B77" s="10"/>
      <c r="C77" s="10">
        <f>C76*C80</f>
        <v>1515000</v>
      </c>
      <c r="D77" s="10">
        <f t="shared" ref="D77:L77" si="26">D76*D80</f>
        <v>1714839.105</v>
      </c>
      <c r="E77" s="10">
        <f t="shared" si="26"/>
        <v>1922816.8886576486</v>
      </c>
      <c r="F77" s="10">
        <f t="shared" si="26"/>
        <v>2146400.8075984861</v>
      </c>
      <c r="G77" s="10">
        <f t="shared" si="26"/>
        <v>2393453.6977073476</v>
      </c>
      <c r="H77" s="10">
        <f t="shared" si="26"/>
        <v>2429719.3441806622</v>
      </c>
      <c r="I77" s="10">
        <f t="shared" si="26"/>
        <v>2469113.6843196554</v>
      </c>
      <c r="J77" s="10">
        <f t="shared" si="26"/>
        <v>2511793.9700489268</v>
      </c>
      <c r="K77" s="10">
        <f t="shared" si="26"/>
        <v>2557931.9260804644</v>
      </c>
      <c r="L77" s="10">
        <f t="shared" si="26"/>
        <v>2607714.9408915602</v>
      </c>
    </row>
    <row r="78" spans="1:13">
      <c r="A78" t="s">
        <v>45</v>
      </c>
      <c r="B78" s="10"/>
      <c r="C78" s="10">
        <f>B74+B75</f>
        <v>27000000</v>
      </c>
      <c r="D78" s="10">
        <f>C78-C80+C77</f>
        <v>26015000</v>
      </c>
      <c r="E78" s="10">
        <f t="shared" ref="E78:L78" si="27">D78-D80+D77</f>
        <v>25328339.105</v>
      </c>
      <c r="F78" s="10">
        <f t="shared" si="27"/>
        <v>24918322.083157647</v>
      </c>
      <c r="G78" s="10">
        <f t="shared" si="27"/>
        <v>24772890.68244037</v>
      </c>
      <c r="H78" s="10">
        <f t="shared" si="27"/>
        <v>24889055.311903682</v>
      </c>
      <c r="I78" s="10">
        <f t="shared" si="27"/>
        <v>25029869.124893975</v>
      </c>
      <c r="J78" s="10">
        <f t="shared" si="27"/>
        <v>25195995.896724235</v>
      </c>
      <c r="K78" s="10">
        <f t="shared" si="27"/>
        <v>25388190.277100738</v>
      </c>
      <c r="L78" s="10">
        <f t="shared" si="27"/>
        <v>25607303.175471131</v>
      </c>
    </row>
    <row r="79" spans="1:13">
      <c r="A79" t="s">
        <v>46</v>
      </c>
      <c r="B79" s="10"/>
      <c r="C79" s="10">
        <f>C78-2000000</f>
        <v>25000000</v>
      </c>
      <c r="D79" s="10">
        <f>C79+C77-C80</f>
        <v>24015000</v>
      </c>
      <c r="E79" s="10">
        <f t="shared" ref="E79:L79" si="28">D79+D77-D80</f>
        <v>23328339.105</v>
      </c>
      <c r="F79" s="10">
        <f t="shared" si="28"/>
        <v>22918322.083157647</v>
      </c>
      <c r="G79" s="10">
        <f t="shared" si="28"/>
        <v>22772890.68244037</v>
      </c>
      <c r="H79" s="10">
        <f t="shared" si="28"/>
        <v>22889055.311903682</v>
      </c>
      <c r="I79" s="10">
        <f t="shared" si="28"/>
        <v>23029869.124893975</v>
      </c>
      <c r="J79" s="10">
        <f t="shared" si="28"/>
        <v>23195995.896724232</v>
      </c>
      <c r="K79" s="10">
        <f t="shared" si="28"/>
        <v>23388190.277100734</v>
      </c>
      <c r="L79" s="10">
        <f t="shared" si="28"/>
        <v>23607303.175471127</v>
      </c>
    </row>
    <row r="80" spans="1:13" ht="15" thickBot="1">
      <c r="A80" t="s">
        <v>51</v>
      </c>
      <c r="B80" s="10"/>
      <c r="C80" s="10">
        <f>C79/10</f>
        <v>2500000</v>
      </c>
      <c r="D80" s="10">
        <f>D79/10</f>
        <v>2401500</v>
      </c>
      <c r="E80" s="10">
        <f t="shared" ref="E80:L80" si="29">E79/10</f>
        <v>2332833.9105000002</v>
      </c>
      <c r="F80" s="10">
        <f t="shared" si="29"/>
        <v>2291832.2083157646</v>
      </c>
      <c r="G80" s="10">
        <f t="shared" si="29"/>
        <v>2277289.0682440372</v>
      </c>
      <c r="H80" s="10">
        <f t="shared" si="29"/>
        <v>2288905.5311903683</v>
      </c>
      <c r="I80" s="10">
        <f t="shared" si="29"/>
        <v>2302986.9124893975</v>
      </c>
      <c r="J80" s="10">
        <f t="shared" si="29"/>
        <v>2319599.589672423</v>
      </c>
      <c r="K80" s="10">
        <f t="shared" si="29"/>
        <v>2338819.0277100736</v>
      </c>
      <c r="L80" s="10">
        <f t="shared" si="29"/>
        <v>2360730.3175471127</v>
      </c>
    </row>
    <row r="81" spans="1:12" s="6" customFormat="1" ht="15" thickBot="1">
      <c r="A81" s="5" t="s">
        <v>52</v>
      </c>
      <c r="B81" s="24">
        <f>B74+B75</f>
        <v>27000000</v>
      </c>
      <c r="C81" s="24">
        <f>C78-C80</f>
        <v>24500000</v>
      </c>
      <c r="D81" s="24">
        <f t="shared" ref="D81:L81" si="30">D78-D80</f>
        <v>23613500</v>
      </c>
      <c r="E81" s="24">
        <f t="shared" si="30"/>
        <v>22995505.194499999</v>
      </c>
      <c r="F81" s="24">
        <f t="shared" si="30"/>
        <v>22626489.874841884</v>
      </c>
      <c r="G81" s="24">
        <f t="shared" si="30"/>
        <v>22495601.614196334</v>
      </c>
      <c r="H81" s="24">
        <f t="shared" si="30"/>
        <v>22600149.780713312</v>
      </c>
      <c r="I81" s="24">
        <f t="shared" si="30"/>
        <v>22726882.212404579</v>
      </c>
      <c r="J81" s="24">
        <f t="shared" si="30"/>
        <v>22876396.307051811</v>
      </c>
      <c r="K81" s="24">
        <f t="shared" si="30"/>
        <v>23049371.249390665</v>
      </c>
      <c r="L81" s="24">
        <f t="shared" si="30"/>
        <v>23246572.857924018</v>
      </c>
    </row>
    <row r="83" spans="1:12">
      <c r="A83" s="4" t="s">
        <v>53</v>
      </c>
    </row>
    <row r="84" spans="1:12">
      <c r="A84" t="s">
        <v>149</v>
      </c>
      <c r="B84" s="10">
        <f>F5</f>
        <v>10000000</v>
      </c>
      <c r="C84" s="10">
        <f>B84*(1+$G$5)</f>
        <v>10500000</v>
      </c>
      <c r="D84" s="10">
        <f t="shared" ref="D84:L84" si="31">C84*(1+$G$5)</f>
        <v>11025000</v>
      </c>
      <c r="E84" s="10">
        <f t="shared" si="31"/>
        <v>11576250</v>
      </c>
      <c r="F84" s="10">
        <f t="shared" si="31"/>
        <v>12155062.5</v>
      </c>
      <c r="G84" s="10">
        <f t="shared" si="31"/>
        <v>12762815.625</v>
      </c>
      <c r="H84" s="10">
        <f t="shared" si="31"/>
        <v>13400956.40625</v>
      </c>
      <c r="I84" s="10">
        <f t="shared" si="31"/>
        <v>14071004.2265625</v>
      </c>
      <c r="J84" s="10">
        <f t="shared" si="31"/>
        <v>14774554.437890626</v>
      </c>
      <c r="K84" s="10">
        <f t="shared" si="31"/>
        <v>15513282.159785159</v>
      </c>
      <c r="L84" s="10">
        <f t="shared" si="31"/>
        <v>16288946.267774418</v>
      </c>
    </row>
    <row r="85" spans="1:12" ht="15" thickBot="1">
      <c r="A85" t="s">
        <v>125</v>
      </c>
      <c r="B85" s="10"/>
      <c r="C85" s="10">
        <f>C84*$H$5</f>
        <v>1050000</v>
      </c>
      <c r="D85" s="10">
        <f t="shared" ref="D85:L85" si="32">D84*$H$5</f>
        <v>1102500</v>
      </c>
      <c r="E85" s="10">
        <f t="shared" si="32"/>
        <v>1157625</v>
      </c>
      <c r="F85" s="10">
        <f t="shared" si="32"/>
        <v>1215506.25</v>
      </c>
      <c r="G85" s="10">
        <f t="shared" si="32"/>
        <v>1276281.5625</v>
      </c>
      <c r="H85" s="10">
        <f t="shared" si="32"/>
        <v>1340095.640625</v>
      </c>
      <c r="I85" s="10">
        <f t="shared" si="32"/>
        <v>1407100.4226562502</v>
      </c>
      <c r="J85" s="10">
        <f t="shared" si="32"/>
        <v>1477455.4437890628</v>
      </c>
      <c r="K85" s="10">
        <f t="shared" si="32"/>
        <v>1551328.215978516</v>
      </c>
      <c r="L85" s="10">
        <f t="shared" si="32"/>
        <v>1628894.6267774419</v>
      </c>
    </row>
    <row r="86" spans="1:12" s="6" customFormat="1" ht="15" thickBot="1">
      <c r="A86" s="5" t="s">
        <v>126</v>
      </c>
      <c r="B86" s="24"/>
      <c r="C86" s="24">
        <f>'Finite Life Analysis'!C84</f>
        <v>500000</v>
      </c>
      <c r="D86" s="24">
        <f>C86*(D48/C48)</f>
        <v>1050400</v>
      </c>
      <c r="E86" s="24">
        <f>D86*(E48/D48)</f>
        <v>1655010.24</v>
      </c>
      <c r="F86" s="24">
        <f>E86*(F48/E48)</f>
        <v>2317897.0081280004</v>
      </c>
      <c r="G86" s="24">
        <f t="shared" ref="G86:L86" si="33">F86*(G48/F48)</f>
        <v>3043398.7716720644</v>
      </c>
      <c r="H86" s="24">
        <f t="shared" si="33"/>
        <v>3196786.0697643366</v>
      </c>
      <c r="I86" s="24">
        <f t="shared" si="33"/>
        <v>3357904.08768046</v>
      </c>
      <c r="J86" s="24">
        <f t="shared" si="33"/>
        <v>3527142.4536995557</v>
      </c>
      <c r="K86" s="24">
        <f t="shared" si="33"/>
        <v>3704910.4333660132</v>
      </c>
      <c r="L86" s="24">
        <f t="shared" si="33"/>
        <v>3891637.9192076605</v>
      </c>
    </row>
    <row r="88" spans="1:12">
      <c r="A88" s="4" t="s">
        <v>54</v>
      </c>
    </row>
    <row r="89" spans="1:12">
      <c r="A89" t="s">
        <v>55</v>
      </c>
      <c r="B89" s="10">
        <f>F6</f>
        <v>8000000</v>
      </c>
      <c r="C89" s="10">
        <f t="shared" ref="C89:L89" si="34">B89*1.05</f>
        <v>8400000</v>
      </c>
      <c r="D89" s="10">
        <f t="shared" si="34"/>
        <v>8820000</v>
      </c>
      <c r="E89" s="10">
        <f t="shared" si="34"/>
        <v>9261000</v>
      </c>
      <c r="F89" s="10">
        <f t="shared" si="34"/>
        <v>9724050</v>
      </c>
      <c r="G89" s="10">
        <f t="shared" si="34"/>
        <v>10210252.5</v>
      </c>
      <c r="H89" s="10">
        <f t="shared" si="34"/>
        <v>10720765.125</v>
      </c>
      <c r="I89" s="10">
        <f t="shared" si="34"/>
        <v>11256803.38125</v>
      </c>
      <c r="J89" s="10">
        <f t="shared" si="34"/>
        <v>11819643.5503125</v>
      </c>
      <c r="K89" s="10">
        <f t="shared" si="34"/>
        <v>12410625.727828126</v>
      </c>
      <c r="L89" s="10">
        <f t="shared" si="34"/>
        <v>13031157.014219534</v>
      </c>
    </row>
    <row r="90" spans="1:12" ht="15" thickBot="1">
      <c r="A90" t="s">
        <v>56</v>
      </c>
      <c r="B90" s="10">
        <f>B89</f>
        <v>8000000</v>
      </c>
      <c r="C90" s="10">
        <f>C89*1.15</f>
        <v>9660000</v>
      </c>
      <c r="D90" s="10">
        <f t="shared" ref="D90:L90" si="35">D89*1.15</f>
        <v>10143000</v>
      </c>
      <c r="E90" s="10">
        <f t="shared" si="35"/>
        <v>10650150</v>
      </c>
      <c r="F90" s="10">
        <f t="shared" si="35"/>
        <v>11182657.5</v>
      </c>
      <c r="G90" s="10">
        <f t="shared" si="35"/>
        <v>11741790.375</v>
      </c>
      <c r="H90" s="10">
        <f t="shared" si="35"/>
        <v>12328879.893749999</v>
      </c>
      <c r="I90" s="10">
        <f t="shared" si="35"/>
        <v>12945323.888437498</v>
      </c>
      <c r="J90" s="10">
        <f t="shared" si="35"/>
        <v>13592590.082859375</v>
      </c>
      <c r="K90" s="10">
        <f t="shared" si="35"/>
        <v>14272219.587002344</v>
      </c>
      <c r="L90" s="10">
        <f t="shared" si="35"/>
        <v>14985830.566352462</v>
      </c>
    </row>
    <row r="91" spans="1:12" s="6" customFormat="1" ht="15" thickBot="1">
      <c r="A91" s="5" t="s">
        <v>107</v>
      </c>
      <c r="B91" s="24"/>
      <c r="C91" s="24">
        <f>C90-C89</f>
        <v>1260000</v>
      </c>
      <c r="D91" s="24">
        <f t="shared" ref="D91:L91" si="36">D90-D89</f>
        <v>1323000</v>
      </c>
      <c r="E91" s="24">
        <f t="shared" si="36"/>
        <v>1389150</v>
      </c>
      <c r="F91" s="24">
        <f t="shared" si="36"/>
        <v>1458607.5</v>
      </c>
      <c r="G91" s="24">
        <f t="shared" si="36"/>
        <v>1531537.875</v>
      </c>
      <c r="H91" s="24">
        <f t="shared" si="36"/>
        <v>1608114.7687499989</v>
      </c>
      <c r="I91" s="24">
        <f t="shared" si="36"/>
        <v>1688520.5071874987</v>
      </c>
      <c r="J91" s="24">
        <f t="shared" si="36"/>
        <v>1772946.5325468741</v>
      </c>
      <c r="K91" s="24">
        <f t="shared" si="36"/>
        <v>1861593.859174218</v>
      </c>
      <c r="L91" s="24">
        <f t="shared" si="36"/>
        <v>1954673.5521329287</v>
      </c>
    </row>
    <row r="93" spans="1:12">
      <c r="A93" s="4" t="s">
        <v>57</v>
      </c>
    </row>
    <row r="94" spans="1:12">
      <c r="A94" t="s">
        <v>204</v>
      </c>
      <c r="B94" s="13">
        <f>'Finite Life Analysis'!B92</f>
        <v>0.4</v>
      </c>
      <c r="C94" s="13">
        <f>B94*(1+$G$12)</f>
        <v>0.44800000000000006</v>
      </c>
      <c r="D94" s="13">
        <f t="shared" ref="D94:L94" si="37">C94*(1+$G$12)</f>
        <v>0.50176000000000009</v>
      </c>
      <c r="E94" s="13">
        <f t="shared" si="37"/>
        <v>0.56197120000000012</v>
      </c>
      <c r="F94" s="13">
        <f t="shared" si="37"/>
        <v>0.62940774400000021</v>
      </c>
      <c r="G94" s="13">
        <f t="shared" si="37"/>
        <v>0.70493667328000031</v>
      </c>
      <c r="H94" s="13">
        <f t="shared" si="37"/>
        <v>0.7895290740736004</v>
      </c>
      <c r="I94" s="13">
        <f t="shared" si="37"/>
        <v>0.88427256296243251</v>
      </c>
      <c r="J94" s="13">
        <f t="shared" si="37"/>
        <v>0.99038527051792447</v>
      </c>
      <c r="K94" s="13">
        <f t="shared" si="37"/>
        <v>1.1092315029800754</v>
      </c>
      <c r="L94" s="13">
        <f t="shared" si="37"/>
        <v>1.2423392833376845</v>
      </c>
    </row>
    <row r="95" spans="1:12">
      <c r="A95" t="s">
        <v>259</v>
      </c>
      <c r="B95" s="13"/>
      <c r="C95" s="13">
        <f>'Finite Life Analysis'!C93</f>
        <v>0.10400000000000001</v>
      </c>
      <c r="D95" s="13">
        <f>'Finite Life Analysis'!D93</f>
        <v>0.21631999999999998</v>
      </c>
      <c r="E95" s="13">
        <f>'Finite Life Analysis'!E93</f>
        <v>0.33745919999999996</v>
      </c>
      <c r="F95" s="13">
        <f>'Finite Life Analysis'!F93</f>
        <v>0.46794342400000011</v>
      </c>
      <c r="G95" s="13">
        <f>'Finite Life Analysis'!G93</f>
        <v>0.60832645120000017</v>
      </c>
      <c r="H95" s="13">
        <f>'Finite Life Analysis'!H93</f>
        <v>0.63265950924800018</v>
      </c>
      <c r="I95" s="13">
        <f>'Finite Life Analysis'!I93</f>
        <v>0.65796588961792024</v>
      </c>
      <c r="J95" s="13">
        <f>'Finite Life Analysis'!J93</f>
        <v>0.68428452520263716</v>
      </c>
      <c r="K95" s="13">
        <f>'Finite Life Analysis'!K93</f>
        <v>0.71165590621074259</v>
      </c>
      <c r="L95" s="13">
        <f>'Finite Life Analysis'!L93</f>
        <v>0.74012214245917241</v>
      </c>
    </row>
    <row r="96" spans="1:12">
      <c r="A96" t="s">
        <v>113</v>
      </c>
      <c r="B96" s="75">
        <f>B94+B95</f>
        <v>0.4</v>
      </c>
      <c r="C96" s="18">
        <f>C94+C95</f>
        <v>0.55200000000000005</v>
      </c>
      <c r="D96" s="18">
        <f t="shared" ref="D96:L96" si="38">D94+D95</f>
        <v>0.71808000000000005</v>
      </c>
      <c r="E96" s="18">
        <f t="shared" si="38"/>
        <v>0.89943040000000007</v>
      </c>
      <c r="F96" s="18">
        <f t="shared" si="38"/>
        <v>1.0973511680000003</v>
      </c>
      <c r="G96" s="18">
        <f t="shared" si="38"/>
        <v>1.3132631244800006</v>
      </c>
      <c r="H96" s="18">
        <f t="shared" si="38"/>
        <v>1.4221885833216006</v>
      </c>
      <c r="I96" s="18">
        <f t="shared" si="38"/>
        <v>1.5422384525803527</v>
      </c>
      <c r="J96" s="18">
        <f t="shared" si="38"/>
        <v>1.6746697957205616</v>
      </c>
      <c r="K96" s="18">
        <f t="shared" si="38"/>
        <v>1.820887409190818</v>
      </c>
      <c r="L96" s="18">
        <f t="shared" si="38"/>
        <v>1.9824614257968569</v>
      </c>
    </row>
    <row r="97" spans="1:12" ht="15" thickBot="1">
      <c r="B97" s="75"/>
      <c r="C97" s="86"/>
      <c r="D97" s="86"/>
      <c r="E97" s="86"/>
      <c r="F97" s="86"/>
      <c r="G97" s="86"/>
      <c r="H97" s="86"/>
      <c r="I97" s="86"/>
      <c r="J97" s="86"/>
      <c r="K97" s="87"/>
      <c r="L97" s="86"/>
    </row>
    <row r="98" spans="1:12" s="6" customFormat="1" ht="15" thickBot="1">
      <c r="A98" s="5" t="s">
        <v>58</v>
      </c>
      <c r="B98" s="25"/>
      <c r="C98" s="25"/>
      <c r="D98" s="25"/>
      <c r="E98" s="78">
        <f>'Finite Life Analysis'!E96</f>
        <v>5151505</v>
      </c>
      <c r="F98" s="25"/>
      <c r="G98" s="78"/>
      <c r="H98" s="24"/>
      <c r="I98" s="25"/>
      <c r="J98" s="135">
        <f>'Finite Life Analysis'!J96</f>
        <v>5414283.5281404015</v>
      </c>
      <c r="K98" s="77"/>
      <c r="L98" s="25"/>
    </row>
    <row r="99" spans="1:12" s="4" customFormat="1">
      <c r="A99" s="4" t="s">
        <v>112</v>
      </c>
      <c r="I99" s="29"/>
      <c r="J99" s="29"/>
      <c r="K99" s="29"/>
      <c r="L99" s="29"/>
    </row>
    <row r="100" spans="1:12">
      <c r="A100" t="s">
        <v>116</v>
      </c>
      <c r="E100" s="76"/>
      <c r="F100" s="76">
        <f>E98/20</f>
        <v>257575.25</v>
      </c>
      <c r="G100" s="76">
        <f>F100</f>
        <v>257575.25</v>
      </c>
      <c r="H100" s="76">
        <f>G100</f>
        <v>257575.25</v>
      </c>
      <c r="I100" s="76">
        <f>H100</f>
        <v>257575.25</v>
      </c>
      <c r="J100" s="76">
        <f>I100</f>
        <v>257575.25</v>
      </c>
      <c r="K100" s="76">
        <f>'Finite Life Analysis'!K98</f>
        <v>-13138.926407020073</v>
      </c>
      <c r="L100" s="36">
        <f>'Finite Life Analysis'!L98</f>
        <v>-13138.926407020073</v>
      </c>
    </row>
    <row r="101" spans="1:12">
      <c r="A101" t="s">
        <v>117</v>
      </c>
      <c r="E101" s="36"/>
      <c r="F101" s="36">
        <f>E98-F100</f>
        <v>4893929.75</v>
      </c>
      <c r="G101" s="36">
        <f t="shared" ref="G101:L101" si="39">F101-G100</f>
        <v>4636354.5</v>
      </c>
      <c r="H101" s="36">
        <f t="shared" si="39"/>
        <v>4378779.25</v>
      </c>
      <c r="I101" s="36">
        <f t="shared" si="39"/>
        <v>4121204</v>
      </c>
      <c r="J101" s="36">
        <f t="shared" si="39"/>
        <v>3863628.75</v>
      </c>
      <c r="K101" s="36">
        <f t="shared" si="39"/>
        <v>3876767.6764070201</v>
      </c>
      <c r="L101" s="36">
        <f t="shared" si="39"/>
        <v>3889906.6028140401</v>
      </c>
    </row>
    <row r="102" spans="1:12" s="4" customFormat="1">
      <c r="A102" s="4" t="s">
        <v>60</v>
      </c>
      <c r="I102" s="26"/>
      <c r="J102" s="27"/>
      <c r="K102" s="27"/>
      <c r="L102" s="27"/>
    </row>
    <row r="103" spans="1:12">
      <c r="A103" t="s">
        <v>61</v>
      </c>
      <c r="B103" s="8"/>
      <c r="C103" s="11">
        <f>C57</f>
        <v>-2559000</v>
      </c>
      <c r="D103" s="11">
        <f>D57</f>
        <v>-1417561.2000000011</v>
      </c>
      <c r="E103" s="11">
        <f t="shared" ref="E103:L103" si="40">E57</f>
        <v>-189150.2095950013</v>
      </c>
      <c r="F103" s="11">
        <f t="shared" si="40"/>
        <v>942989.11980759166</v>
      </c>
      <c r="G103" s="11">
        <f t="shared" si="40"/>
        <v>2374994.4073882867</v>
      </c>
      <c r="H103" s="11">
        <f t="shared" si="40"/>
        <v>2582641.995371785</v>
      </c>
      <c r="I103" s="11">
        <f t="shared" si="40"/>
        <v>2799387.5526160598</v>
      </c>
      <c r="J103" s="11">
        <f t="shared" si="40"/>
        <v>3025735.1134017035</v>
      </c>
      <c r="K103" s="11">
        <f t="shared" si="40"/>
        <v>3465245.546426693</v>
      </c>
      <c r="L103" s="11">
        <f t="shared" si="40"/>
        <v>3712395.0390406139</v>
      </c>
    </row>
    <row r="104" spans="1:12" ht="15" thickBot="1">
      <c r="A104" t="s">
        <v>62</v>
      </c>
      <c r="B104" s="8"/>
      <c r="C104" s="32">
        <f>(C78+C81)/2+C101+(C70+D70)/2</f>
        <v>26677139.199999999</v>
      </c>
      <c r="D104" s="32">
        <f t="shared" ref="D104:K104" si="41">(D78+D81)/2+0.2*D101+(D70+E70)/2</f>
        <v>26432085.323520001</v>
      </c>
      <c r="E104" s="32">
        <f t="shared" si="41"/>
        <v>26537720.684130546</v>
      </c>
      <c r="F104" s="32">
        <f t="shared" si="41"/>
        <v>27957246.805320203</v>
      </c>
      <c r="G104" s="32">
        <f t="shared" si="41"/>
        <v>28293147.583497316</v>
      </c>
      <c r="H104" s="32">
        <f t="shared" si="41"/>
        <v>28540063.110460486</v>
      </c>
      <c r="I104" s="32">
        <f t="shared" si="41"/>
        <v>28819874.300394528</v>
      </c>
      <c r="J104" s="32">
        <f t="shared" si="41"/>
        <v>29133689.478353232</v>
      </c>
      <c r="K104" s="32">
        <f t="shared" si="41"/>
        <v>29536870.213366166</v>
      </c>
      <c r="L104" s="32">
        <f>(L78+L81)/2+(L70+0)/2</f>
        <v>26754137.492383756</v>
      </c>
    </row>
    <row r="105" spans="1:12" s="6" customFormat="1" ht="15" thickBot="1">
      <c r="A105" s="5" t="s">
        <v>63</v>
      </c>
      <c r="B105" s="8"/>
      <c r="C105" s="13">
        <f>C103/C104</f>
        <v>-9.5924828401390203E-2</v>
      </c>
      <c r="D105" s="13">
        <f>D103/D104</f>
        <v>-5.363032022065304E-2</v>
      </c>
      <c r="E105" s="13">
        <f>E103/E104</f>
        <v>-7.1275981779442121E-3</v>
      </c>
      <c r="F105" s="13">
        <f t="shared" ref="F105:L105" si="42">F103/F104</f>
        <v>3.3729684699429809E-2</v>
      </c>
      <c r="G105" s="13">
        <f t="shared" si="42"/>
        <v>8.3942389243873358E-2</v>
      </c>
      <c r="H105" s="13">
        <f t="shared" si="42"/>
        <v>9.0491810945757742E-2</v>
      </c>
      <c r="I105" s="13">
        <f t="shared" si="42"/>
        <v>9.7133926520204764E-2</v>
      </c>
      <c r="J105" s="13">
        <f t="shared" si="42"/>
        <v>0.10385691505533036</v>
      </c>
      <c r="K105" s="13">
        <f t="shared" si="42"/>
        <v>0.11731932061165315</v>
      </c>
      <c r="L105" s="13">
        <f t="shared" si="42"/>
        <v>0.13875966063557241</v>
      </c>
    </row>
    <row r="106" spans="1:12" ht="15" thickBot="1">
      <c r="A106" t="s">
        <v>74</v>
      </c>
      <c r="I106" s="2"/>
      <c r="J106" s="1"/>
      <c r="K106" s="1"/>
      <c r="L106" s="1"/>
    </row>
    <row r="107" spans="1:12" ht="15" thickBot="1">
      <c r="A107" t="s">
        <v>75</v>
      </c>
      <c r="B107" s="12">
        <f>AVERAGE(C105:L105)</f>
        <v>5.0855096091183417E-2</v>
      </c>
      <c r="I107" s="2"/>
      <c r="J107" s="1"/>
      <c r="K107" s="1"/>
      <c r="L107" s="1"/>
    </row>
    <row r="108" spans="1:12">
      <c r="I108" s="2"/>
      <c r="J108" s="1"/>
      <c r="K108" s="1"/>
      <c r="L108" s="1"/>
    </row>
    <row r="109" spans="1:12" s="4" customFormat="1">
      <c r="A109" s="4" t="s">
        <v>76</v>
      </c>
      <c r="I109" s="26"/>
      <c r="J109" s="27"/>
      <c r="K109" s="27"/>
      <c r="L109" s="27"/>
    </row>
    <row r="110" spans="1:12">
      <c r="A110" t="s">
        <v>256</v>
      </c>
      <c r="B110" s="13">
        <f>B32</f>
        <v>7.8475834781900997E-2</v>
      </c>
    </row>
    <row r="111" spans="1:12">
      <c r="A111" s="4" t="s">
        <v>208</v>
      </c>
      <c r="B111" s="15"/>
    </row>
    <row r="112" spans="1:12">
      <c r="A112" t="s">
        <v>136</v>
      </c>
      <c r="B112" s="15"/>
      <c r="C112" s="76">
        <f>G17</f>
        <v>500000</v>
      </c>
      <c r="D112" s="76">
        <f>C112*(1+$B$7)</f>
        <v>505000</v>
      </c>
      <c r="E112" s="76">
        <f t="shared" ref="E112:L112" si="43">D112*(1+$B$7)</f>
        <v>510050</v>
      </c>
      <c r="F112" s="76">
        <f t="shared" si="43"/>
        <v>515150.5</v>
      </c>
      <c r="G112" s="76">
        <f t="shared" si="43"/>
        <v>520302.005</v>
      </c>
      <c r="H112" s="76">
        <f t="shared" si="43"/>
        <v>525505.02505000005</v>
      </c>
      <c r="I112" s="76">
        <f t="shared" si="43"/>
        <v>530760.07530050003</v>
      </c>
      <c r="J112" s="76">
        <f t="shared" si="43"/>
        <v>536067.67605350504</v>
      </c>
      <c r="K112" s="76">
        <f t="shared" si="43"/>
        <v>541428.35281404015</v>
      </c>
      <c r="L112" s="76">
        <f t="shared" si="43"/>
        <v>546842.63634218054</v>
      </c>
    </row>
    <row r="113" spans="1:12">
      <c r="A113" t="s">
        <v>135</v>
      </c>
      <c r="B113" s="15"/>
      <c r="C113" s="76">
        <f>C112*$G$18</f>
        <v>200000</v>
      </c>
      <c r="D113" s="76">
        <f t="shared" ref="D113:K113" si="44">D112*$G$18</f>
        <v>202000</v>
      </c>
      <c r="E113" s="76">
        <f t="shared" si="44"/>
        <v>204020</v>
      </c>
      <c r="F113" s="76">
        <f t="shared" si="44"/>
        <v>206060.2</v>
      </c>
      <c r="G113" s="76">
        <f t="shared" si="44"/>
        <v>208120.80200000003</v>
      </c>
      <c r="H113" s="76">
        <f t="shared" si="44"/>
        <v>210202.01002000005</v>
      </c>
      <c r="I113" s="76">
        <f t="shared" si="44"/>
        <v>212304.03012020001</v>
      </c>
      <c r="J113" s="76">
        <f t="shared" si="44"/>
        <v>214427.07042140202</v>
      </c>
      <c r="K113" s="76">
        <f t="shared" si="44"/>
        <v>216571.34112561608</v>
      </c>
      <c r="L113" s="76">
        <f>L112*$G$18</f>
        <v>218737.05453687222</v>
      </c>
    </row>
    <row r="114" spans="1:12">
      <c r="A114" t="s">
        <v>141</v>
      </c>
      <c r="B114" s="15"/>
      <c r="C114" s="76"/>
      <c r="D114" s="76"/>
      <c r="E114" s="76"/>
      <c r="F114" s="76"/>
      <c r="G114" s="76"/>
      <c r="H114" s="76"/>
      <c r="I114" s="76"/>
      <c r="J114" s="76"/>
      <c r="K114" s="76"/>
      <c r="L114" s="76">
        <f>L113*(1+B7)/(B36-B7)</f>
        <v>2308000.8571088826</v>
      </c>
    </row>
    <row r="115" spans="1:12">
      <c r="A115" t="s">
        <v>139</v>
      </c>
      <c r="B115" s="15"/>
      <c r="C115" s="76">
        <f>C113/(1+$B$36)^C37</f>
        <v>180877.43512628437</v>
      </c>
      <c r="D115" s="76">
        <f t="shared" ref="D115:K115" si="45">D113/(1+$B$36)^D37</f>
        <v>165219.06501620921</v>
      </c>
      <c r="E115" s="76">
        <f t="shared" si="45"/>
        <v>150916.22360617848</v>
      </c>
      <c r="F115" s="76">
        <f t="shared" si="45"/>
        <v>137851.56419639336</v>
      </c>
      <c r="G115" s="76">
        <f t="shared" si="45"/>
        <v>125917.89866794935</v>
      </c>
      <c r="H115" s="76">
        <f t="shared" si="45"/>
        <v>115017.31806512779</v>
      </c>
      <c r="I115" s="76">
        <f t="shared" si="45"/>
        <v>105060.38930795804</v>
      </c>
      <c r="J115" s="76">
        <f t="shared" si="45"/>
        <v>95965.421444531428</v>
      </c>
      <c r="K115" s="76">
        <f t="shared" si="45"/>
        <v>87657.795423083866</v>
      </c>
      <c r="L115" s="76">
        <f>(L113+L114)/(1+$B$36)^L37</f>
        <v>924919.95650718047</v>
      </c>
    </row>
    <row r="116" spans="1:12">
      <c r="A116" t="s">
        <v>209</v>
      </c>
      <c r="B116" s="99">
        <f>SUM(C115:L115)</f>
        <v>2089403.0673608966</v>
      </c>
      <c r="C116" s="76"/>
      <c r="D116" s="76"/>
      <c r="E116" s="76"/>
      <c r="F116" s="76"/>
      <c r="G116" s="76"/>
      <c r="H116" s="76"/>
      <c r="I116" s="76"/>
      <c r="J116" s="76"/>
      <c r="K116" s="76"/>
      <c r="L116" s="76"/>
    </row>
    <row r="117" spans="1:12" s="19" customFormat="1">
      <c r="B117" s="15"/>
    </row>
    <row r="118" spans="1:12" s="19" customFormat="1">
      <c r="A118" s="152" t="s">
        <v>281</v>
      </c>
      <c r="B118" s="153">
        <f>B64</f>
        <v>-27598000</v>
      </c>
      <c r="C118" s="153">
        <f t="shared" ref="C118:L118" si="46">C64</f>
        <v>-1444778.4</v>
      </c>
      <c r="D118" s="153">
        <f t="shared" si="46"/>
        <v>-627139.1520400017</v>
      </c>
      <c r="E118" s="153">
        <f t="shared" si="46"/>
        <v>-4855232.0124337375</v>
      </c>
      <c r="F118" s="153">
        <f t="shared" si="46"/>
        <v>1389925.3488261681</v>
      </c>
      <c r="G118" s="153">
        <f t="shared" si="46"/>
        <v>3290164.9912816198</v>
      </c>
      <c r="H118" s="153">
        <f t="shared" si="46"/>
        <v>3511778.0134225572</v>
      </c>
      <c r="I118" s="153">
        <f t="shared" si="46"/>
        <v>3743752.2620191514</v>
      </c>
      <c r="J118" s="153">
        <f t="shared" si="46"/>
        <v>9400880.5903263167</v>
      </c>
      <c r="K118" s="153">
        <f t="shared" si="46"/>
        <v>4173163.8105665585</v>
      </c>
      <c r="L118" s="153">
        <f t="shared" si="46"/>
        <v>73988151.810612619</v>
      </c>
    </row>
    <row r="119" spans="1:12">
      <c r="A119" t="s">
        <v>261</v>
      </c>
      <c r="B119" s="10">
        <f>B64/(1+$B$110)^B37</f>
        <v>-27598000</v>
      </c>
      <c r="C119" s="10">
        <f t="shared" ref="C119:L119" si="47">C64/(1+$B$110)^C37</f>
        <v>-1339648.375424356</v>
      </c>
      <c r="D119" s="10">
        <f t="shared" si="47"/>
        <v>-539191.55023122078</v>
      </c>
      <c r="E119" s="10">
        <f t="shared" si="47"/>
        <v>-3870603.9261202174</v>
      </c>
      <c r="F119" s="10">
        <f t="shared" si="47"/>
        <v>1027424.2260406823</v>
      </c>
      <c r="G119" s="10">
        <f t="shared" si="47"/>
        <v>2255098.8580291527</v>
      </c>
      <c r="H119" s="10">
        <f t="shared" si="47"/>
        <v>2231847.6479594391</v>
      </c>
      <c r="I119" s="10">
        <f t="shared" si="47"/>
        <v>2206145.6103855362</v>
      </c>
      <c r="J119" s="10">
        <f t="shared" si="47"/>
        <v>5136711.6735800393</v>
      </c>
      <c r="K119" s="10">
        <f t="shared" si="47"/>
        <v>2114324.6207248108</v>
      </c>
      <c r="L119" s="10">
        <f t="shared" si="47"/>
        <v>34758257.405945383</v>
      </c>
    </row>
    <row r="120" spans="1:12">
      <c r="A120" t="s">
        <v>266</v>
      </c>
      <c r="B120" s="34">
        <f>SUM(B119:L119)</f>
        <v>16382366.19088925</v>
      </c>
    </row>
    <row r="121" spans="1:12" ht="15" thickBot="1">
      <c r="A121" t="s">
        <v>209</v>
      </c>
      <c r="B121" s="95">
        <f>B116</f>
        <v>2089403.0673608966</v>
      </c>
    </row>
    <row r="122" spans="1:12" ht="15" thickBot="1">
      <c r="A122" t="s">
        <v>142</v>
      </c>
      <c r="B122" s="98">
        <f>B120+B121</f>
        <v>18471769.258250147</v>
      </c>
    </row>
    <row r="124" spans="1:12">
      <c r="A124" s="101" t="s">
        <v>148</v>
      </c>
      <c r="B124" s="101"/>
    </row>
    <row r="125" spans="1:12">
      <c r="A125" t="s">
        <v>267</v>
      </c>
      <c r="B125" s="36">
        <f>B64</f>
        <v>-27598000</v>
      </c>
      <c r="C125" s="36">
        <f t="shared" ref="C125:K125" si="48">C64+C113</f>
        <v>-1244778.3999999999</v>
      </c>
      <c r="D125" s="36">
        <f t="shared" si="48"/>
        <v>-425139.1520400017</v>
      </c>
      <c r="E125" s="36">
        <f t="shared" si="48"/>
        <v>-4651212.0124337375</v>
      </c>
      <c r="F125" s="36">
        <f t="shared" si="48"/>
        <v>1595985.5488261681</v>
      </c>
      <c r="G125" s="36">
        <f t="shared" si="48"/>
        <v>3498285.7932816199</v>
      </c>
      <c r="H125" s="36">
        <f t="shared" si="48"/>
        <v>3721980.0234425571</v>
      </c>
      <c r="I125" s="36">
        <f t="shared" si="48"/>
        <v>3956056.2921393514</v>
      </c>
      <c r="J125" s="36">
        <f t="shared" si="48"/>
        <v>9615307.6607477181</v>
      </c>
      <c r="K125" s="36">
        <f t="shared" si="48"/>
        <v>4389735.1516921744</v>
      </c>
      <c r="L125" s="36">
        <f>L64-L63+L113</f>
        <v>4799126.0949865216</v>
      </c>
    </row>
    <row r="126" spans="1:12">
      <c r="A126" t="s">
        <v>268</v>
      </c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>
        <f>L125/(B129-0.01)</f>
        <v>49128158.842953041</v>
      </c>
    </row>
    <row r="127" spans="1:12">
      <c r="A127" t="s">
        <v>147</v>
      </c>
      <c r="B127" s="36">
        <f t="shared" ref="B127:K127" si="49">B125/(1+$B$129)^B37</f>
        <v>-27598000</v>
      </c>
      <c r="C127" s="36">
        <f t="shared" si="49"/>
        <v>-1123764.8262903851</v>
      </c>
      <c r="D127" s="36">
        <f t="shared" si="49"/>
        <v>-346495.72756329842</v>
      </c>
      <c r="E127" s="36">
        <f t="shared" si="49"/>
        <v>-3422286.065784357</v>
      </c>
      <c r="F127" s="36">
        <f t="shared" si="49"/>
        <v>1060138.2849816226</v>
      </c>
      <c r="G127" s="36">
        <f t="shared" si="49"/>
        <v>2097839.4171867366</v>
      </c>
      <c r="H127" s="36">
        <f t="shared" si="49"/>
        <v>2014996.9066107641</v>
      </c>
      <c r="I127" s="36">
        <f t="shared" si="49"/>
        <v>1933509.0072625338</v>
      </c>
      <c r="J127" s="36">
        <f t="shared" si="49"/>
        <v>4242582.6614942551</v>
      </c>
      <c r="K127" s="36">
        <f t="shared" si="49"/>
        <v>1748593.4101397409</v>
      </c>
      <c r="L127" s="36">
        <f>(L125+L126)/(1+$B$129)^L37</f>
        <v>19392886.931887273</v>
      </c>
    </row>
    <row r="128" spans="1:12" ht="15" thickBot="1">
      <c r="A128" t="s">
        <v>145</v>
      </c>
      <c r="B128" s="76">
        <f>SUM(B127:L127)</f>
        <v>-7.5113028287887573E-5</v>
      </c>
    </row>
    <row r="129" spans="1:2" ht="15" thickBot="1">
      <c r="A129" t="s">
        <v>146</v>
      </c>
      <c r="B129" s="12">
        <v>0.10768585283905688</v>
      </c>
    </row>
  </sheetData>
  <phoneticPr fontId="7" type="noConversion"/>
  <pageMargins left="0.75" right="0.75" top="1" bottom="1" header="0.5" footer="0.5"/>
  <pageSetup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6"/>
  <sheetViews>
    <sheetView topLeftCell="A58" workbookViewId="0">
      <selection activeCell="B76" sqref="B76"/>
    </sheetView>
  </sheetViews>
  <sheetFormatPr baseColWidth="10" defaultRowHeight="14"/>
  <cols>
    <col min="1" max="1" width="24.85546875" bestFit="1" customWidth="1"/>
    <col min="2" max="2" width="22.140625" bestFit="1" customWidth="1"/>
    <col min="3" max="3" width="27.85546875" style="68" bestFit="1" customWidth="1"/>
    <col min="4" max="4" width="19.5703125" style="68" bestFit="1" customWidth="1"/>
    <col min="5" max="5" width="9" style="68" bestFit="1" customWidth="1"/>
    <col min="6" max="7" width="12" bestFit="1" customWidth="1"/>
    <col min="9" max="9" width="12.7109375" bestFit="1" customWidth="1"/>
    <col min="10" max="10" width="10.7109375" style="113"/>
  </cols>
  <sheetData>
    <row r="1" spans="1:10" ht="15">
      <c r="A1" s="107" t="s">
        <v>170</v>
      </c>
      <c r="B1" s="108" t="s">
        <v>171</v>
      </c>
      <c r="C1" s="108" t="s">
        <v>172</v>
      </c>
      <c r="D1" s="108" t="s">
        <v>173</v>
      </c>
      <c r="E1" s="108" t="s">
        <v>174</v>
      </c>
      <c r="F1" s="110" t="s">
        <v>131</v>
      </c>
      <c r="G1" s="110" t="s">
        <v>132</v>
      </c>
      <c r="H1" s="110" t="s">
        <v>133</v>
      </c>
      <c r="I1" s="110" t="s">
        <v>134</v>
      </c>
      <c r="J1" s="110" t="s">
        <v>181</v>
      </c>
    </row>
    <row r="2" spans="1:10" ht="17">
      <c r="A2" s="140" t="s">
        <v>212</v>
      </c>
      <c r="B2" s="141">
        <v>626976.30000000005</v>
      </c>
      <c r="C2" s="142">
        <v>19384</v>
      </c>
      <c r="D2" s="142">
        <v>13337</v>
      </c>
      <c r="E2" s="143">
        <v>1.9</v>
      </c>
      <c r="F2" s="111">
        <f>B2+D2</f>
        <v>640313.30000000005</v>
      </c>
      <c r="G2" s="111">
        <f>F2-C2</f>
        <v>620929.30000000005</v>
      </c>
      <c r="H2" s="112">
        <f>D2/B2</f>
        <v>2.1271936435236866E-2</v>
      </c>
      <c r="I2" s="112">
        <f>C2/F2</f>
        <v>3.027268057683637E-2</v>
      </c>
      <c r="J2" s="114">
        <f>(E2/(1+(1-0.4)*D2/B2))/(1-I2)</f>
        <v>1.9346217861004789</v>
      </c>
    </row>
    <row r="3" spans="1:10" ht="34">
      <c r="A3" s="140" t="s">
        <v>201</v>
      </c>
      <c r="B3" s="141">
        <v>205924.4</v>
      </c>
      <c r="C3" s="142">
        <v>84158.3</v>
      </c>
      <c r="D3" s="142">
        <v>232298.7</v>
      </c>
      <c r="E3" s="143">
        <v>1.04</v>
      </c>
      <c r="F3" s="111">
        <f t="shared" ref="F3:F26" si="0">B3+D3</f>
        <v>438223.1</v>
      </c>
      <c r="G3" s="111">
        <f t="shared" ref="G3:G26" si="1">F3-C3</f>
        <v>354064.8</v>
      </c>
      <c r="H3" s="112">
        <f t="shared" ref="H3:H26" si="2">D3/B3</f>
        <v>1.1280775857547722</v>
      </c>
      <c r="I3" s="112">
        <f t="shared" ref="I3:I26" si="3">C3/F3</f>
        <v>0.19204441755808857</v>
      </c>
      <c r="J3" s="114">
        <f t="shared" ref="J3:J63" si="4">(E3/(1+(1-0.4)*D3/B3))/(1-I3)</f>
        <v>0.76763104648755043</v>
      </c>
    </row>
    <row r="4" spans="1:10" ht="17">
      <c r="A4" s="140" t="s">
        <v>203</v>
      </c>
      <c r="B4" s="141">
        <v>123308.3</v>
      </c>
      <c r="C4" s="142">
        <v>58506.400000000001</v>
      </c>
      <c r="D4" s="142">
        <v>257853.2</v>
      </c>
      <c r="E4" s="143">
        <v>1.47</v>
      </c>
      <c r="F4" s="111">
        <f t="shared" si="0"/>
        <v>381161.5</v>
      </c>
      <c r="G4" s="111">
        <f t="shared" si="1"/>
        <v>322655.09999999998</v>
      </c>
      <c r="H4" s="112">
        <f t="shared" si="2"/>
        <v>2.091126063695631</v>
      </c>
      <c r="I4" s="112">
        <f t="shared" si="3"/>
        <v>0.15349504081603205</v>
      </c>
      <c r="J4" s="114">
        <f t="shared" si="4"/>
        <v>0.77020042815254075</v>
      </c>
    </row>
    <row r="5" spans="1:10" ht="17">
      <c r="A5" s="140" t="s">
        <v>186</v>
      </c>
      <c r="B5" s="141">
        <v>90942</v>
      </c>
      <c r="C5" s="142">
        <v>31203.7</v>
      </c>
      <c r="D5" s="142">
        <v>178400</v>
      </c>
      <c r="E5" s="143">
        <v>1.75</v>
      </c>
      <c r="F5" s="111">
        <f t="shared" si="0"/>
        <v>269342</v>
      </c>
      <c r="G5" s="111">
        <f t="shared" si="1"/>
        <v>238138.3</v>
      </c>
      <c r="H5" s="112">
        <f t="shared" si="2"/>
        <v>1.9616898682676871</v>
      </c>
      <c r="I5" s="112">
        <f t="shared" si="3"/>
        <v>0.1158515938843552</v>
      </c>
      <c r="J5" s="114">
        <f t="shared" si="4"/>
        <v>0.90918376943295209</v>
      </c>
    </row>
    <row r="6" spans="1:10" ht="34">
      <c r="A6" s="140" t="s">
        <v>213</v>
      </c>
      <c r="B6" s="141">
        <v>82242.2</v>
      </c>
      <c r="C6" s="142">
        <v>1944.6</v>
      </c>
      <c r="D6" s="142">
        <v>8884.4</v>
      </c>
      <c r="E6" s="143">
        <v>1.1000000000000001</v>
      </c>
      <c r="F6" s="111">
        <f t="shared" si="0"/>
        <v>91126.599999999991</v>
      </c>
      <c r="G6" s="111">
        <f t="shared" si="1"/>
        <v>89181.999999999985</v>
      </c>
      <c r="H6" s="112">
        <f t="shared" si="2"/>
        <v>0.1080272658075781</v>
      </c>
      <c r="I6" s="112">
        <f t="shared" si="3"/>
        <v>2.1339543009395719E-2</v>
      </c>
      <c r="J6" s="114">
        <f t="shared" si="4"/>
        <v>1.0555673035558266</v>
      </c>
    </row>
    <row r="7" spans="1:10" ht="34">
      <c r="A7" s="140" t="s">
        <v>188</v>
      </c>
      <c r="B7" s="141">
        <v>75892.899999999994</v>
      </c>
      <c r="C7" s="142">
        <v>23938</v>
      </c>
      <c r="D7" s="142">
        <v>111072</v>
      </c>
      <c r="E7" s="143">
        <v>1.7</v>
      </c>
      <c r="F7" s="111">
        <f t="shared" si="0"/>
        <v>186964.9</v>
      </c>
      <c r="G7" s="111">
        <f t="shared" si="1"/>
        <v>163026.9</v>
      </c>
      <c r="H7" s="112">
        <f t="shared" si="2"/>
        <v>1.4635361147090178</v>
      </c>
      <c r="I7" s="112">
        <f t="shared" si="3"/>
        <v>0.12803472737396165</v>
      </c>
      <c r="J7" s="114">
        <f t="shared" si="4"/>
        <v>1.0380684916641008</v>
      </c>
    </row>
    <row r="8" spans="1:10" ht="17">
      <c r="A8" s="140" t="s">
        <v>214</v>
      </c>
      <c r="B8" s="141">
        <v>64896.5</v>
      </c>
      <c r="C8" s="142">
        <v>6490.9</v>
      </c>
      <c r="D8" s="142">
        <v>1444.6</v>
      </c>
      <c r="E8" s="143">
        <v>1.95</v>
      </c>
      <c r="F8" s="111">
        <f t="shared" si="0"/>
        <v>66341.100000000006</v>
      </c>
      <c r="G8" s="111">
        <f t="shared" si="1"/>
        <v>59850.200000000004</v>
      </c>
      <c r="H8" s="112">
        <f t="shared" si="2"/>
        <v>2.2260060249782346E-2</v>
      </c>
      <c r="I8" s="112">
        <f t="shared" si="3"/>
        <v>9.7841308027753524E-2</v>
      </c>
      <c r="J8" s="114">
        <f t="shared" si="4"/>
        <v>2.1329939069571084</v>
      </c>
    </row>
    <row r="9" spans="1:10" ht="34">
      <c r="A9" s="140" t="s">
        <v>215</v>
      </c>
      <c r="B9" s="141">
        <v>59446.2</v>
      </c>
      <c r="C9" s="142">
        <v>23432.400000000001</v>
      </c>
      <c r="D9" s="142">
        <v>131608.70000000001</v>
      </c>
      <c r="E9" s="143">
        <v>1.27</v>
      </c>
      <c r="F9" s="111">
        <f t="shared" si="0"/>
        <v>191054.90000000002</v>
      </c>
      <c r="G9" s="111">
        <f t="shared" si="1"/>
        <v>167622.50000000003</v>
      </c>
      <c r="H9" s="112">
        <f t="shared" si="2"/>
        <v>2.2139127479973491</v>
      </c>
      <c r="I9" s="112">
        <f t="shared" si="3"/>
        <v>0.12264746939230556</v>
      </c>
      <c r="J9" s="114">
        <f t="shared" si="4"/>
        <v>0.62170128059993557</v>
      </c>
    </row>
    <row r="10" spans="1:10" ht="34">
      <c r="A10" s="140" t="s">
        <v>192</v>
      </c>
      <c r="B10" s="141">
        <v>48992.6</v>
      </c>
      <c r="C10" s="142">
        <v>31251.9</v>
      </c>
      <c r="D10" s="142">
        <v>77335.199999999997</v>
      </c>
      <c r="E10" s="143">
        <v>1.1499999999999999</v>
      </c>
      <c r="F10" s="111">
        <f t="shared" si="0"/>
        <v>126327.79999999999</v>
      </c>
      <c r="G10" s="111">
        <f t="shared" si="1"/>
        <v>95075.9</v>
      </c>
      <c r="H10" s="112">
        <f t="shared" si="2"/>
        <v>1.5785077746435177</v>
      </c>
      <c r="I10" s="112">
        <f t="shared" si="3"/>
        <v>0.24738735258589165</v>
      </c>
      <c r="J10" s="114">
        <f t="shared" si="4"/>
        <v>0.78476031147880665</v>
      </c>
    </row>
    <row r="11" spans="1:10" ht="17">
      <c r="A11" s="140" t="s">
        <v>216</v>
      </c>
      <c r="B11" s="141">
        <v>48420.7</v>
      </c>
      <c r="C11" s="142">
        <v>30752</v>
      </c>
      <c r="D11" s="142">
        <v>162998</v>
      </c>
      <c r="E11" s="143">
        <v>1.53</v>
      </c>
      <c r="F11" s="111">
        <f t="shared" si="0"/>
        <v>211418.7</v>
      </c>
      <c r="G11" s="111">
        <f t="shared" si="1"/>
        <v>180666.7</v>
      </c>
      <c r="H11" s="112">
        <f t="shared" si="2"/>
        <v>3.3662875588333092</v>
      </c>
      <c r="I11" s="112">
        <f t="shared" si="3"/>
        <v>0.14545543984519818</v>
      </c>
      <c r="J11" s="114">
        <f t="shared" si="4"/>
        <v>0.59290141389650741</v>
      </c>
    </row>
    <row r="12" spans="1:10" ht="34">
      <c r="A12" s="140" t="s">
        <v>193</v>
      </c>
      <c r="B12" s="141">
        <v>43992.7</v>
      </c>
      <c r="C12" s="142">
        <v>25838.1</v>
      </c>
      <c r="D12" s="142">
        <v>78733.899999999994</v>
      </c>
      <c r="E12" s="143">
        <v>1.5</v>
      </c>
      <c r="F12" s="111">
        <f t="shared" si="0"/>
        <v>122726.59999999999</v>
      </c>
      <c r="G12" s="111">
        <f t="shared" si="1"/>
        <v>96888.5</v>
      </c>
      <c r="H12" s="112">
        <f t="shared" si="2"/>
        <v>1.789703746303364</v>
      </c>
      <c r="I12" s="112">
        <f t="shared" si="3"/>
        <v>0.21053382070390608</v>
      </c>
      <c r="J12" s="114">
        <f t="shared" si="4"/>
        <v>0.91619137755475311</v>
      </c>
    </row>
    <row r="13" spans="1:10" ht="34">
      <c r="A13" s="140" t="s">
        <v>198</v>
      </c>
      <c r="B13" s="141">
        <v>37194.199999999997</v>
      </c>
      <c r="C13" s="142">
        <v>27620.7</v>
      </c>
      <c r="D13" s="142">
        <v>21286</v>
      </c>
      <c r="E13" s="143">
        <v>0.94</v>
      </c>
      <c r="F13" s="111">
        <f t="shared" si="0"/>
        <v>58480.2</v>
      </c>
      <c r="G13" s="111">
        <f t="shared" si="1"/>
        <v>30859.499999999996</v>
      </c>
      <c r="H13" s="112">
        <f t="shared" si="2"/>
        <v>0.57229352963634117</v>
      </c>
      <c r="I13" s="112">
        <f t="shared" si="3"/>
        <v>0.47230857623605943</v>
      </c>
      <c r="J13" s="114">
        <f t="shared" si="4"/>
        <v>1.3260203662933503</v>
      </c>
    </row>
    <row r="14" spans="1:10" ht="34">
      <c r="A14" s="140" t="s">
        <v>217</v>
      </c>
      <c r="B14" s="141">
        <v>36932</v>
      </c>
      <c r="C14" s="142">
        <v>2694.4</v>
      </c>
      <c r="D14" s="142">
        <v>2590.3000000000002</v>
      </c>
      <c r="E14" s="143">
        <v>1.1399999999999999</v>
      </c>
      <c r="F14" s="111">
        <f t="shared" si="0"/>
        <v>39522.300000000003</v>
      </c>
      <c r="G14" s="111">
        <f t="shared" si="1"/>
        <v>36827.9</v>
      </c>
      <c r="H14" s="112">
        <f t="shared" si="2"/>
        <v>7.0137008556265576E-2</v>
      </c>
      <c r="I14" s="112">
        <f t="shared" si="3"/>
        <v>6.817417002552989E-2</v>
      </c>
      <c r="J14" s="114">
        <f t="shared" si="4"/>
        <v>1.1740000804990647</v>
      </c>
    </row>
    <row r="15" spans="1:10" ht="17">
      <c r="A15" s="140" t="s">
        <v>218</v>
      </c>
      <c r="B15" s="141">
        <v>35370</v>
      </c>
      <c r="C15" s="142">
        <v>1668.9</v>
      </c>
      <c r="D15" s="142">
        <v>3333</v>
      </c>
      <c r="E15" s="143">
        <v>1.23</v>
      </c>
      <c r="F15" s="111">
        <f t="shared" si="0"/>
        <v>38703</v>
      </c>
      <c r="G15" s="111">
        <f t="shared" si="1"/>
        <v>37034.1</v>
      </c>
      <c r="H15" s="112">
        <f t="shared" si="2"/>
        <v>9.4232400339270564E-2</v>
      </c>
      <c r="I15" s="112">
        <f t="shared" si="3"/>
        <v>4.3120688318734987E-2</v>
      </c>
      <c r="J15" s="114">
        <f t="shared" si="4"/>
        <v>1.2166403974824653</v>
      </c>
    </row>
    <row r="16" spans="1:10" ht="34">
      <c r="A16" s="140" t="s">
        <v>219</v>
      </c>
      <c r="B16" s="141">
        <v>31195.599999999999</v>
      </c>
      <c r="C16" s="142">
        <v>2855.8</v>
      </c>
      <c r="D16" s="142">
        <v>605.5</v>
      </c>
      <c r="E16" s="143">
        <v>1.0900000000000001</v>
      </c>
      <c r="F16" s="111">
        <f t="shared" si="0"/>
        <v>31801.1</v>
      </c>
      <c r="G16" s="111">
        <f t="shared" si="1"/>
        <v>28945.3</v>
      </c>
      <c r="H16" s="112">
        <f t="shared" si="2"/>
        <v>1.9409788559925117E-2</v>
      </c>
      <c r="I16" s="112">
        <f t="shared" si="3"/>
        <v>8.9801925090641527E-2</v>
      </c>
      <c r="J16" s="114">
        <f t="shared" si="4"/>
        <v>1.1837556669196945</v>
      </c>
    </row>
    <row r="17" spans="1:10" ht="34">
      <c r="A17" s="140" t="s">
        <v>220</v>
      </c>
      <c r="B17" s="141">
        <v>29613.200000000001</v>
      </c>
      <c r="C17" s="142">
        <v>377.3</v>
      </c>
      <c r="D17" s="142">
        <v>30.7</v>
      </c>
      <c r="E17" s="143">
        <v>0.97299999999999998</v>
      </c>
      <c r="F17" s="111">
        <f t="shared" si="0"/>
        <v>29643.9</v>
      </c>
      <c r="G17" s="111">
        <f t="shared" si="1"/>
        <v>29266.600000000002</v>
      </c>
      <c r="H17" s="112">
        <f t="shared" si="2"/>
        <v>1.036699850066862E-3</v>
      </c>
      <c r="I17" s="112">
        <f t="shared" si="3"/>
        <v>1.2727744999814465E-2</v>
      </c>
      <c r="J17" s="114">
        <f t="shared" si="4"/>
        <v>0.98493110277423768</v>
      </c>
    </row>
    <row r="18" spans="1:10" ht="34">
      <c r="A18" s="140" t="s">
        <v>221</v>
      </c>
      <c r="B18" s="141">
        <v>28050.9</v>
      </c>
      <c r="C18" s="142">
        <v>13728.2</v>
      </c>
      <c r="D18" s="142">
        <v>10113.5</v>
      </c>
      <c r="E18" s="143">
        <v>1.29</v>
      </c>
      <c r="F18" s="111">
        <f t="shared" si="0"/>
        <v>38164.400000000001</v>
      </c>
      <c r="G18" s="111">
        <f t="shared" si="1"/>
        <v>24436.2</v>
      </c>
      <c r="H18" s="112">
        <f t="shared" si="2"/>
        <v>0.36054101650927417</v>
      </c>
      <c r="I18" s="112">
        <f t="shared" si="3"/>
        <v>0.35971219251448994</v>
      </c>
      <c r="J18" s="114">
        <f t="shared" si="4"/>
        <v>1.6563990945226452</v>
      </c>
    </row>
    <row r="19" spans="1:10" ht="34">
      <c r="A19" s="140" t="s">
        <v>222</v>
      </c>
      <c r="B19" s="141">
        <v>27338.6</v>
      </c>
      <c r="C19" s="142">
        <v>621.20000000000005</v>
      </c>
      <c r="D19" s="142">
        <v>43.4</v>
      </c>
      <c r="E19" s="143">
        <v>1.54</v>
      </c>
      <c r="F19" s="111">
        <f t="shared" si="0"/>
        <v>27382</v>
      </c>
      <c r="G19" s="111">
        <f t="shared" si="1"/>
        <v>26760.799999999999</v>
      </c>
      <c r="H19" s="112">
        <f t="shared" si="2"/>
        <v>1.5874989940962596E-3</v>
      </c>
      <c r="I19" s="112">
        <f t="shared" si="3"/>
        <v>2.2686436345044192E-2</v>
      </c>
      <c r="J19" s="114">
        <f t="shared" si="4"/>
        <v>1.5742486382967615</v>
      </c>
    </row>
    <row r="20" spans="1:10" ht="34">
      <c r="A20" s="140" t="s">
        <v>223</v>
      </c>
      <c r="B20" s="141">
        <v>21475.4</v>
      </c>
      <c r="C20" s="142">
        <v>20907.7</v>
      </c>
      <c r="D20" s="142">
        <v>74247.899999999994</v>
      </c>
      <c r="E20" s="143">
        <v>1</v>
      </c>
      <c r="F20" s="111">
        <f t="shared" si="0"/>
        <v>95723.299999999988</v>
      </c>
      <c r="G20" s="111">
        <f t="shared" si="1"/>
        <v>74815.599999999991</v>
      </c>
      <c r="H20" s="112">
        <f t="shared" si="2"/>
        <v>3.4573465453495622</v>
      </c>
      <c r="I20" s="112">
        <f t="shared" si="3"/>
        <v>0.2184180862966488</v>
      </c>
      <c r="J20" s="114">
        <f t="shared" si="4"/>
        <v>0.41616351955215319</v>
      </c>
    </row>
    <row r="21" spans="1:10" ht="34">
      <c r="A21" s="140" t="s">
        <v>199</v>
      </c>
      <c r="B21" s="141">
        <v>20995.7</v>
      </c>
      <c r="C21" s="142">
        <v>10011.9</v>
      </c>
      <c r="D21" s="142">
        <v>7609</v>
      </c>
      <c r="E21" s="143">
        <v>1.42</v>
      </c>
      <c r="F21" s="111">
        <f t="shared" si="0"/>
        <v>28604.7</v>
      </c>
      <c r="G21" s="111">
        <f t="shared" si="1"/>
        <v>18592.800000000003</v>
      </c>
      <c r="H21" s="112">
        <f t="shared" si="2"/>
        <v>0.36240754059164493</v>
      </c>
      <c r="I21" s="112">
        <f t="shared" si="3"/>
        <v>0.35000891461892625</v>
      </c>
      <c r="J21" s="114">
        <f t="shared" si="4"/>
        <v>1.7944516590956945</v>
      </c>
    </row>
    <row r="22" spans="1:10" ht="34">
      <c r="A22" s="140" t="s">
        <v>200</v>
      </c>
      <c r="B22" s="141">
        <v>16458.900000000001</v>
      </c>
      <c r="C22" s="142">
        <v>5829.1</v>
      </c>
      <c r="D22" s="142">
        <v>15799.1</v>
      </c>
      <c r="E22" s="143">
        <v>1.88</v>
      </c>
      <c r="F22" s="111">
        <f t="shared" si="0"/>
        <v>32258</v>
      </c>
      <c r="G22" s="111">
        <f t="shared" si="1"/>
        <v>26428.9</v>
      </c>
      <c r="H22" s="112">
        <f t="shared" si="2"/>
        <v>0.95991226631184334</v>
      </c>
      <c r="I22" s="112">
        <f t="shared" si="3"/>
        <v>0.18070246140492283</v>
      </c>
      <c r="J22" s="114">
        <f t="shared" si="4"/>
        <v>1.4560439768970053</v>
      </c>
    </row>
    <row r="23" spans="1:10" ht="34">
      <c r="A23" s="140" t="s">
        <v>224</v>
      </c>
      <c r="B23" s="141">
        <v>15798.7</v>
      </c>
      <c r="C23" s="142">
        <v>3475.4</v>
      </c>
      <c r="D23" s="142">
        <v>5706.6</v>
      </c>
      <c r="E23" s="143">
        <v>1.08</v>
      </c>
      <c r="F23" s="111">
        <f t="shared" si="0"/>
        <v>21505.300000000003</v>
      </c>
      <c r="G23" s="111">
        <f t="shared" si="1"/>
        <v>18029.900000000001</v>
      </c>
      <c r="H23" s="112">
        <f t="shared" si="2"/>
        <v>0.36120693474779569</v>
      </c>
      <c r="I23" s="112">
        <f t="shared" si="3"/>
        <v>0.16160667370369164</v>
      </c>
      <c r="J23" s="114">
        <f t="shared" si="4"/>
        <v>1.0587265662516154</v>
      </c>
    </row>
    <row r="24" spans="1:10" ht="34">
      <c r="A24" s="140" t="s">
        <v>225</v>
      </c>
      <c r="B24" s="141">
        <v>15429.5</v>
      </c>
      <c r="C24" s="142">
        <v>1367.6</v>
      </c>
      <c r="D24" s="142">
        <v>0</v>
      </c>
      <c r="E24" s="143">
        <v>0.93</v>
      </c>
      <c r="F24" s="111">
        <f t="shared" si="0"/>
        <v>15429.5</v>
      </c>
      <c r="G24" s="111">
        <f t="shared" si="1"/>
        <v>14061.9</v>
      </c>
      <c r="H24" s="112">
        <f t="shared" si="2"/>
        <v>0</v>
      </c>
      <c r="I24" s="112">
        <f t="shared" si="3"/>
        <v>8.8635406202404482E-2</v>
      </c>
      <c r="J24" s="114">
        <f t="shared" si="4"/>
        <v>1.0204478057730464</v>
      </c>
    </row>
    <row r="25" spans="1:10" ht="34">
      <c r="A25" s="140" t="s">
        <v>189</v>
      </c>
      <c r="B25" s="141">
        <v>14640.7</v>
      </c>
      <c r="C25" s="142">
        <v>3650.5</v>
      </c>
      <c r="D25" s="142">
        <v>2109.1999999999998</v>
      </c>
      <c r="E25" s="143">
        <v>0.81399999999999995</v>
      </c>
      <c r="F25" s="111">
        <f t="shared" si="0"/>
        <v>16749.900000000001</v>
      </c>
      <c r="G25" s="111">
        <f t="shared" si="1"/>
        <v>13099.400000000001</v>
      </c>
      <c r="H25" s="112">
        <f t="shared" si="2"/>
        <v>0.144064149938186</v>
      </c>
      <c r="I25" s="112">
        <f t="shared" si="3"/>
        <v>0.21794159965134119</v>
      </c>
      <c r="J25" s="114">
        <f t="shared" si="4"/>
        <v>0.95803213416198585</v>
      </c>
    </row>
    <row r="26" spans="1:10" ht="17">
      <c r="A26" s="140" t="s">
        <v>226</v>
      </c>
      <c r="B26" s="141">
        <v>14359.1</v>
      </c>
      <c r="C26" s="142">
        <v>10711.2</v>
      </c>
      <c r="D26" s="142">
        <v>3239</v>
      </c>
      <c r="E26" s="143">
        <v>1.22</v>
      </c>
      <c r="F26" s="111">
        <f t="shared" si="0"/>
        <v>17598.099999999999</v>
      </c>
      <c r="G26" s="111">
        <f t="shared" si="1"/>
        <v>6886.8999999999978</v>
      </c>
      <c r="H26" s="112">
        <f t="shared" si="2"/>
        <v>0.22557124053735958</v>
      </c>
      <c r="I26" s="112">
        <f t="shared" si="3"/>
        <v>0.60865661633926404</v>
      </c>
      <c r="J26" s="114">
        <f t="shared" si="4"/>
        <v>2.7458375898864062</v>
      </c>
    </row>
    <row r="27" spans="1:10" ht="17">
      <c r="A27" s="140" t="s">
        <v>227</v>
      </c>
      <c r="B27" s="141">
        <v>12824</v>
      </c>
      <c r="C27" s="142">
        <v>27061.8</v>
      </c>
      <c r="D27" s="142">
        <v>79381</v>
      </c>
      <c r="E27" s="143">
        <v>1.77</v>
      </c>
      <c r="F27" s="111">
        <f t="shared" ref="F27:F63" si="5">B27+D27</f>
        <v>92205</v>
      </c>
      <c r="G27" s="111">
        <f t="shared" ref="G27:G63" si="6">F27-C27</f>
        <v>65143.199999999997</v>
      </c>
      <c r="H27" s="112">
        <f t="shared" ref="H27:H63" si="7">D27/B27</f>
        <v>6.1900343106674987</v>
      </c>
      <c r="I27" s="112">
        <f t="shared" ref="I27:I63" si="8">C27/F27</f>
        <v>0.29349601431592648</v>
      </c>
      <c r="J27" s="114">
        <f t="shared" si="4"/>
        <v>0.53145582973605132</v>
      </c>
    </row>
    <row r="28" spans="1:10" ht="34">
      <c r="A28" s="140" t="s">
        <v>228</v>
      </c>
      <c r="B28" s="141">
        <v>12481.3</v>
      </c>
      <c r="C28" s="142">
        <v>4105</v>
      </c>
      <c r="D28" s="142">
        <v>12960.5</v>
      </c>
      <c r="E28" s="143">
        <v>1.3</v>
      </c>
      <c r="F28" s="111">
        <f t="shared" si="5"/>
        <v>25441.8</v>
      </c>
      <c r="G28" s="111">
        <f t="shared" si="6"/>
        <v>21336.799999999999</v>
      </c>
      <c r="H28" s="112">
        <f t="shared" si="7"/>
        <v>1.0383934365811254</v>
      </c>
      <c r="I28" s="112">
        <f t="shared" si="8"/>
        <v>0.16134864671524815</v>
      </c>
      <c r="J28" s="114">
        <f t="shared" si="4"/>
        <v>0.95506676119210843</v>
      </c>
    </row>
    <row r="29" spans="1:10" ht="34">
      <c r="A29" s="140" t="s">
        <v>229</v>
      </c>
      <c r="B29" s="141">
        <v>12458.7</v>
      </c>
      <c r="C29" s="142">
        <v>3231</v>
      </c>
      <c r="D29" s="142">
        <v>285</v>
      </c>
      <c r="E29" s="143">
        <v>1.04</v>
      </c>
      <c r="F29" s="111">
        <f t="shared" si="5"/>
        <v>12743.7</v>
      </c>
      <c r="G29" s="111">
        <f t="shared" si="6"/>
        <v>9512.7000000000007</v>
      </c>
      <c r="H29" s="112">
        <f t="shared" si="7"/>
        <v>2.2875580919357555E-2</v>
      </c>
      <c r="I29" s="112">
        <f t="shared" si="8"/>
        <v>0.25353704183243486</v>
      </c>
      <c r="J29" s="114">
        <f t="shared" si="4"/>
        <v>1.3743734959811453</v>
      </c>
    </row>
    <row r="30" spans="1:10" ht="34">
      <c r="A30" s="140" t="s">
        <v>230</v>
      </c>
      <c r="B30" s="141">
        <v>9748.4</v>
      </c>
      <c r="C30" s="142">
        <v>935.7</v>
      </c>
      <c r="D30" s="142">
        <v>34.9</v>
      </c>
      <c r="E30" s="143">
        <v>0.84</v>
      </c>
      <c r="F30" s="111">
        <f t="shared" si="5"/>
        <v>9783.2999999999993</v>
      </c>
      <c r="G30" s="111">
        <f t="shared" si="6"/>
        <v>8847.5999999999985</v>
      </c>
      <c r="H30" s="112">
        <f t="shared" si="7"/>
        <v>3.5800746789216692E-3</v>
      </c>
      <c r="I30" s="112">
        <f t="shared" si="8"/>
        <v>9.5642574591395552E-2</v>
      </c>
      <c r="J30" s="114">
        <f t="shared" si="4"/>
        <v>0.92684538916295245</v>
      </c>
    </row>
    <row r="31" spans="1:10" ht="34">
      <c r="A31" s="140" t="s">
        <v>191</v>
      </c>
      <c r="B31" s="141">
        <v>9380</v>
      </c>
      <c r="C31" s="142">
        <v>1258.7</v>
      </c>
      <c r="D31" s="142">
        <v>74</v>
      </c>
      <c r="E31" s="143">
        <v>0.73</v>
      </c>
      <c r="F31" s="111">
        <f t="shared" si="5"/>
        <v>9454</v>
      </c>
      <c r="G31" s="111">
        <f t="shared" si="6"/>
        <v>8195.2999999999993</v>
      </c>
      <c r="H31" s="112">
        <f t="shared" si="7"/>
        <v>7.8891257995735604E-3</v>
      </c>
      <c r="I31" s="112">
        <f t="shared" si="8"/>
        <v>0.13313941188914746</v>
      </c>
      <c r="J31" s="114">
        <f t="shared" si="4"/>
        <v>0.83815189205096308</v>
      </c>
    </row>
    <row r="32" spans="1:10" ht="34">
      <c r="A32" s="140" t="s">
        <v>231</v>
      </c>
      <c r="B32" s="141">
        <v>8384.7000000000007</v>
      </c>
      <c r="C32" s="142">
        <v>1093.9000000000001</v>
      </c>
      <c r="D32" s="142">
        <v>1088.3</v>
      </c>
      <c r="E32" s="143">
        <v>1.1100000000000001</v>
      </c>
      <c r="F32" s="111">
        <f t="shared" si="5"/>
        <v>9473</v>
      </c>
      <c r="G32" s="111">
        <f t="shared" si="6"/>
        <v>8379.1</v>
      </c>
      <c r="H32" s="112">
        <f t="shared" si="7"/>
        <v>0.12979593783915941</v>
      </c>
      <c r="I32" s="112">
        <f t="shared" si="8"/>
        <v>0.11547556212393119</v>
      </c>
      <c r="J32" s="114">
        <f t="shared" si="4"/>
        <v>1.1642432023596743</v>
      </c>
    </row>
    <row r="33" spans="1:10" ht="34">
      <c r="A33" s="140" t="s">
        <v>232</v>
      </c>
      <c r="B33" s="141">
        <v>8295.6</v>
      </c>
      <c r="C33" s="142">
        <v>5080.1000000000004</v>
      </c>
      <c r="D33" s="142">
        <v>0</v>
      </c>
      <c r="E33" s="143">
        <v>0.83</v>
      </c>
      <c r="F33" s="111">
        <f t="shared" si="5"/>
        <v>8295.6</v>
      </c>
      <c r="G33" s="111">
        <f t="shared" si="6"/>
        <v>3215.5</v>
      </c>
      <c r="H33" s="112">
        <f t="shared" si="7"/>
        <v>0</v>
      </c>
      <c r="I33" s="112">
        <f t="shared" si="8"/>
        <v>0.61238487873089353</v>
      </c>
      <c r="J33" s="114">
        <f t="shared" si="4"/>
        <v>2.1412993313637072</v>
      </c>
    </row>
    <row r="34" spans="1:10" ht="34">
      <c r="A34" s="140" t="s">
        <v>187</v>
      </c>
      <c r="B34" s="141">
        <v>7895.9</v>
      </c>
      <c r="C34" s="142">
        <v>8994.2000000000007</v>
      </c>
      <c r="D34" s="142">
        <v>8673.5</v>
      </c>
      <c r="E34" s="143">
        <v>1.06</v>
      </c>
      <c r="F34" s="111">
        <f t="shared" si="5"/>
        <v>16569.400000000001</v>
      </c>
      <c r="G34" s="111">
        <f t="shared" si="6"/>
        <v>7575.2000000000007</v>
      </c>
      <c r="H34" s="112">
        <f t="shared" si="7"/>
        <v>1.0984814903937488</v>
      </c>
      <c r="I34" s="112">
        <f t="shared" si="8"/>
        <v>0.54281989691841592</v>
      </c>
      <c r="J34" s="114">
        <f t="shared" si="4"/>
        <v>1.397490575792119</v>
      </c>
    </row>
    <row r="35" spans="1:10" ht="34">
      <c r="A35" s="140" t="s">
        <v>233</v>
      </c>
      <c r="B35" s="141">
        <v>7845.6</v>
      </c>
      <c r="C35" s="142">
        <v>2639.1</v>
      </c>
      <c r="D35" s="142">
        <v>4524.3</v>
      </c>
      <c r="E35" s="143">
        <v>1.4</v>
      </c>
      <c r="F35" s="111">
        <f t="shared" si="5"/>
        <v>12369.900000000001</v>
      </c>
      <c r="G35" s="111">
        <f t="shared" si="6"/>
        <v>9730.8000000000011</v>
      </c>
      <c r="H35" s="112">
        <f t="shared" si="7"/>
        <v>0.57666717650657695</v>
      </c>
      <c r="I35" s="112">
        <f t="shared" si="8"/>
        <v>0.21334853151601868</v>
      </c>
      <c r="J35" s="114">
        <f t="shared" si="4"/>
        <v>1.3222102494081087</v>
      </c>
    </row>
    <row r="36" spans="1:10" ht="17">
      <c r="A36" s="140" t="s">
        <v>234</v>
      </c>
      <c r="B36" s="141">
        <v>7707.2</v>
      </c>
      <c r="C36" s="142">
        <v>3213.6</v>
      </c>
      <c r="D36" s="142">
        <v>2987.6</v>
      </c>
      <c r="E36" s="143">
        <v>1.55</v>
      </c>
      <c r="F36" s="111">
        <f t="shared" si="5"/>
        <v>10694.8</v>
      </c>
      <c r="G36" s="111">
        <f t="shared" si="6"/>
        <v>7481.1999999999989</v>
      </c>
      <c r="H36" s="112">
        <f t="shared" si="7"/>
        <v>0.38763753373468962</v>
      </c>
      <c r="I36" s="112">
        <f t="shared" si="8"/>
        <v>0.30048247746568429</v>
      </c>
      <c r="J36" s="114">
        <f t="shared" si="4"/>
        <v>1.7976994925647518</v>
      </c>
    </row>
    <row r="37" spans="1:10" ht="34">
      <c r="A37" s="140" t="s">
        <v>235</v>
      </c>
      <c r="B37" s="141">
        <v>6745.3</v>
      </c>
      <c r="C37" s="142">
        <v>337.4</v>
      </c>
      <c r="D37" s="142">
        <v>1637</v>
      </c>
      <c r="E37" s="143">
        <v>1.77</v>
      </c>
      <c r="F37" s="111">
        <f t="shared" si="5"/>
        <v>8382.2999999999993</v>
      </c>
      <c r="G37" s="111">
        <f t="shared" si="6"/>
        <v>8044.9</v>
      </c>
      <c r="H37" s="112">
        <f t="shared" si="7"/>
        <v>0.2426875009265711</v>
      </c>
      <c r="I37" s="112">
        <f t="shared" si="8"/>
        <v>4.0251482290063589E-2</v>
      </c>
      <c r="J37" s="114">
        <f t="shared" si="4"/>
        <v>1.6098227941279699</v>
      </c>
    </row>
    <row r="38" spans="1:10" ht="34">
      <c r="A38" s="140" t="s">
        <v>236</v>
      </c>
      <c r="B38" s="141">
        <v>6181.7</v>
      </c>
      <c r="C38" s="142">
        <v>1041.0999999999999</v>
      </c>
      <c r="D38" s="142">
        <v>6.63</v>
      </c>
      <c r="E38" s="143">
        <v>0.92</v>
      </c>
      <c r="F38" s="111">
        <f t="shared" si="5"/>
        <v>6188.33</v>
      </c>
      <c r="G38" s="111">
        <f t="shared" si="6"/>
        <v>5147.2299999999996</v>
      </c>
      <c r="H38" s="112">
        <f t="shared" si="7"/>
        <v>1.0725205040684601E-3</v>
      </c>
      <c r="I38" s="112">
        <f t="shared" si="8"/>
        <v>0.16823601844116262</v>
      </c>
      <c r="J38" s="114">
        <f t="shared" si="4"/>
        <v>1.105371679707853</v>
      </c>
    </row>
    <row r="39" spans="1:10" ht="34">
      <c r="A39" s="140" t="s">
        <v>190</v>
      </c>
      <c r="B39" s="141">
        <v>5535.9</v>
      </c>
      <c r="C39" s="142">
        <v>666.2</v>
      </c>
      <c r="D39" s="142">
        <v>9037.1</v>
      </c>
      <c r="E39" s="143">
        <v>1.51</v>
      </c>
      <c r="F39" s="111">
        <f t="shared" si="5"/>
        <v>14573</v>
      </c>
      <c r="G39" s="111">
        <f t="shared" si="6"/>
        <v>13906.8</v>
      </c>
      <c r="H39" s="112">
        <f t="shared" si="7"/>
        <v>1.6324536209107825</v>
      </c>
      <c r="I39" s="112">
        <f t="shared" si="8"/>
        <v>4.57146778288616E-2</v>
      </c>
      <c r="J39" s="114">
        <f t="shared" si="4"/>
        <v>0.79937268200402734</v>
      </c>
    </row>
    <row r="40" spans="1:10" ht="34">
      <c r="A40" s="140" t="s">
        <v>195</v>
      </c>
      <c r="B40" s="141">
        <v>5164.2</v>
      </c>
      <c r="C40" s="142">
        <v>7230.9</v>
      </c>
      <c r="D40" s="142">
        <v>8903.9</v>
      </c>
      <c r="E40" s="143">
        <v>1.26</v>
      </c>
      <c r="F40" s="111">
        <f t="shared" si="5"/>
        <v>14068.099999999999</v>
      </c>
      <c r="G40" s="111">
        <f t="shared" si="6"/>
        <v>6837.1999999999989</v>
      </c>
      <c r="H40" s="112">
        <f t="shared" si="7"/>
        <v>1.7241586305720151</v>
      </c>
      <c r="I40" s="112">
        <f t="shared" si="8"/>
        <v>0.5139926500380293</v>
      </c>
      <c r="J40" s="114">
        <f t="shared" si="4"/>
        <v>1.2742981217274838</v>
      </c>
    </row>
    <row r="41" spans="1:10" ht="51">
      <c r="A41" s="140" t="s">
        <v>237</v>
      </c>
      <c r="B41" s="141">
        <v>4919.6000000000004</v>
      </c>
      <c r="C41" s="142">
        <v>967.4</v>
      </c>
      <c r="D41" s="142">
        <v>3542.6</v>
      </c>
      <c r="E41" s="143">
        <v>0.94299999999999995</v>
      </c>
      <c r="F41" s="111">
        <f t="shared" si="5"/>
        <v>8462.2000000000007</v>
      </c>
      <c r="G41" s="111">
        <f t="shared" si="6"/>
        <v>7494.8000000000011</v>
      </c>
      <c r="H41" s="112">
        <f t="shared" si="7"/>
        <v>0.72009919505650855</v>
      </c>
      <c r="I41" s="112">
        <f t="shared" si="8"/>
        <v>0.11432015315166268</v>
      </c>
      <c r="J41" s="114">
        <f t="shared" si="4"/>
        <v>0.74348782694870064</v>
      </c>
    </row>
    <row r="42" spans="1:10" ht="34">
      <c r="A42" s="140" t="s">
        <v>238</v>
      </c>
      <c r="B42" s="141">
        <v>4526</v>
      </c>
      <c r="C42" s="142">
        <v>1002.9</v>
      </c>
      <c r="D42" s="142">
        <v>1046.9000000000001</v>
      </c>
      <c r="E42" s="143">
        <v>0.98699999999999999</v>
      </c>
      <c r="F42" s="111">
        <f t="shared" si="5"/>
        <v>5572.9</v>
      </c>
      <c r="G42" s="111">
        <f t="shared" si="6"/>
        <v>4570</v>
      </c>
      <c r="H42" s="112">
        <f t="shared" si="7"/>
        <v>0.23130799823243484</v>
      </c>
      <c r="I42" s="112">
        <f t="shared" si="8"/>
        <v>0.17996016436684673</v>
      </c>
      <c r="J42" s="114">
        <f t="shared" si="4"/>
        <v>1.0569161678013399</v>
      </c>
    </row>
    <row r="43" spans="1:10" ht="34">
      <c r="A43" s="140" t="s">
        <v>239</v>
      </c>
      <c r="B43" s="141">
        <v>4420.5</v>
      </c>
      <c r="C43" s="142">
        <v>488.8</v>
      </c>
      <c r="D43" s="142">
        <v>809.5</v>
      </c>
      <c r="E43" s="143">
        <v>0.77</v>
      </c>
      <c r="F43" s="111">
        <f t="shared" si="5"/>
        <v>5230</v>
      </c>
      <c r="G43" s="111">
        <f t="shared" si="6"/>
        <v>4741.2</v>
      </c>
      <c r="H43" s="112">
        <f t="shared" si="7"/>
        <v>0.18312408098631378</v>
      </c>
      <c r="I43" s="112">
        <f t="shared" si="8"/>
        <v>9.3460803059273428E-2</v>
      </c>
      <c r="J43" s="114">
        <f t="shared" si="4"/>
        <v>0.76529748318908186</v>
      </c>
    </row>
    <row r="44" spans="1:10" ht="34">
      <c r="A44" s="140" t="s">
        <v>196</v>
      </c>
      <c r="B44" s="141">
        <v>4300.1000000000004</v>
      </c>
      <c r="C44" s="142">
        <v>4869.3999999999996</v>
      </c>
      <c r="D44" s="142">
        <v>4928.2</v>
      </c>
      <c r="E44" s="143">
        <v>1.24</v>
      </c>
      <c r="F44" s="111">
        <f t="shared" si="5"/>
        <v>9228.2999999999993</v>
      </c>
      <c r="G44" s="111">
        <f t="shared" si="6"/>
        <v>4358.8999999999996</v>
      </c>
      <c r="H44" s="112">
        <f t="shared" si="7"/>
        <v>1.146066370549522</v>
      </c>
      <c r="I44" s="112">
        <f t="shared" si="8"/>
        <v>0.52765948224483383</v>
      </c>
      <c r="J44" s="114">
        <f t="shared" si="4"/>
        <v>1.555559828537854</v>
      </c>
    </row>
    <row r="45" spans="1:10" ht="34">
      <c r="A45" s="140" t="s">
        <v>202</v>
      </c>
      <c r="B45" s="141">
        <v>4037.8</v>
      </c>
      <c r="C45" s="142">
        <v>259.3</v>
      </c>
      <c r="D45" s="142">
        <v>1668.5</v>
      </c>
      <c r="E45" s="143">
        <v>1.49</v>
      </c>
      <c r="F45" s="111">
        <f t="shared" si="5"/>
        <v>5706.3</v>
      </c>
      <c r="G45" s="111">
        <f t="shared" si="6"/>
        <v>5447</v>
      </c>
      <c r="H45" s="112">
        <f t="shared" si="7"/>
        <v>0.41322007033533109</v>
      </c>
      <c r="I45" s="112">
        <f t="shared" si="8"/>
        <v>4.5441003802814434E-2</v>
      </c>
      <c r="J45" s="114">
        <f t="shared" si="4"/>
        <v>1.2508134930763721</v>
      </c>
    </row>
    <row r="46" spans="1:10" ht="34">
      <c r="A46" s="140" t="s">
        <v>184</v>
      </c>
      <c r="B46" s="141">
        <v>3644.6</v>
      </c>
      <c r="C46" s="142">
        <v>491.1</v>
      </c>
      <c r="D46" s="142">
        <v>1250.5999999999999</v>
      </c>
      <c r="E46" s="143">
        <v>0.75700000000000001</v>
      </c>
      <c r="F46" s="111">
        <f t="shared" si="5"/>
        <v>4895.2</v>
      </c>
      <c r="G46" s="111">
        <f t="shared" si="6"/>
        <v>4404.0999999999995</v>
      </c>
      <c r="H46" s="112">
        <f t="shared" si="7"/>
        <v>0.34313779289908358</v>
      </c>
      <c r="I46" s="112">
        <f t="shared" si="8"/>
        <v>0.10032276515770551</v>
      </c>
      <c r="J46" s="114">
        <f t="shared" si="4"/>
        <v>0.69775682345603396</v>
      </c>
    </row>
    <row r="47" spans="1:10" ht="17">
      <c r="A47" s="140" t="s">
        <v>240</v>
      </c>
      <c r="B47" s="141">
        <v>3578.5</v>
      </c>
      <c r="C47" s="142">
        <v>394.9</v>
      </c>
      <c r="D47" s="142">
        <v>251.5</v>
      </c>
      <c r="E47" s="143">
        <v>1.02</v>
      </c>
      <c r="F47" s="111">
        <f t="shared" si="5"/>
        <v>3830</v>
      </c>
      <c r="G47" s="111">
        <f t="shared" si="6"/>
        <v>3435.1</v>
      </c>
      <c r="H47" s="112">
        <f t="shared" si="7"/>
        <v>7.0280843929020537E-2</v>
      </c>
      <c r="I47" s="112">
        <f t="shared" si="8"/>
        <v>0.10310704960835508</v>
      </c>
      <c r="J47" s="114">
        <f t="shared" si="4"/>
        <v>1.0912433656279024</v>
      </c>
    </row>
    <row r="48" spans="1:10" ht="34">
      <c r="A48" s="140" t="s">
        <v>241</v>
      </c>
      <c r="B48" s="141">
        <v>3180.9</v>
      </c>
      <c r="C48" s="142">
        <v>688.1</v>
      </c>
      <c r="D48" s="142">
        <v>1621.7</v>
      </c>
      <c r="E48" s="143">
        <v>2.4500000000000002</v>
      </c>
      <c r="F48" s="111">
        <f t="shared" si="5"/>
        <v>4802.6000000000004</v>
      </c>
      <c r="G48" s="111">
        <f t="shared" si="6"/>
        <v>4114.5</v>
      </c>
      <c r="H48" s="112">
        <f t="shared" si="7"/>
        <v>0.50982426357320254</v>
      </c>
      <c r="I48" s="112">
        <f t="shared" si="8"/>
        <v>0.14327655853079582</v>
      </c>
      <c r="J48" s="114">
        <f t="shared" si="4"/>
        <v>2.189864897574719</v>
      </c>
    </row>
    <row r="49" spans="1:10" ht="34">
      <c r="A49" s="140" t="s">
        <v>242</v>
      </c>
      <c r="B49" s="141">
        <v>2851.4</v>
      </c>
      <c r="C49" s="142">
        <v>7321.5</v>
      </c>
      <c r="D49" s="142">
        <v>3605.9</v>
      </c>
      <c r="E49" s="143">
        <v>1.17</v>
      </c>
      <c r="F49" s="111">
        <f t="shared" si="5"/>
        <v>6457.3</v>
      </c>
      <c r="G49" s="111">
        <f t="shared" si="6"/>
        <v>-864.19999999999982</v>
      </c>
      <c r="H49" s="112">
        <f t="shared" si="7"/>
        <v>1.2646068597881743</v>
      </c>
      <c r="I49" s="112">
        <f t="shared" si="8"/>
        <v>1.1338330261874157</v>
      </c>
      <c r="J49" s="114">
        <f t="shared" si="4"/>
        <v>-4.9706704110307767</v>
      </c>
    </row>
    <row r="50" spans="1:10" ht="34">
      <c r="A50" s="140" t="s">
        <v>243</v>
      </c>
      <c r="B50" s="141">
        <v>2771</v>
      </c>
      <c r="C50" s="142">
        <v>290.7</v>
      </c>
      <c r="D50" s="142">
        <v>98.6</v>
      </c>
      <c r="E50" s="143">
        <v>0.99</v>
      </c>
      <c r="F50" s="111">
        <f t="shared" si="5"/>
        <v>2869.6</v>
      </c>
      <c r="G50" s="111">
        <f t="shared" si="6"/>
        <v>2578.9</v>
      </c>
      <c r="H50" s="112">
        <f t="shared" si="7"/>
        <v>3.5582822085889566E-2</v>
      </c>
      <c r="I50" s="112">
        <f t="shared" si="8"/>
        <v>0.10130331753554503</v>
      </c>
      <c r="J50" s="114">
        <f t="shared" si="4"/>
        <v>1.0785681545400723</v>
      </c>
    </row>
    <row r="51" spans="1:10" ht="34">
      <c r="A51" s="140" t="s">
        <v>244</v>
      </c>
      <c r="B51" s="141">
        <v>2714</v>
      </c>
      <c r="C51" s="142">
        <v>191.6</v>
      </c>
      <c r="D51" s="142">
        <v>26.5</v>
      </c>
      <c r="E51" s="143">
        <v>1.23</v>
      </c>
      <c r="F51" s="111">
        <f t="shared" si="5"/>
        <v>2740.5</v>
      </c>
      <c r="G51" s="111">
        <f t="shared" si="6"/>
        <v>2548.9</v>
      </c>
      <c r="H51" s="112">
        <f t="shared" si="7"/>
        <v>9.7641857037582911E-3</v>
      </c>
      <c r="I51" s="112">
        <f t="shared" si="8"/>
        <v>6.9914249224594049E-2</v>
      </c>
      <c r="J51" s="114">
        <f t="shared" si="4"/>
        <v>1.3147561935007175</v>
      </c>
    </row>
    <row r="52" spans="1:10" ht="34">
      <c r="A52" s="140" t="s">
        <v>245</v>
      </c>
      <c r="B52" s="141">
        <v>2533.6</v>
      </c>
      <c r="C52" s="142">
        <v>572.4</v>
      </c>
      <c r="D52" s="142">
        <v>900.8</v>
      </c>
      <c r="E52" s="143">
        <v>1.1000000000000001</v>
      </c>
      <c r="F52" s="111">
        <f t="shared" si="5"/>
        <v>3434.3999999999996</v>
      </c>
      <c r="G52" s="111">
        <f t="shared" si="6"/>
        <v>2861.9999999999995</v>
      </c>
      <c r="H52" s="112">
        <f t="shared" si="7"/>
        <v>0.35554152194505839</v>
      </c>
      <c r="I52" s="112">
        <f t="shared" si="8"/>
        <v>0.16666666666666669</v>
      </c>
      <c r="J52" s="114">
        <f t="shared" si="4"/>
        <v>1.0879196377452769</v>
      </c>
    </row>
    <row r="53" spans="1:10" ht="34">
      <c r="A53" s="140" t="s">
        <v>246</v>
      </c>
      <c r="B53" s="141">
        <v>2519.6999999999998</v>
      </c>
      <c r="C53" s="142">
        <v>1210.5999999999999</v>
      </c>
      <c r="D53" s="142">
        <v>1653.7</v>
      </c>
      <c r="E53" s="143">
        <v>1.04</v>
      </c>
      <c r="F53" s="111">
        <f t="shared" si="5"/>
        <v>4173.3999999999996</v>
      </c>
      <c r="G53" s="111">
        <f t="shared" si="6"/>
        <v>2962.7999999999997</v>
      </c>
      <c r="H53" s="112">
        <f t="shared" si="7"/>
        <v>0.65630829066952423</v>
      </c>
      <c r="I53" s="112">
        <f t="shared" si="8"/>
        <v>0.29007523841472183</v>
      </c>
      <c r="J53" s="114">
        <f t="shared" si="4"/>
        <v>1.0510545018231998</v>
      </c>
    </row>
    <row r="54" spans="1:10" ht="34">
      <c r="A54" s="140" t="s">
        <v>247</v>
      </c>
      <c r="B54" s="141">
        <v>2422.6</v>
      </c>
      <c r="C54" s="142">
        <v>272.89999999999998</v>
      </c>
      <c r="D54" s="142">
        <v>543</v>
      </c>
      <c r="E54" s="143">
        <v>1.9</v>
      </c>
      <c r="F54" s="111">
        <f t="shared" si="5"/>
        <v>2965.6</v>
      </c>
      <c r="G54" s="111">
        <f t="shared" si="6"/>
        <v>2692.7</v>
      </c>
      <c r="H54" s="112">
        <f t="shared" si="7"/>
        <v>0.22413935441261457</v>
      </c>
      <c r="I54" s="112">
        <f t="shared" si="8"/>
        <v>9.2021850553007822E-2</v>
      </c>
      <c r="J54" s="114">
        <f t="shared" si="4"/>
        <v>1.844505593823027</v>
      </c>
    </row>
    <row r="55" spans="1:10" ht="51">
      <c r="A55" s="140" t="s">
        <v>185</v>
      </c>
      <c r="B55" s="141">
        <v>2351.6</v>
      </c>
      <c r="C55" s="142">
        <v>202.3</v>
      </c>
      <c r="D55" s="142">
        <v>2.4</v>
      </c>
      <c r="E55" s="143">
        <v>0.91</v>
      </c>
      <c r="F55" s="111">
        <f t="shared" si="5"/>
        <v>2354</v>
      </c>
      <c r="G55" s="111">
        <f t="shared" si="6"/>
        <v>2151.6999999999998</v>
      </c>
      <c r="H55" s="112">
        <f t="shared" si="7"/>
        <v>1.0205817315870045E-3</v>
      </c>
      <c r="I55" s="112">
        <f t="shared" si="8"/>
        <v>8.5938827527612574E-2</v>
      </c>
      <c r="J55" s="114">
        <f t="shared" si="4"/>
        <v>0.99494774614456205</v>
      </c>
    </row>
    <row r="56" spans="1:10" ht="34">
      <c r="A56" s="140" t="s">
        <v>194</v>
      </c>
      <c r="B56" s="141">
        <v>2170.4</v>
      </c>
      <c r="C56" s="142">
        <v>1524.9</v>
      </c>
      <c r="D56" s="142">
        <v>194.5</v>
      </c>
      <c r="E56" s="143">
        <v>1.21</v>
      </c>
      <c r="F56" s="111">
        <f t="shared" si="5"/>
        <v>2364.9</v>
      </c>
      <c r="G56" s="111">
        <f t="shared" si="6"/>
        <v>840</v>
      </c>
      <c r="H56" s="112">
        <f t="shared" si="7"/>
        <v>8.9614817545152964E-2</v>
      </c>
      <c r="I56" s="112">
        <f t="shared" si="8"/>
        <v>0.64480527717873903</v>
      </c>
      <c r="J56" s="114">
        <f t="shared" si="4"/>
        <v>3.2327602128709465</v>
      </c>
    </row>
    <row r="57" spans="1:10" ht="34">
      <c r="A57" s="140" t="s">
        <v>248</v>
      </c>
      <c r="B57" s="141">
        <v>2111.4</v>
      </c>
      <c r="C57" s="142">
        <v>569.4</v>
      </c>
      <c r="D57" s="142">
        <v>0</v>
      </c>
      <c r="E57" s="143">
        <v>0.92</v>
      </c>
      <c r="F57" s="111">
        <f t="shared" si="5"/>
        <v>2111.4</v>
      </c>
      <c r="G57" s="111">
        <f t="shared" si="6"/>
        <v>1542</v>
      </c>
      <c r="H57" s="112">
        <f t="shared" si="7"/>
        <v>0</v>
      </c>
      <c r="I57" s="112">
        <f t="shared" si="8"/>
        <v>0.26967888604717249</v>
      </c>
      <c r="J57" s="114">
        <f t="shared" si="4"/>
        <v>1.2597198443579767</v>
      </c>
    </row>
    <row r="58" spans="1:10" ht="34">
      <c r="A58" s="140" t="s">
        <v>249</v>
      </c>
      <c r="B58" s="141">
        <v>1929.2</v>
      </c>
      <c r="C58" s="142">
        <v>261.3</v>
      </c>
      <c r="D58" s="142">
        <v>0</v>
      </c>
      <c r="E58" s="143">
        <v>0.87</v>
      </c>
      <c r="F58" s="111">
        <f t="shared" si="5"/>
        <v>1929.2</v>
      </c>
      <c r="G58" s="111">
        <f t="shared" si="6"/>
        <v>1667.9</v>
      </c>
      <c r="H58" s="112">
        <f t="shared" si="7"/>
        <v>0</v>
      </c>
      <c r="I58" s="112">
        <f t="shared" si="8"/>
        <v>0.13544474393530997</v>
      </c>
      <c r="J58" s="114">
        <f t="shared" si="4"/>
        <v>1.0062977396726422</v>
      </c>
    </row>
    <row r="59" spans="1:10" ht="34">
      <c r="A59" s="140" t="s">
        <v>250</v>
      </c>
      <c r="B59" s="141">
        <v>1830</v>
      </c>
      <c r="C59" s="142">
        <v>157.6</v>
      </c>
      <c r="D59" s="142">
        <v>708.3</v>
      </c>
      <c r="E59" s="143">
        <v>0.89</v>
      </c>
      <c r="F59" s="111">
        <f t="shared" si="5"/>
        <v>2538.3000000000002</v>
      </c>
      <c r="G59" s="111">
        <f t="shared" si="6"/>
        <v>2380.7000000000003</v>
      </c>
      <c r="H59" s="112">
        <f t="shared" si="7"/>
        <v>0.38704918032786884</v>
      </c>
      <c r="I59" s="112">
        <f t="shared" si="8"/>
        <v>6.2088799590276952E-2</v>
      </c>
      <c r="J59" s="114">
        <f t="shared" si="4"/>
        <v>0.77008148149604394</v>
      </c>
    </row>
    <row r="60" spans="1:10" ht="34">
      <c r="A60" s="140" t="s">
        <v>251</v>
      </c>
      <c r="B60" s="141">
        <v>1621.6</v>
      </c>
      <c r="C60" s="142">
        <v>14</v>
      </c>
      <c r="D60" s="142">
        <v>0.59899999999999998</v>
      </c>
      <c r="E60" s="143">
        <v>1.85</v>
      </c>
      <c r="F60" s="111">
        <f t="shared" si="5"/>
        <v>1622.1989999999998</v>
      </c>
      <c r="G60" s="111">
        <f t="shared" si="6"/>
        <v>1608.1989999999998</v>
      </c>
      <c r="H60" s="112">
        <f t="shared" si="7"/>
        <v>3.693882585101135E-4</v>
      </c>
      <c r="I60" s="112">
        <f t="shared" si="8"/>
        <v>8.6302605290719588E-3</v>
      </c>
      <c r="J60" s="114">
        <f t="shared" si="4"/>
        <v>1.8656914733691197</v>
      </c>
    </row>
    <row r="61" spans="1:10" ht="34">
      <c r="A61" s="140" t="s">
        <v>252</v>
      </c>
      <c r="B61" s="141">
        <v>1483.9</v>
      </c>
      <c r="C61" s="142">
        <v>1110.3</v>
      </c>
      <c r="D61" s="142">
        <v>6971.2</v>
      </c>
      <c r="E61" s="143">
        <v>0.93700000000000006</v>
      </c>
      <c r="F61" s="111">
        <f t="shared" si="5"/>
        <v>8455.1</v>
      </c>
      <c r="G61" s="111">
        <f t="shared" si="6"/>
        <v>7344.8</v>
      </c>
      <c r="H61" s="112">
        <f t="shared" si="7"/>
        <v>4.6978906934429538</v>
      </c>
      <c r="I61" s="112">
        <f t="shared" si="8"/>
        <v>0.13131719317335097</v>
      </c>
      <c r="J61" s="114">
        <f t="shared" si="4"/>
        <v>0.28246127144619737</v>
      </c>
    </row>
    <row r="62" spans="1:10" ht="17">
      <c r="A62" s="140" t="s">
        <v>197</v>
      </c>
      <c r="B62" s="141">
        <v>1346.3</v>
      </c>
      <c r="C62" s="142">
        <v>284.7</v>
      </c>
      <c r="D62" s="142">
        <v>802.3</v>
      </c>
      <c r="E62" s="143">
        <v>0.93200000000000005</v>
      </c>
      <c r="F62" s="111">
        <f t="shared" si="5"/>
        <v>2148.6</v>
      </c>
      <c r="G62" s="111">
        <f t="shared" si="6"/>
        <v>1863.8999999999999</v>
      </c>
      <c r="H62" s="112">
        <f t="shared" si="7"/>
        <v>0.59592958478793734</v>
      </c>
      <c r="I62" s="112">
        <f t="shared" si="8"/>
        <v>0.13250488690309969</v>
      </c>
      <c r="J62" s="114">
        <f t="shared" si="4"/>
        <v>0.79139000644473612</v>
      </c>
    </row>
    <row r="63" spans="1:10" ht="34">
      <c r="A63" s="140" t="s">
        <v>253</v>
      </c>
      <c r="B63" s="141">
        <v>1159.5</v>
      </c>
      <c r="C63" s="142">
        <v>61.9</v>
      </c>
      <c r="D63" s="142">
        <v>1391.8</v>
      </c>
      <c r="E63" s="143">
        <v>1.43</v>
      </c>
      <c r="F63" s="111">
        <f t="shared" si="5"/>
        <v>2551.3000000000002</v>
      </c>
      <c r="G63" s="111">
        <f t="shared" si="6"/>
        <v>2489.4</v>
      </c>
      <c r="H63" s="112">
        <f t="shared" si="7"/>
        <v>1.2003449762828806</v>
      </c>
      <c r="I63" s="112">
        <f t="shared" si="8"/>
        <v>2.4262140869360717E-2</v>
      </c>
      <c r="J63" s="114">
        <f t="shared" si="4"/>
        <v>0.85196582515672192</v>
      </c>
    </row>
    <row r="64" spans="1:10" ht="34">
      <c r="A64" s="140" t="s">
        <v>255</v>
      </c>
      <c r="B64" s="141">
        <v>1111</v>
      </c>
      <c r="C64" s="142">
        <v>345.6</v>
      </c>
      <c r="D64" s="142">
        <v>167.1</v>
      </c>
      <c r="E64" s="143">
        <v>0.78</v>
      </c>
      <c r="F64" s="111">
        <f t="shared" ref="F64" si="9">B64+D64</f>
        <v>1278.0999999999999</v>
      </c>
      <c r="G64" s="111">
        <f t="shared" ref="G64" si="10">F64-C64</f>
        <v>932.49999999999989</v>
      </c>
      <c r="H64" s="112">
        <f t="shared" ref="H64" si="11">D64/B64</f>
        <v>0.1504050405040504</v>
      </c>
      <c r="I64" s="112">
        <f t="shared" ref="I64" si="12">C64/F64</f>
        <v>0.27040137704404982</v>
      </c>
      <c r="J64" s="114">
        <f t="shared" ref="J64" si="13">(E64/(1+(1-0.4)*D64/B64))/(1-I64)</f>
        <v>0.98058959453694561</v>
      </c>
    </row>
    <row r="65" spans="1:10" s="113" customFormat="1">
      <c r="A65" s="115" t="s">
        <v>130</v>
      </c>
      <c r="B65" s="116">
        <f>SUM(B2:B64)</f>
        <v>2002070.9999999998</v>
      </c>
      <c r="C65" s="116">
        <f>SUM(C2:C64)</f>
        <v>532862.50000000012</v>
      </c>
      <c r="D65" s="116">
        <f>SUM(D2:D64)</f>
        <v>1562458.8289999999</v>
      </c>
      <c r="E65" s="117"/>
      <c r="F65" s="116">
        <f>SUM(F2:F64)</f>
        <v>3564529.828999999</v>
      </c>
      <c r="G65" s="116">
        <f>SUM(G2:G64)</f>
        <v>3031667.3289999994</v>
      </c>
    </row>
    <row r="66" spans="1:10" s="113" customFormat="1">
      <c r="A66" s="118"/>
      <c r="B66" s="119"/>
      <c r="C66" s="120"/>
      <c r="D66" s="120"/>
      <c r="E66" s="120"/>
    </row>
    <row r="67" spans="1:10" s="113" customFormat="1">
      <c r="A67" s="121" t="s">
        <v>129</v>
      </c>
      <c r="B67" s="122"/>
      <c r="C67" s="123"/>
      <c r="D67" s="123"/>
      <c r="E67" s="123"/>
      <c r="F67" s="122"/>
      <c r="G67" s="122"/>
      <c r="H67" s="112">
        <f>D65/B65</f>
        <v>0.78042128825601098</v>
      </c>
      <c r="I67" s="112">
        <f>C65/F65</f>
        <v>0.14949026254873299</v>
      </c>
    </row>
    <row r="68" spans="1:10" s="113" customFormat="1">
      <c r="A68" s="122" t="s">
        <v>127</v>
      </c>
      <c r="B68" s="122"/>
      <c r="C68" s="123"/>
      <c r="D68" s="123"/>
      <c r="E68" s="124">
        <f>AVERAGE(E2:E64)</f>
        <v>1.2351269841269843</v>
      </c>
      <c r="F68" s="122"/>
      <c r="G68" s="122"/>
      <c r="H68" s="112">
        <f>AVERAGE(H2:H64)</f>
        <v>0.77326193961429079</v>
      </c>
      <c r="I68" s="112">
        <f>AVERAGE(I2:I64)</f>
        <v>0.20278903923048783</v>
      </c>
      <c r="J68" s="114">
        <f>AVERAGE(J2:J64)</f>
        <v>1.1130190470408736</v>
      </c>
    </row>
    <row r="69" spans="1:10" s="129" customFormat="1">
      <c r="A69" s="125" t="s">
        <v>128</v>
      </c>
      <c r="B69" s="125"/>
      <c r="C69" s="126"/>
      <c r="D69" s="126"/>
      <c r="E69" s="127">
        <f>MEDIAN(E2:E64)</f>
        <v>1.1399999999999999</v>
      </c>
      <c r="F69" s="125"/>
      <c r="G69" s="125"/>
      <c r="H69" s="128">
        <f>MEDIAN(H2:H64)</f>
        <v>0.35554152194505839</v>
      </c>
      <c r="I69" s="128">
        <f>MEDIAN(I2:I64)</f>
        <v>0.13544474393530997</v>
      </c>
      <c r="J69" s="114">
        <f>MEDIAN(J2:J64)</f>
        <v>1.0587265662516154</v>
      </c>
    </row>
    <row r="70" spans="1:10" s="113" customFormat="1"/>
    <row r="71" spans="1:10" s="113" customFormat="1"/>
    <row r="72" spans="1:10" s="113" customFormat="1">
      <c r="A72" s="122" t="s">
        <v>47</v>
      </c>
      <c r="B72" s="130">
        <f>E69</f>
        <v>1.1399999999999999</v>
      </c>
    </row>
    <row r="73" spans="1:10" s="113" customFormat="1">
      <c r="A73" s="122" t="s">
        <v>48</v>
      </c>
      <c r="B73" s="112">
        <f>H69</f>
        <v>0.35554152194505839</v>
      </c>
    </row>
    <row r="74" spans="1:10" s="113" customFormat="1">
      <c r="A74" s="122" t="s">
        <v>49</v>
      </c>
      <c r="B74" s="122">
        <f>B72/(1+(1-0.25)*B73)</f>
        <v>0.9000074784993144</v>
      </c>
    </row>
    <row r="75" spans="1:10" s="113" customFormat="1">
      <c r="A75" s="122" t="s">
        <v>50</v>
      </c>
      <c r="B75" s="112">
        <f>I69</f>
        <v>0.13544474393530997</v>
      </c>
    </row>
    <row r="76" spans="1:10" s="113" customFormat="1">
      <c r="A76" s="122" t="s">
        <v>182</v>
      </c>
      <c r="B76" s="122">
        <f>B74/(1-B75)</f>
        <v>1.0410063118417634</v>
      </c>
    </row>
  </sheetData>
  <phoneticPr fontId="7"/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16"/>
  <sheetViews>
    <sheetView workbookViewId="0">
      <selection activeCell="C27" sqref="C27"/>
    </sheetView>
  </sheetViews>
  <sheetFormatPr baseColWidth="10" defaultRowHeight="14"/>
  <cols>
    <col min="1" max="1" width="38.28515625" bestFit="1" customWidth="1"/>
    <col min="2" max="11" width="10.85546875" bestFit="1" customWidth="1"/>
    <col min="12" max="12" width="6.85546875" bestFit="1" customWidth="1"/>
    <col min="13" max="13" width="11.85546875" customWidth="1"/>
  </cols>
  <sheetData>
    <row r="2" spans="1:13">
      <c r="A2" s="144"/>
      <c r="B2" s="35">
        <v>1</v>
      </c>
      <c r="C2" s="8">
        <f>B2+1</f>
        <v>2</v>
      </c>
      <c r="D2" s="8">
        <f t="shared" ref="D2:K2" si="0">C2+1</f>
        <v>3</v>
      </c>
      <c r="E2" s="8">
        <f t="shared" si="0"/>
        <v>4</v>
      </c>
      <c r="F2" s="8">
        <f t="shared" si="0"/>
        <v>5</v>
      </c>
      <c r="G2" s="8">
        <f t="shared" si="0"/>
        <v>6</v>
      </c>
      <c r="H2" s="8">
        <f t="shared" si="0"/>
        <v>7</v>
      </c>
      <c r="I2" s="8">
        <f t="shared" si="0"/>
        <v>8</v>
      </c>
      <c r="J2" s="8">
        <f t="shared" si="0"/>
        <v>9</v>
      </c>
      <c r="K2" s="8">
        <f t="shared" si="0"/>
        <v>10</v>
      </c>
      <c r="L2" s="144" t="s">
        <v>127</v>
      </c>
      <c r="M2" s="144" t="s">
        <v>129</v>
      </c>
    </row>
    <row r="3" spans="1:13">
      <c r="A3" s="145" t="s">
        <v>61</v>
      </c>
      <c r="B3" s="89">
        <f>'Finite Life Analysis'!C57</f>
        <v>-2559000</v>
      </c>
      <c r="C3" s="89">
        <f>'Finite Life Analysis'!D57</f>
        <v>-1491436.2000000011</v>
      </c>
      <c r="D3" s="89">
        <f>'Finite Life Analysis'!E57</f>
        <v>-314524.77672000322</v>
      </c>
      <c r="E3" s="89">
        <f>'Finite Life Analysis'!F57</f>
        <v>786863.27604441158</v>
      </c>
      <c r="F3" s="89">
        <f>'Finite Life Analysis'!G57</f>
        <v>2207961.2085713167</v>
      </c>
      <c r="G3" s="89">
        <f>'Finite Life Analysis'!H57</f>
        <v>2424321.1437645592</v>
      </c>
      <c r="H3" s="89">
        <f>'Finite Life Analysis'!I57</f>
        <v>2651627.7369831093</v>
      </c>
      <c r="I3" s="89">
        <f>'Finite Life Analysis'!J57</f>
        <v>2890434.8056560159</v>
      </c>
      <c r="J3" s="89">
        <f>'Finite Life Analysis'!K57</f>
        <v>3344359.8172092419</v>
      </c>
      <c r="K3" s="89">
        <f>'Finite Life Analysis'!L57</f>
        <v>3607942.7772009484</v>
      </c>
      <c r="L3" s="8"/>
      <c r="M3" s="89">
        <f>SUM(B3:K3)</f>
        <v>13548549.7887096</v>
      </c>
    </row>
    <row r="4" spans="1:13">
      <c r="A4" s="145" t="s">
        <v>269</v>
      </c>
      <c r="B4" s="89">
        <f>ROIC!B3+'Finite Life Analysis'!C59</f>
        <v>-1771500</v>
      </c>
      <c r="C4" s="89">
        <f>ROIC!C3+'Finite Life Analysis'!D59</f>
        <v>-664561.20000000112</v>
      </c>
      <c r="D4" s="89">
        <f>ROIC!D3+'Finite Life Analysis'!E59</f>
        <v>553693.97327999701</v>
      </c>
      <c r="E4" s="89">
        <f>ROIC!E3+'Finite Life Analysis'!F59</f>
        <v>1698492.9635444116</v>
      </c>
      <c r="F4" s="89">
        <f>ROIC!F3+'Finite Life Analysis'!G59</f>
        <v>3165172.3804463167</v>
      </c>
      <c r="G4" s="89">
        <f>ROIC!G3+'Finite Life Analysis'!H59</f>
        <v>3429392.8742333092</v>
      </c>
      <c r="H4" s="89">
        <f>ROIC!H3+'Finite Life Analysis'!I59</f>
        <v>3706953.0539752971</v>
      </c>
      <c r="I4" s="89">
        <f>ROIC!I3+'Finite Life Analysis'!J59</f>
        <v>3998526.3884978127</v>
      </c>
      <c r="J4" s="89">
        <f>ROIC!J3+'Finite Life Analysis'!K59</f>
        <v>4507855.9791931286</v>
      </c>
      <c r="K4" s="89">
        <f>ROIC!K3+'Finite Life Analysis'!L59</f>
        <v>4829613.7472840305</v>
      </c>
      <c r="L4" s="8"/>
      <c r="M4" s="89">
        <f t="shared" ref="M4:M6" si="1">SUM(B4:K4)</f>
        <v>23453640.160454303</v>
      </c>
    </row>
    <row r="5" spans="1:13">
      <c r="A5" s="145" t="s">
        <v>270</v>
      </c>
      <c r="B5" s="89">
        <f>B3+'Finite Life Analysis'!C112</f>
        <v>-2359000</v>
      </c>
      <c r="C5" s="89">
        <f>C3+'Finite Life Analysis'!D112</f>
        <v>-1289436.2000000011</v>
      </c>
      <c r="D5" s="89">
        <f>D3+'Finite Life Analysis'!E112</f>
        <v>-110504.77672000322</v>
      </c>
      <c r="E5" s="89">
        <f>E3+'Finite Life Analysis'!F112</f>
        <v>992923.47604441154</v>
      </c>
      <c r="F5" s="89">
        <f>F3+'Finite Life Analysis'!G112</f>
        <v>2416082.0105713168</v>
      </c>
      <c r="G5" s="89">
        <f>G3+'Finite Life Analysis'!H112</f>
        <v>2634523.1537845591</v>
      </c>
      <c r="H5" s="89">
        <f>H3+'Finite Life Analysis'!I112</f>
        <v>2863931.7671033093</v>
      </c>
      <c r="I5" s="89">
        <f>I3+'Finite Life Analysis'!J112</f>
        <v>3104861.8760774177</v>
      </c>
      <c r="J5" s="89">
        <f>J3+'Finite Life Analysis'!K112</f>
        <v>3560931.1583348578</v>
      </c>
      <c r="K5" s="89">
        <f>K3+'Finite Life Analysis'!L112</f>
        <v>3826679.8317378205</v>
      </c>
      <c r="L5" s="8"/>
      <c r="M5" s="89">
        <f t="shared" si="1"/>
        <v>15640992.296933688</v>
      </c>
    </row>
    <row r="6" spans="1:13">
      <c r="A6" s="145" t="s">
        <v>271</v>
      </c>
      <c r="B6" s="89">
        <f>B4+'Finite Life Analysis'!C112</f>
        <v>-1571500</v>
      </c>
      <c r="C6" s="89">
        <f>C4+'Finite Life Analysis'!D112</f>
        <v>-462561.20000000112</v>
      </c>
      <c r="D6" s="89">
        <f>D4+'Finite Life Analysis'!E112</f>
        <v>757713.97327999701</v>
      </c>
      <c r="E6" s="89">
        <f>E4+'Finite Life Analysis'!F112</f>
        <v>1904553.1635444115</v>
      </c>
      <c r="F6" s="89">
        <f>F4+'Finite Life Analysis'!G112</f>
        <v>3373293.1824463168</v>
      </c>
      <c r="G6" s="89">
        <f>G4+'Finite Life Analysis'!H112</f>
        <v>3639594.8842533091</v>
      </c>
      <c r="H6" s="89">
        <f>H4+'Finite Life Analysis'!I112</f>
        <v>3919257.0840954971</v>
      </c>
      <c r="I6" s="89">
        <f>I4+'Finite Life Analysis'!J112</f>
        <v>4212953.458919215</v>
      </c>
      <c r="J6" s="89">
        <f>J4+'Finite Life Analysis'!K112</f>
        <v>4724427.3203187445</v>
      </c>
      <c r="K6" s="89">
        <f>K4+'Finite Life Analysis'!L112</f>
        <v>5048350.8018209031</v>
      </c>
      <c r="L6" s="8"/>
      <c r="M6" s="89">
        <f t="shared" si="1"/>
        <v>25546082.668678392</v>
      </c>
    </row>
    <row r="7" spans="1:1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>
      <c r="A8" s="144" t="s">
        <v>276</v>
      </c>
      <c r="B8" s="89">
        <f>'Finite Life Analysis'!B79</f>
        <v>27000000</v>
      </c>
      <c r="C8" s="89">
        <f>'Finite Life Analysis'!C79</f>
        <v>24500000</v>
      </c>
      <c r="D8" s="89">
        <f>'Finite Life Analysis'!D79</f>
        <v>22000000</v>
      </c>
      <c r="E8" s="89">
        <f>'Finite Life Analysis'!E79</f>
        <v>19500000</v>
      </c>
      <c r="F8" s="89">
        <f>'Finite Life Analysis'!F79</f>
        <v>17000000</v>
      </c>
      <c r="G8" s="89">
        <f>'Finite Life Analysis'!G79</f>
        <v>14500000</v>
      </c>
      <c r="H8" s="89">
        <f>'Finite Life Analysis'!H79</f>
        <v>12000000</v>
      </c>
      <c r="I8" s="89">
        <f>'Finite Life Analysis'!I79</f>
        <v>9500000</v>
      </c>
      <c r="J8" s="89">
        <f>'Finite Life Analysis'!J79</f>
        <v>7000000</v>
      </c>
      <c r="K8" s="89">
        <f>'Finite Life Analysis'!K79</f>
        <v>4500000</v>
      </c>
      <c r="L8" s="8"/>
      <c r="M8" s="89">
        <f t="shared" ref="M8:M11" si="2">SUM(B8:K8)</f>
        <v>157500000</v>
      </c>
    </row>
    <row r="9" spans="1:13">
      <c r="A9" s="144" t="s">
        <v>277</v>
      </c>
      <c r="B9" s="89">
        <f>'Finite Life Analysis'!C70</f>
        <v>598000</v>
      </c>
      <c r="C9" s="89">
        <f>'Finite Life Analysis'!D70</f>
        <v>1256278.3999999999</v>
      </c>
      <c r="D9" s="89">
        <f>'Finite Life Analysis'!E70</f>
        <v>1979392.2470400005</v>
      </c>
      <c r="E9" s="89">
        <f>'Finite Life Analysis'!F70</f>
        <v>2772204.8217210886</v>
      </c>
      <c r="F9" s="89">
        <f>'Finite Life Analysis'!G70</f>
        <v>3639904.9309197906</v>
      </c>
      <c r="G9" s="89">
        <f>'Finite Life Analysis'!H70</f>
        <v>3823356.1394381472</v>
      </c>
      <c r="H9" s="89">
        <f>'Finite Life Analysis'!I70</f>
        <v>4016053.2888658312</v>
      </c>
      <c r="I9" s="89">
        <f>'Finite Life Analysis'!J70</f>
        <v>4218462.3746246696</v>
      </c>
      <c r="J9" s="89">
        <f>'Finite Life Analysis'!K70</f>
        <v>4431072.8783057518</v>
      </c>
      <c r="K9" s="89">
        <f>'Finite Life Analysis'!L70</f>
        <v>4654398.9513723627</v>
      </c>
      <c r="L9" s="8"/>
      <c r="M9" s="89">
        <f t="shared" si="2"/>
        <v>31389124.032287642</v>
      </c>
    </row>
    <row r="10" spans="1:13">
      <c r="A10" s="144" t="s">
        <v>272</v>
      </c>
      <c r="B10" s="89">
        <f>'Finite Life Analysis'!B99</f>
        <v>0</v>
      </c>
      <c r="C10" s="89">
        <f>'Finite Life Analysis'!C99</f>
        <v>0</v>
      </c>
      <c r="D10" s="89">
        <f>'Finite Life Analysis'!D99</f>
        <v>0</v>
      </c>
      <c r="E10" s="89">
        <f>'Finite Life Analysis'!E96</f>
        <v>5151505</v>
      </c>
      <c r="F10" s="89">
        <f>'Finite Life Analysis'!F99</f>
        <v>4893929.75</v>
      </c>
      <c r="G10" s="89">
        <f>'Finite Life Analysis'!G99</f>
        <v>4636354.5</v>
      </c>
      <c r="H10" s="89">
        <f>'Finite Life Analysis'!H99</f>
        <v>4378779.25</v>
      </c>
      <c r="I10" s="89">
        <f>'Finite Life Analysis'!I99</f>
        <v>4121204</v>
      </c>
      <c r="J10" s="89">
        <f>'Finite Life Analysis'!J99</f>
        <v>3863628.75</v>
      </c>
      <c r="K10" s="89">
        <f>'Finite Life Analysis'!K99</f>
        <v>3876767.6764070201</v>
      </c>
      <c r="L10" s="8"/>
      <c r="M10" s="89">
        <f t="shared" si="2"/>
        <v>30922168.926407021</v>
      </c>
    </row>
    <row r="11" spans="1:13">
      <c r="A11" s="144" t="s">
        <v>167</v>
      </c>
      <c r="B11" s="89">
        <f>B8+B9+B10</f>
        <v>27598000</v>
      </c>
      <c r="C11" s="89">
        <f t="shared" ref="C11:K11" si="3">C8+C9+C10</f>
        <v>25756278.399999999</v>
      </c>
      <c r="D11" s="89">
        <f t="shared" si="3"/>
        <v>23979392.24704</v>
      </c>
      <c r="E11" s="89">
        <f t="shared" si="3"/>
        <v>27423709.821721088</v>
      </c>
      <c r="F11" s="89">
        <f t="shared" si="3"/>
        <v>25533834.680919789</v>
      </c>
      <c r="G11" s="89">
        <f t="shared" si="3"/>
        <v>22959710.639438149</v>
      </c>
      <c r="H11" s="89">
        <f t="shared" si="3"/>
        <v>20394832.538865831</v>
      </c>
      <c r="I11" s="89">
        <f t="shared" si="3"/>
        <v>17839666.37462467</v>
      </c>
      <c r="J11" s="89">
        <f t="shared" si="3"/>
        <v>15294701.628305752</v>
      </c>
      <c r="K11" s="89">
        <f t="shared" si="3"/>
        <v>13031166.627779383</v>
      </c>
      <c r="L11" s="8"/>
      <c r="M11" s="89">
        <f t="shared" si="2"/>
        <v>219811292.9586947</v>
      </c>
    </row>
    <row r="12" spans="1:1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>
      <c r="A13" s="144" t="s">
        <v>273</v>
      </c>
      <c r="B13" s="13">
        <f>B3/B11</f>
        <v>-9.2724110442785709E-2</v>
      </c>
      <c r="C13" s="13">
        <f t="shared" ref="C13:K13" si="4">C3/C11</f>
        <v>-5.7905733772469284E-2</v>
      </c>
      <c r="D13" s="13">
        <f t="shared" si="4"/>
        <v>-1.3116461563317059E-2</v>
      </c>
      <c r="E13" s="13">
        <f t="shared" si="4"/>
        <v>2.8692809293845888E-2</v>
      </c>
      <c r="F13" s="13">
        <f t="shared" si="4"/>
        <v>8.6471978696612314E-2</v>
      </c>
      <c r="G13" s="13">
        <f t="shared" si="4"/>
        <v>0.10559023072356478</v>
      </c>
      <c r="H13" s="13">
        <f t="shared" si="4"/>
        <v>0.13001468543220351</v>
      </c>
      <c r="I13" s="13">
        <f t="shared" si="4"/>
        <v>0.16202291819579098</v>
      </c>
      <c r="J13" s="13">
        <f t="shared" si="4"/>
        <v>0.21866133112527469</v>
      </c>
      <c r="K13" s="13">
        <f t="shared" si="4"/>
        <v>0.27687028186023366</v>
      </c>
      <c r="L13" s="18">
        <f>AVERAGE(B13:K13)</f>
        <v>8.4457792954895389E-2</v>
      </c>
      <c r="M13" s="13">
        <f t="shared" ref="M13" si="5">M3/M11</f>
        <v>6.1637187090544714E-2</v>
      </c>
    </row>
    <row r="14" spans="1:13">
      <c r="A14" s="144" t="s">
        <v>274</v>
      </c>
      <c r="B14" s="13">
        <f>B4/B11</f>
        <v>-6.4189434016957744E-2</v>
      </c>
      <c r="C14" s="13">
        <f t="shared" ref="C14:K14" si="6">C4/C11</f>
        <v>-2.5801910884765137E-2</v>
      </c>
      <c r="D14" s="13">
        <f t="shared" si="6"/>
        <v>2.3090408946804922E-2</v>
      </c>
      <c r="E14" s="13">
        <f t="shared" si="6"/>
        <v>6.1935200400899504E-2</v>
      </c>
      <c r="F14" s="13">
        <f t="shared" si="6"/>
        <v>0.12395993081334933</v>
      </c>
      <c r="G14" s="13">
        <f t="shared" si="6"/>
        <v>0.14936568357018415</v>
      </c>
      <c r="H14" s="13">
        <f t="shared" si="6"/>
        <v>0.18175942591884811</v>
      </c>
      <c r="I14" s="13">
        <f t="shared" si="6"/>
        <v>0.22413683667231349</v>
      </c>
      <c r="J14" s="13">
        <f t="shared" si="6"/>
        <v>0.29473317549722478</v>
      </c>
      <c r="K14" s="13">
        <f t="shared" si="6"/>
        <v>0.37062021269749018</v>
      </c>
      <c r="L14" s="18">
        <f t="shared" ref="L14:L16" si="7">AVERAGE(B14:K14)</f>
        <v>0.13396095296153915</v>
      </c>
      <c r="M14" s="13">
        <f t="shared" ref="M14" si="8">M4/M11</f>
        <v>0.10669897731260576</v>
      </c>
    </row>
    <row r="15" spans="1:13">
      <c r="A15" s="144" t="s">
        <v>275</v>
      </c>
      <c r="B15" s="13">
        <f>B5/B11</f>
        <v>-8.5477208493369081E-2</v>
      </c>
      <c r="C15" s="13">
        <f t="shared" ref="C15:K15" si="9">C5/C11</f>
        <v>-5.0062985807763333E-2</v>
      </c>
      <c r="D15" s="13">
        <f t="shared" si="9"/>
        <v>-4.608322662291154E-3</v>
      </c>
      <c r="E15" s="13">
        <f t="shared" si="9"/>
        <v>3.6206752569193298E-2</v>
      </c>
      <c r="F15" s="13">
        <f t="shared" si="9"/>
        <v>9.462276390379934E-2</v>
      </c>
      <c r="G15" s="13">
        <f t="shared" si="9"/>
        <v>0.11474548591475754</v>
      </c>
      <c r="H15" s="13">
        <f t="shared" si="9"/>
        <v>0.14042438258051881</v>
      </c>
      <c r="I15" s="13">
        <f t="shared" si="9"/>
        <v>0.17404259759553611</v>
      </c>
      <c r="J15" s="13">
        <f t="shared" si="9"/>
        <v>0.23282122429539115</v>
      </c>
      <c r="K15" s="13">
        <f t="shared" si="9"/>
        <v>0.29365596657940346</v>
      </c>
      <c r="L15" s="18">
        <f t="shared" si="7"/>
        <v>9.4637065647517615E-2</v>
      </c>
      <c r="M15" s="13">
        <f t="shared" ref="M15" si="10">M5/M11</f>
        <v>7.1156454640721428E-2</v>
      </c>
    </row>
    <row r="16" spans="1:13">
      <c r="A16" s="144" t="s">
        <v>273</v>
      </c>
      <c r="B16" s="13">
        <f>B6/B11</f>
        <v>-5.694253206754113E-2</v>
      </c>
      <c r="C16" s="13">
        <f t="shared" ref="C16:K16" si="11">C6/C11</f>
        <v>-1.7959162920059179E-2</v>
      </c>
      <c r="D16" s="13">
        <f t="shared" si="11"/>
        <v>3.1598547847830824E-2</v>
      </c>
      <c r="E16" s="13">
        <f t="shared" si="11"/>
        <v>6.9449143676246911E-2</v>
      </c>
      <c r="F16" s="13">
        <f t="shared" si="11"/>
        <v>0.13211071602053637</v>
      </c>
      <c r="G16" s="13">
        <f t="shared" si="11"/>
        <v>0.15852093876137693</v>
      </c>
      <c r="H16" s="13">
        <f t="shared" si="11"/>
        <v>0.19216912306716344</v>
      </c>
      <c r="I16" s="13">
        <f t="shared" si="11"/>
        <v>0.23615651607205865</v>
      </c>
      <c r="J16" s="13">
        <f t="shared" si="11"/>
        <v>0.30889306866734123</v>
      </c>
      <c r="K16" s="13">
        <f t="shared" si="11"/>
        <v>0.38740589741665998</v>
      </c>
      <c r="L16" s="18">
        <f t="shared" si="7"/>
        <v>0.14414022565416143</v>
      </c>
      <c r="M16" s="13">
        <f t="shared" ref="M16" si="12">M6/M11</f>
        <v>0.11621824486278247</v>
      </c>
    </row>
  </sheetData>
  <printOptions gridLines="1" gridLinesSet="0"/>
  <pageMargins left="0.75" right="0.75" top="1" bottom="1" header="0.5" footer="0.5"/>
  <pageSetup paperSize="0" orientation="portrait" horizontalDpi="4294967292" verticalDpi="4294967292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F7"/>
  <sheetViews>
    <sheetView workbookViewId="0">
      <selection activeCell="B8" sqref="B8"/>
    </sheetView>
  </sheetViews>
  <sheetFormatPr baseColWidth="10" defaultRowHeight="14"/>
  <sheetData>
    <row r="2" spans="1:6">
      <c r="B2" s="102">
        <v>0.3</v>
      </c>
      <c r="C2" s="102">
        <v>0.35</v>
      </c>
      <c r="D2" s="102">
        <v>0.4</v>
      </c>
      <c r="E2" s="102">
        <v>0.45</v>
      </c>
      <c r="F2" s="102">
        <v>0.5</v>
      </c>
    </row>
    <row r="3" spans="1:6">
      <c r="A3" s="76">
        <v>900</v>
      </c>
      <c r="B3" s="36">
        <v>279</v>
      </c>
      <c r="C3" s="36">
        <v>45</v>
      </c>
      <c r="D3" s="36">
        <v>-383</v>
      </c>
      <c r="E3" s="36">
        <v>-421</v>
      </c>
      <c r="F3" s="36">
        <v>-652</v>
      </c>
    </row>
    <row r="4" spans="1:6">
      <c r="A4" s="76">
        <v>950</v>
      </c>
      <c r="B4" s="36">
        <v>431</v>
      </c>
      <c r="C4" s="36">
        <v>185</v>
      </c>
      <c r="D4" s="36">
        <v>-183</v>
      </c>
      <c r="E4" s="36">
        <v>-306</v>
      </c>
      <c r="F4" s="36">
        <v>-551</v>
      </c>
    </row>
    <row r="5" spans="1:6">
      <c r="A5" s="76">
        <v>1000</v>
      </c>
      <c r="B5" s="36">
        <v>583</v>
      </c>
      <c r="C5" s="36">
        <v>325</v>
      </c>
      <c r="D5" s="36">
        <v>67</v>
      </c>
      <c r="E5" s="36">
        <v>-191</v>
      </c>
      <c r="F5" s="36">
        <v>-450</v>
      </c>
    </row>
    <row r="6" spans="1:6">
      <c r="A6" s="76">
        <v>1050</v>
      </c>
      <c r="B6" s="36">
        <v>735</v>
      </c>
      <c r="C6" s="36">
        <v>565</v>
      </c>
      <c r="D6" s="36">
        <v>267</v>
      </c>
      <c r="E6" s="36">
        <v>-76</v>
      </c>
      <c r="F6" s="36">
        <v>-349</v>
      </c>
    </row>
    <row r="7" spans="1:6">
      <c r="A7" s="76">
        <v>1100</v>
      </c>
      <c r="B7" s="36">
        <v>887</v>
      </c>
      <c r="C7" s="36">
        <v>705</v>
      </c>
      <c r="D7" s="36">
        <v>467</v>
      </c>
      <c r="E7" s="36">
        <v>39</v>
      </c>
      <c r="F7" s="36">
        <v>-248</v>
      </c>
    </row>
  </sheetData>
  <phoneticPr fontId="7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31"/>
  <sheetViews>
    <sheetView workbookViewId="0">
      <selection activeCell="C17" sqref="C17"/>
    </sheetView>
  </sheetViews>
  <sheetFormatPr baseColWidth="10" defaultRowHeight="14"/>
  <cols>
    <col min="2" max="2" width="11.7109375" bestFit="1" customWidth="1"/>
  </cols>
  <sheetData>
    <row r="1" spans="1:11" s="38" customFormat="1" ht="19">
      <c r="A1" s="37" t="s">
        <v>72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s="43" customFormat="1" ht="16">
      <c r="A2" s="39" t="s">
        <v>73</v>
      </c>
      <c r="B2" s="40"/>
      <c r="C2" s="40"/>
      <c r="D2" s="40"/>
      <c r="E2" s="40"/>
      <c r="F2" s="40"/>
      <c r="G2" s="40"/>
      <c r="H2" s="40"/>
      <c r="I2" s="40"/>
      <c r="J2" s="41"/>
      <c r="K2" s="42"/>
    </row>
    <row r="3" spans="1:11" s="43" customFormat="1" ht="16">
      <c r="A3" s="44" t="s">
        <v>13</v>
      </c>
      <c r="B3" s="45"/>
      <c r="C3" s="45"/>
      <c r="D3" s="45"/>
      <c r="E3" s="45"/>
      <c r="F3" s="45"/>
      <c r="G3" s="45"/>
      <c r="H3" s="45"/>
      <c r="I3" s="45"/>
      <c r="J3" s="46"/>
      <c r="K3" s="42"/>
    </row>
    <row r="4" spans="1:11" s="50" customFormat="1" ht="16">
      <c r="A4" s="47" t="s">
        <v>14</v>
      </c>
      <c r="B4" s="48"/>
      <c r="C4" s="48"/>
      <c r="D4" s="48"/>
      <c r="E4" s="48"/>
      <c r="F4" s="48"/>
      <c r="G4" s="48"/>
      <c r="H4" s="48"/>
      <c r="I4" s="48"/>
      <c r="J4" s="49"/>
    </row>
    <row r="5" spans="1:11" s="38" customFormat="1" ht="19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</row>
    <row r="6" spans="1:11" s="51" customFormat="1">
      <c r="A6" s="51" t="s">
        <v>15</v>
      </c>
    </row>
    <row r="7" spans="1:11" s="52" customFormat="1">
      <c r="A7" s="52" t="s">
        <v>16</v>
      </c>
      <c r="E7" s="53">
        <v>2004</v>
      </c>
    </row>
    <row r="8" spans="1:11" s="54" customFormat="1">
      <c r="A8" s="54" t="s">
        <v>87</v>
      </c>
    </row>
    <row r="9" spans="1:11" s="52" customFormat="1">
      <c r="A9" s="55" t="s">
        <v>24</v>
      </c>
      <c r="B9" s="55" t="s">
        <v>88</v>
      </c>
      <c r="C9" s="52" t="s">
        <v>89</v>
      </c>
    </row>
    <row r="10" spans="1:11" s="52" customFormat="1">
      <c r="A10" s="55">
        <v>1</v>
      </c>
      <c r="B10" s="56">
        <v>2198</v>
      </c>
    </row>
    <row r="11" spans="1:11" s="52" customFormat="1">
      <c r="A11" s="55">
        <v>2</v>
      </c>
      <c r="B11" s="56">
        <v>2170</v>
      </c>
    </row>
    <row r="12" spans="1:11" s="52" customFormat="1">
      <c r="A12" s="55">
        <v>3</v>
      </c>
      <c r="B12" s="56">
        <v>1995</v>
      </c>
    </row>
    <row r="13" spans="1:11" s="52" customFormat="1">
      <c r="A13" s="55">
        <v>4</v>
      </c>
      <c r="B13" s="56">
        <v>1738</v>
      </c>
    </row>
    <row r="14" spans="1:11" s="52" customFormat="1">
      <c r="A14" s="55">
        <v>5</v>
      </c>
      <c r="B14" s="56">
        <v>1389</v>
      </c>
    </row>
    <row r="15" spans="1:11" s="52" customFormat="1">
      <c r="A15" s="55" t="s">
        <v>90</v>
      </c>
      <c r="B15" s="56">
        <v>5601</v>
      </c>
    </row>
    <row r="16" spans="1:11" s="52" customFormat="1" ht="15" thickBot="1"/>
    <row r="17" spans="1:5" s="52" customFormat="1" ht="15" thickBot="1">
      <c r="A17" s="52" t="s">
        <v>91</v>
      </c>
      <c r="C17" s="57">
        <f>'Finite Life Analysis'!B16</f>
        <v>2.0999999999999998E-2</v>
      </c>
    </row>
    <row r="18" spans="1:5" s="52" customFormat="1"/>
    <row r="19" spans="1:5" s="51" customFormat="1">
      <c r="A19" s="51" t="s">
        <v>7</v>
      </c>
      <c r="D19" s="58"/>
    </row>
    <row r="20" spans="1:5" s="52" customFormat="1">
      <c r="A20" s="52" t="s">
        <v>8</v>
      </c>
      <c r="D20" s="59">
        <f>INT(B15/AVERAGE(B10:B14))</f>
        <v>2</v>
      </c>
      <c r="E20" s="52" t="s">
        <v>118</v>
      </c>
    </row>
    <row r="21" spans="1:5" s="51" customFormat="1">
      <c r="E21" s="52" t="s">
        <v>119</v>
      </c>
    </row>
    <row r="22" spans="1:5" s="54" customFormat="1">
      <c r="A22" s="54" t="s">
        <v>120</v>
      </c>
    </row>
    <row r="23" spans="1:5" s="52" customFormat="1">
      <c r="A23" s="55" t="s">
        <v>24</v>
      </c>
      <c r="B23" s="55" t="s">
        <v>88</v>
      </c>
      <c r="C23" s="55" t="s">
        <v>121</v>
      </c>
    </row>
    <row r="24" spans="1:5" s="52" customFormat="1">
      <c r="A24" s="60">
        <f>A10</f>
        <v>1</v>
      </c>
      <c r="B24" s="61">
        <f>B10</f>
        <v>2198</v>
      </c>
      <c r="C24" s="62">
        <f>B24/(1+$C$17)^A24</f>
        <v>2152.7913809990209</v>
      </c>
    </row>
    <row r="25" spans="1:5" s="52" customFormat="1">
      <c r="A25" s="60">
        <f t="shared" ref="A25:B28" si="0">A11</f>
        <v>2</v>
      </c>
      <c r="B25" s="61">
        <f t="shared" si="0"/>
        <v>2170</v>
      </c>
      <c r="C25" s="62">
        <f>B25/(1+$C$17)^A25</f>
        <v>2081.6525827360979</v>
      </c>
    </row>
    <row r="26" spans="1:5" s="52" customFormat="1">
      <c r="A26" s="60">
        <f t="shared" si="0"/>
        <v>3</v>
      </c>
      <c r="B26" s="61">
        <f t="shared" si="0"/>
        <v>1995</v>
      </c>
      <c r="C26" s="62">
        <f>B26/(1+$C$17)^A26</f>
        <v>1874.4146664553662</v>
      </c>
    </row>
    <row r="27" spans="1:5" s="52" customFormat="1">
      <c r="A27" s="60">
        <f t="shared" si="0"/>
        <v>4</v>
      </c>
      <c r="B27" s="61">
        <f t="shared" si="0"/>
        <v>1738</v>
      </c>
      <c r="C27" s="62">
        <f>B27/(1+$C$17)^A27</f>
        <v>1599.3621125779321</v>
      </c>
    </row>
    <row r="28" spans="1:5" s="52" customFormat="1">
      <c r="A28" s="60">
        <f t="shared" si="0"/>
        <v>5</v>
      </c>
      <c r="B28" s="61">
        <f t="shared" si="0"/>
        <v>1389</v>
      </c>
      <c r="C28" s="62">
        <f>B28/(1+$C$17)^A28</f>
        <v>1251.9112303145723</v>
      </c>
    </row>
    <row r="29" spans="1:5" s="52" customFormat="1" ht="15" thickBot="1">
      <c r="A29" s="63" t="str">
        <f>A15</f>
        <v>6 and beyond</v>
      </c>
      <c r="B29" s="64">
        <f>IF(B15&gt;0,IF(D20&gt;1,B15/D20,B15),0)</f>
        <v>2800.5</v>
      </c>
      <c r="C29" s="65">
        <f>IF(D20&gt;0,(B29*(1-(1+C17)^(-D20))/C17)/(1+$C$17)^5,B29/(1+C17)^6)</f>
        <v>4893.5236989245286</v>
      </c>
      <c r="D29" s="52" t="s">
        <v>122</v>
      </c>
    </row>
    <row r="30" spans="1:5" s="52" customFormat="1" ht="15" thickBot="1">
      <c r="A30" s="66" t="s">
        <v>123</v>
      </c>
      <c r="B30" s="66"/>
      <c r="C30" s="67">
        <f>SUM(C24:C29)</f>
        <v>13853.655672007517</v>
      </c>
    </row>
    <row r="31" spans="1:5" s="52" customFormat="1"/>
  </sheetData>
  <phoneticPr fontId="7"/>
  <printOptions gridLines="1" gridLinesSet="0"/>
  <pageMargins left="0.75" right="0.75" top="1" bottom="1" header="0.5" footer="0.5"/>
  <headerFooter alignWithMargins="0">
    <oddHeader>&amp;A</oddHeader>
    <oddFooter>Page &amp;P</oddFooter>
  </headerFooter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0"/>
  <sheetViews>
    <sheetView workbookViewId="0">
      <selection activeCell="D2" sqref="D2"/>
    </sheetView>
  </sheetViews>
  <sheetFormatPr baseColWidth="10" defaultRowHeight="14"/>
  <cols>
    <col min="1" max="1" width="19.7109375" bestFit="1" customWidth="1"/>
    <col min="2" max="2" width="11.42578125" bestFit="1" customWidth="1"/>
    <col min="3" max="3" width="11.42578125" customWidth="1"/>
    <col min="4" max="4" width="33.7109375" bestFit="1" customWidth="1"/>
    <col min="5" max="5" width="13.7109375" bestFit="1" customWidth="1"/>
  </cols>
  <sheetData>
    <row r="1" spans="1:5" ht="15" thickBot="1">
      <c r="A1" s="8" t="s">
        <v>161</v>
      </c>
      <c r="B1" s="8" t="s">
        <v>150</v>
      </c>
      <c r="C1" s="8" t="s">
        <v>163</v>
      </c>
      <c r="D1" s="8" t="s">
        <v>151</v>
      </c>
      <c r="E1" s="13" t="s">
        <v>152</v>
      </c>
    </row>
    <row r="2" spans="1:5" ht="17" thickBot="1">
      <c r="A2" s="104" t="s">
        <v>153</v>
      </c>
      <c r="B2" s="109">
        <v>0.02</v>
      </c>
      <c r="C2" s="136">
        <v>4.9200000000000001E-2</v>
      </c>
      <c r="D2" s="18">
        <f>'Finite Life Analysis'!$B$28+C2</f>
        <v>9.920000000000001E-2</v>
      </c>
      <c r="E2" s="13">
        <f t="shared" ref="E2:E9" si="0">B2*D2</f>
        <v>1.9840000000000001E-3</v>
      </c>
    </row>
    <row r="3" spans="1:5" ht="17" thickBot="1">
      <c r="A3" s="104" t="s">
        <v>154</v>
      </c>
      <c r="B3" s="109">
        <v>0.3</v>
      </c>
      <c r="C3" s="137">
        <v>1.03E-2</v>
      </c>
      <c r="D3" s="18">
        <f>'Finite Life Analysis'!$B$28+C3</f>
        <v>6.0300000000000006E-2</v>
      </c>
      <c r="E3" s="13">
        <f t="shared" si="0"/>
        <v>1.8090000000000002E-2</v>
      </c>
    </row>
    <row r="4" spans="1:5" ht="17" thickBot="1">
      <c r="A4" s="104" t="s">
        <v>155</v>
      </c>
      <c r="B4" s="109">
        <v>0.08</v>
      </c>
      <c r="C4" s="137">
        <v>0</v>
      </c>
      <c r="D4" s="18">
        <f>'Finite Life Analysis'!$B$28+C4</f>
        <v>0.05</v>
      </c>
      <c r="E4" s="13">
        <f t="shared" si="0"/>
        <v>4.0000000000000001E-3</v>
      </c>
    </row>
    <row r="5" spans="1:5" ht="17" thickBot="1">
      <c r="A5" s="104" t="s">
        <v>156</v>
      </c>
      <c r="B5" s="109">
        <v>0.1</v>
      </c>
      <c r="C5" s="137">
        <v>3.9899999999999998E-2</v>
      </c>
      <c r="D5" s="18">
        <f>'Finite Life Analysis'!$B$28+C5</f>
        <v>8.9900000000000008E-2</v>
      </c>
      <c r="E5" s="13">
        <f t="shared" si="0"/>
        <v>8.9900000000000015E-3</v>
      </c>
    </row>
    <row r="6" spans="1:5" ht="17" thickBot="1">
      <c r="A6" s="104" t="s">
        <v>157</v>
      </c>
      <c r="B6" s="109">
        <v>0.05</v>
      </c>
      <c r="C6" s="137">
        <v>2.0799999999999999E-2</v>
      </c>
      <c r="D6" s="18">
        <f>'Finite Life Analysis'!$B$28+C6</f>
        <v>7.0800000000000002E-2</v>
      </c>
      <c r="E6" s="13">
        <f t="shared" si="0"/>
        <v>3.5400000000000002E-3</v>
      </c>
    </row>
    <row r="7" spans="1:5" ht="17" thickBot="1">
      <c r="A7" s="104" t="s">
        <v>158</v>
      </c>
      <c r="B7" s="109">
        <v>0.05</v>
      </c>
      <c r="C7" s="137">
        <v>1.5299999999999999E-2</v>
      </c>
      <c r="D7" s="18">
        <f>'Finite Life Analysis'!$B$28+C7</f>
        <v>6.5299999999999997E-2</v>
      </c>
      <c r="E7" s="13">
        <f t="shared" si="0"/>
        <v>3.2650000000000001E-3</v>
      </c>
    </row>
    <row r="8" spans="1:5" ht="17" thickBot="1">
      <c r="A8" s="104" t="s">
        <v>159</v>
      </c>
      <c r="B8" s="109">
        <v>0.25</v>
      </c>
      <c r="C8" s="137">
        <v>0</v>
      </c>
      <c r="D8" s="18">
        <f>'Finite Life Analysis'!$B$28+C8</f>
        <v>0.05</v>
      </c>
      <c r="E8" s="13">
        <f t="shared" si="0"/>
        <v>1.2500000000000001E-2</v>
      </c>
    </row>
    <row r="9" spans="1:5" ht="17" thickBot="1">
      <c r="A9" s="104" t="s">
        <v>160</v>
      </c>
      <c r="B9" s="109">
        <v>0.15</v>
      </c>
      <c r="C9" s="137">
        <v>8.3999999999999995E-3</v>
      </c>
      <c r="D9" s="18">
        <f>'Finite Life Analysis'!$B$28+C9</f>
        <v>5.8400000000000001E-2</v>
      </c>
      <c r="E9" s="105">
        <f t="shared" si="0"/>
        <v>8.7600000000000004E-3</v>
      </c>
    </row>
    <row r="10" spans="1:5" ht="15" thickBot="1">
      <c r="B10" s="93">
        <f>SUM(B2:B9)</f>
        <v>1</v>
      </c>
      <c r="C10" s="93"/>
      <c r="E10" s="106">
        <f>SUM(E2:E9)</f>
        <v>6.1129000000000003E-2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1"/>
  <sheetViews>
    <sheetView workbookViewId="0">
      <selection activeCell="B2" sqref="B2:B11"/>
    </sheetView>
  </sheetViews>
  <sheetFormatPr baseColWidth="10" defaultRowHeight="14"/>
  <cols>
    <col min="2" max="2" width="12" bestFit="1" customWidth="1"/>
  </cols>
  <sheetData>
    <row r="1" spans="1:4">
      <c r="A1" t="s">
        <v>24</v>
      </c>
      <c r="B1" t="s">
        <v>166</v>
      </c>
      <c r="C1" t="s">
        <v>167</v>
      </c>
      <c r="D1" t="s">
        <v>168</v>
      </c>
    </row>
    <row r="2" spans="1:4">
      <c r="A2">
        <v>1</v>
      </c>
      <c r="B2" s="36">
        <f>'Finite Life Analysis'!C101+'Finite Life Analysis'!C112</f>
        <v>-2359000</v>
      </c>
    </row>
    <row r="3" spans="1:4">
      <c r="A3">
        <v>2</v>
      </c>
      <c r="B3" s="36">
        <f>'Finite Life Analysis'!D101+'Finite Life Analysis'!D112</f>
        <v>-1289436.2000000011</v>
      </c>
    </row>
    <row r="4" spans="1:4">
      <c r="A4">
        <v>3</v>
      </c>
      <c r="B4" s="36">
        <f>'Finite Life Analysis'!E101+'Finite Life Analysis'!E112</f>
        <v>-110504.77672000322</v>
      </c>
    </row>
    <row r="5" spans="1:4">
      <c r="A5">
        <v>4</v>
      </c>
      <c r="B5" s="36">
        <f>'Finite Life Analysis'!F101+'Finite Life Analysis'!F112</f>
        <v>992923.47604441154</v>
      </c>
    </row>
    <row r="6" spans="1:4">
      <c r="A6">
        <v>5</v>
      </c>
      <c r="B6" s="36">
        <f>'Finite Life Analysis'!G101+'Finite Life Analysis'!G112</f>
        <v>2416082.0105713168</v>
      </c>
    </row>
    <row r="7" spans="1:4">
      <c r="A7">
        <v>6</v>
      </c>
      <c r="B7" s="36">
        <f>'Finite Life Analysis'!H101+'Finite Life Analysis'!H112</f>
        <v>2634523.1537845591</v>
      </c>
    </row>
    <row r="8" spans="1:4">
      <c r="A8">
        <v>7</v>
      </c>
      <c r="B8" s="36">
        <f>'Finite Life Analysis'!I101+'Finite Life Analysis'!I112</f>
        <v>2863931.7671033093</v>
      </c>
    </row>
    <row r="9" spans="1:4">
      <c r="A9">
        <v>8</v>
      </c>
      <c r="B9" s="36">
        <f>'Finite Life Analysis'!J101+'Finite Life Analysis'!J112</f>
        <v>3104861.8760774177</v>
      </c>
    </row>
    <row r="10" spans="1:4">
      <c r="A10">
        <v>9</v>
      </c>
      <c r="B10" s="36">
        <f>'Finite Life Analysis'!K101+'Finite Life Analysis'!K112</f>
        <v>3560931.1583348578</v>
      </c>
    </row>
    <row r="11" spans="1:4">
      <c r="A11">
        <v>10</v>
      </c>
      <c r="B11" s="36">
        <f>'Finite Life Analysis'!L101+'Finite Life Analysis'!L112</f>
        <v>3826679.8317378205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2"/>
  <sheetViews>
    <sheetView workbookViewId="0">
      <selection activeCell="D12" sqref="A1:D12"/>
    </sheetView>
  </sheetViews>
  <sheetFormatPr baseColWidth="10" defaultRowHeight="14"/>
  <cols>
    <col min="1" max="1" width="8.140625" customWidth="1"/>
    <col min="2" max="3" width="16.7109375" style="1" bestFit="1" customWidth="1"/>
    <col min="4" max="4" width="19.5703125" bestFit="1" customWidth="1"/>
  </cols>
  <sheetData>
    <row r="1" spans="1:4" ht="19">
      <c r="A1" s="148" t="s">
        <v>24</v>
      </c>
      <c r="B1" s="147" t="s">
        <v>278</v>
      </c>
      <c r="C1" s="147" t="s">
        <v>279</v>
      </c>
      <c r="D1" s="150" t="s">
        <v>280</v>
      </c>
    </row>
    <row r="2" spans="1:4" ht="19">
      <c r="A2" s="146">
        <v>0</v>
      </c>
      <c r="B2" s="149">
        <f>'Finite Life Analysis'!B64</f>
        <v>-27598000</v>
      </c>
      <c r="C2" s="149">
        <f>'Longer Life Analysis'!B64</f>
        <v>-27598000</v>
      </c>
      <c r="D2" s="151">
        <f>C2-B2</f>
        <v>0</v>
      </c>
    </row>
    <row r="3" spans="1:4" ht="19">
      <c r="A3" s="146">
        <v>1</v>
      </c>
      <c r="B3" s="149">
        <f>'Finite Life Analysis'!C64</f>
        <v>70221.600000000093</v>
      </c>
      <c r="C3" s="149">
        <f>'Longer Life Analysis'!C64</f>
        <v>-1444778.4</v>
      </c>
      <c r="D3" s="151">
        <f t="shared" ref="D3:D12" si="0">C3-B3</f>
        <v>-1515000</v>
      </c>
    </row>
    <row r="4" spans="1:4" ht="19">
      <c r="A4" s="146">
        <v>2</v>
      </c>
      <c r="B4" s="149">
        <f>'Finite Life Analysis'!D64</f>
        <v>1112324.9529599983</v>
      </c>
      <c r="C4" s="149">
        <f>'Longer Life Analysis'!D64</f>
        <v>-627139.1520400017</v>
      </c>
      <c r="D4" s="151">
        <f t="shared" si="0"/>
        <v>-1739464.105</v>
      </c>
    </row>
    <row r="5" spans="1:4" ht="19">
      <c r="A5" s="146">
        <v>3</v>
      </c>
      <c r="B5" s="149">
        <f>'Finite Life Analysis'!E64</f>
        <v>-2890623.6014010916</v>
      </c>
      <c r="C5" s="149">
        <f>'Longer Life Analysis'!E64</f>
        <v>-4855232.0124337375</v>
      </c>
      <c r="D5" s="151">
        <f t="shared" si="0"/>
        <v>-1964608.411032646</v>
      </c>
    </row>
    <row r="6" spans="1:4" ht="19">
      <c r="A6" s="146">
        <v>4</v>
      </c>
      <c r="B6" s="149">
        <f>'Finite Life Analysis'!F64</f>
        <v>3588368.1043457096</v>
      </c>
      <c r="C6" s="149">
        <f>'Longer Life Analysis'!F64</f>
        <v>1389925.3488261681</v>
      </c>
      <c r="D6" s="151">
        <f t="shared" si="0"/>
        <v>-2198442.7555195414</v>
      </c>
    </row>
    <row r="7" spans="1:4" ht="19">
      <c r="A7" s="146">
        <v>5</v>
      </c>
      <c r="B7" s="149">
        <f>'Finite Life Analysis'!G64</f>
        <v>5739296.4219279606</v>
      </c>
      <c r="C7" s="149">
        <f>'Longer Life Analysis'!G64</f>
        <v>3290164.9912816198</v>
      </c>
      <c r="D7" s="151">
        <f t="shared" si="0"/>
        <v>-2449131.4306463408</v>
      </c>
    </row>
    <row r="8" spans="1:4" ht="19">
      <c r="A8" s="146">
        <v>6</v>
      </c>
      <c r="B8" s="149">
        <f>'Finite Life Analysis'!H64</f>
        <v>5994270.9748056252</v>
      </c>
      <c r="C8" s="149">
        <f>'Longer Life Analysis'!H64</f>
        <v>3511778.0134225572</v>
      </c>
      <c r="D8" s="151">
        <f t="shared" si="0"/>
        <v>-2482492.961383068</v>
      </c>
    </row>
    <row r="9" spans="1:4" ht="19">
      <c r="A9" s="146">
        <v>7</v>
      </c>
      <c r="B9" s="149">
        <f>'Finite Life Analysis'!I64</f>
        <v>6262119.2182164583</v>
      </c>
      <c r="C9" s="149">
        <f>'Longer Life Analysis'!I64</f>
        <v>3743752.2620191514</v>
      </c>
      <c r="D9" s="151">
        <f t="shared" si="0"/>
        <v>-2518366.956197307</v>
      </c>
    </row>
    <row r="10" spans="1:4" ht="19">
      <c r="A10" s="146">
        <v>8</v>
      </c>
      <c r="B10" s="149">
        <f>'Finite Life Analysis'!J64</f>
        <v>11957774.662957132</v>
      </c>
      <c r="C10" s="149">
        <f>'Longer Life Analysis'!J64</f>
        <v>9400880.5903263167</v>
      </c>
      <c r="D10" s="151">
        <f t="shared" si="0"/>
        <v>-2556894.0726308152</v>
      </c>
    </row>
    <row r="11" spans="1:4" ht="19">
      <c r="A11" s="146">
        <v>9</v>
      </c>
      <c r="B11" s="149">
        <f>'Finite Life Analysis'!K64</f>
        <v>6771390.9797194973</v>
      </c>
      <c r="C11" s="149">
        <f>'Longer Life Analysis'!K64</f>
        <v>4173163.8105665585</v>
      </c>
      <c r="D11" s="151">
        <f t="shared" si="0"/>
        <v>-2598227.1691529388</v>
      </c>
    </row>
    <row r="12" spans="1:4" ht="19">
      <c r="A12" s="146">
        <v>10</v>
      </c>
      <c r="B12" s="149">
        <f>'Finite Life Analysis'!L64</f>
        <v>13970873.772249373</v>
      </c>
      <c r="C12" s="149">
        <f>'Longer Life Analysis'!L64</f>
        <v>73988151.810612619</v>
      </c>
      <c r="D12" s="151">
        <f t="shared" si="0"/>
        <v>60017278.038363248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Charts</vt:lpstr>
      </vt:variant>
      <vt:variant>
        <vt:i4>1</vt:i4>
      </vt:variant>
    </vt:vector>
  </HeadingPairs>
  <TitlesOfParts>
    <vt:vector size="17" baseType="lpstr">
      <vt:lpstr>Finite Life Analysis</vt:lpstr>
      <vt:lpstr>Longer Life Analysis</vt:lpstr>
      <vt:lpstr>Beta</vt:lpstr>
      <vt:lpstr>ROIC</vt:lpstr>
      <vt:lpstr>Sensitivity to price &amp; costs</vt:lpstr>
      <vt:lpstr>Operating Leases</vt:lpstr>
      <vt:lpstr>ERP calculation</vt:lpstr>
      <vt:lpstr>ROIC calculations</vt:lpstr>
      <vt:lpstr>Finite vs Infinite</vt:lpstr>
      <vt:lpstr>Sheet10</vt:lpstr>
      <vt:lpstr>Sheet11</vt:lpstr>
      <vt:lpstr>Sheet12</vt:lpstr>
      <vt:lpstr>Sheet13</vt:lpstr>
      <vt:lpstr>Sheet14</vt:lpstr>
      <vt:lpstr>Sheet15</vt:lpstr>
      <vt:lpstr>Sheet16</vt:lpstr>
      <vt:lpstr>Senschart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2000-02-25T15:05:30Z</dcterms:created>
  <dcterms:modified xsi:type="dcterms:W3CDTF">2021-03-31T16:09:10Z</dcterms:modified>
</cp:coreProperties>
</file>