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dfiles/eqexams/"/>
    </mc:Choice>
  </mc:AlternateContent>
  <xr:revisionPtr revIDLastSave="0" documentId="8_{2B6E2738-4959-094F-96D7-07856040F82F}" xr6:coauthVersionLast="47" xr6:coauthVersionMax="47" xr10:uidLastSave="{00000000-0000-0000-0000-000000000000}"/>
  <bookViews>
    <workbookView xWindow="8400" yWindow="500" windowWidth="27640" windowHeight="23500" xr2:uid="{92AE6E12-BD30-3E43-9AC7-B312485FD6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2" i="1" l="1"/>
  <c r="B96" i="1"/>
  <c r="B91" i="1"/>
  <c r="B77" i="1"/>
  <c r="B89" i="1"/>
  <c r="B93" i="1" s="1"/>
  <c r="B88" i="1"/>
  <c r="B92" i="1" s="1"/>
  <c r="B94" i="1" s="1"/>
  <c r="B183" i="1"/>
  <c r="A164" i="1"/>
  <c r="C53" i="1"/>
  <c r="B90" i="1" l="1"/>
  <c r="B95" i="1" s="1"/>
  <c r="C199" i="1"/>
  <c r="C202" i="1" s="1"/>
  <c r="C203" i="1" s="1"/>
  <c r="B190" i="1"/>
  <c r="B188" i="1"/>
  <c r="B180" i="1"/>
  <c r="B187" i="1" s="1"/>
  <c r="C169" i="1"/>
  <c r="D169" i="1" s="1"/>
  <c r="B169" i="1"/>
  <c r="C155" i="1"/>
  <c r="A167" i="1"/>
  <c r="A166" i="1"/>
  <c r="A165" i="1"/>
  <c r="C167" i="1"/>
  <c r="D167" i="1" s="1"/>
  <c r="B167" i="1"/>
  <c r="B166" i="1"/>
  <c r="B173" i="1" s="1"/>
  <c r="C165" i="1"/>
  <c r="B165" i="1"/>
  <c r="C164" i="1"/>
  <c r="B164" i="1"/>
  <c r="C163" i="1"/>
  <c r="B163" i="1"/>
  <c r="B138" i="1"/>
  <c r="B139" i="1" s="1"/>
  <c r="B140" i="1" s="1"/>
  <c r="B141" i="1" s="1"/>
  <c r="C148" i="1" s="1"/>
  <c r="B148" i="1"/>
  <c r="B144" i="1"/>
  <c r="B143" i="1"/>
  <c r="B122" i="1"/>
  <c r="B119" i="1"/>
  <c r="C122" i="1" s="1"/>
  <c r="D115" i="1"/>
  <c r="C105" i="1"/>
  <c r="C107" i="1"/>
  <c r="B107" i="1"/>
  <c r="B102" i="1" s="1"/>
  <c r="B67" i="1"/>
  <c r="C67" i="1"/>
  <c r="C77" i="1"/>
  <c r="C91" i="1" s="1"/>
  <c r="C75" i="1"/>
  <c r="C89" i="1" s="1"/>
  <c r="B75" i="1"/>
  <c r="C74" i="1"/>
  <c r="C88" i="1" s="1"/>
  <c r="B74" i="1"/>
  <c r="A76" i="1"/>
  <c r="A75" i="1"/>
  <c r="A74" i="1"/>
  <c r="C48" i="1"/>
  <c r="C49" i="1" s="1"/>
  <c r="C52" i="1" s="1"/>
  <c r="B54" i="1" s="1"/>
  <c r="C47" i="1"/>
  <c r="B55" i="1" s="1"/>
  <c r="B48" i="1"/>
  <c r="B49" i="1" s="1"/>
  <c r="D49" i="1" s="1"/>
  <c r="B47" i="1"/>
  <c r="C35" i="1"/>
  <c r="B35" i="1"/>
  <c r="C34" i="1"/>
  <c r="B34" i="1"/>
  <c r="C33" i="1"/>
  <c r="B33" i="1"/>
  <c r="C32" i="1"/>
  <c r="B32" i="1"/>
  <c r="A31" i="1"/>
  <c r="D23" i="1"/>
  <c r="C23" i="1"/>
  <c r="B23" i="1"/>
  <c r="B15" i="1"/>
  <c r="B14" i="1"/>
  <c r="B10" i="1"/>
  <c r="B11" i="1" s="1"/>
  <c r="B13" i="1" s="1"/>
  <c r="D122" i="1" l="1"/>
  <c r="B56" i="1"/>
  <c r="B145" i="1"/>
  <c r="B146" i="1" s="1"/>
  <c r="B147" i="1" s="1"/>
  <c r="B149" i="1" s="1"/>
  <c r="C144" i="1"/>
  <c r="D164" i="1"/>
  <c r="C50" i="1"/>
  <c r="C51" i="1" s="1"/>
  <c r="B50" i="1"/>
  <c r="C168" i="1"/>
  <c r="C170" i="1" s="1"/>
  <c r="C200" i="1"/>
  <c r="C205" i="1" s="1"/>
  <c r="B184" i="1" s="1"/>
  <c r="B185" i="1" s="1"/>
  <c r="B174" i="1"/>
  <c r="B168" i="1"/>
  <c r="B170" i="1" s="1"/>
  <c r="C108" i="1"/>
  <c r="B108" i="1"/>
  <c r="B110" i="1" s="1"/>
  <c r="C78" i="1"/>
  <c r="C92" i="1" s="1"/>
  <c r="B78" i="1"/>
  <c r="B79" i="1"/>
  <c r="C79" i="1"/>
  <c r="C93" i="1" s="1"/>
  <c r="B76" i="1"/>
  <c r="C76" i="1"/>
  <c r="C90" i="1" s="1"/>
  <c r="B16" i="1"/>
  <c r="B24" i="1"/>
  <c r="B25" i="1" s="1"/>
  <c r="C24" i="1"/>
  <c r="C25" i="1" s="1"/>
  <c r="B31" i="1" s="1"/>
  <c r="B36" i="1" s="1"/>
  <c r="D24" i="1"/>
  <c r="D25" i="1" s="1"/>
  <c r="C31" i="1" s="1"/>
  <c r="C36" i="1" s="1"/>
  <c r="B51" i="1" l="1"/>
  <c r="D51" i="1" s="1"/>
  <c r="D50" i="1"/>
  <c r="B175" i="1"/>
  <c r="D166" i="1" s="1"/>
  <c r="D168" i="1" s="1"/>
  <c r="D170" i="1" s="1"/>
  <c r="B171" i="1" s="1"/>
  <c r="C102" i="1"/>
  <c r="C80" i="1"/>
  <c r="C94" i="1" s="1"/>
  <c r="C145" i="1"/>
  <c r="C146" i="1" s="1"/>
  <c r="C147" i="1" s="1"/>
  <c r="C149" i="1" s="1"/>
  <c r="D149" i="1" s="1"/>
  <c r="C81" i="1"/>
  <c r="B80" i="1"/>
  <c r="B81" i="1" s="1"/>
  <c r="B83" i="1" l="1"/>
  <c r="C95" i="1"/>
  <c r="B97" i="1" s="1"/>
  <c r="B98" i="1" s="1"/>
  <c r="B8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Trial User</author>
  </authors>
  <commentList>
    <comment ref="G198" authorId="0" shapeId="0" xr:uid="{1205601F-81E5-6A4D-8D83-2ECC1CC35869}">
      <text>
        <r>
          <rPr>
            <b/>
            <sz val="9"/>
            <color indexed="8"/>
            <rFont val="Geneva"/>
            <family val="2"/>
            <charset val="1"/>
          </rPr>
          <t>Aswath Damodaran:</t>
        </r>
        <r>
          <rPr>
            <sz val="9"/>
            <color indexed="8"/>
            <rFont val="Geneva"/>
            <family val="2"/>
            <charset val="1"/>
          </rPr>
          <t xml:space="preserve">
</t>
        </r>
        <r>
          <rPr>
            <sz val="9"/>
            <color indexed="8"/>
            <rFont val="Geneva"/>
            <family val="2"/>
            <charset val="1"/>
          </rPr>
          <t>I have converted the riskfree rate that you have provided into a continuous time riskfree rate.</t>
        </r>
      </text>
    </comment>
  </commentList>
</comments>
</file>

<file path=xl/sharedStrings.xml><?xml version="1.0" encoding="utf-8"?>
<sst xmlns="http://schemas.openxmlformats.org/spreadsheetml/2006/main" count="232" uniqueCount="194">
  <si>
    <t>Problem 1</t>
  </si>
  <si>
    <t>Health Care</t>
  </si>
  <si>
    <t>Senior Centers</t>
  </si>
  <si>
    <t>Value</t>
  </si>
  <si>
    <t>Debt</t>
  </si>
  <si>
    <t>Equity</t>
  </si>
  <si>
    <t>Unlev Beta</t>
  </si>
  <si>
    <t xml:space="preserve">Tax rate </t>
  </si>
  <si>
    <t>Riskfree rate</t>
  </si>
  <si>
    <t>ERP</t>
  </si>
  <si>
    <t>Unlevered beta</t>
  </si>
  <si>
    <t>Levered beta</t>
  </si>
  <si>
    <t>Cost of equity</t>
  </si>
  <si>
    <t>Cost of debt (after-tax)</t>
  </si>
  <si>
    <t>Debt ratio</t>
  </si>
  <si>
    <t>Cost of capital</t>
  </si>
  <si>
    <t>Problem 2</t>
  </si>
  <si>
    <t>Most recent year</t>
  </si>
  <si>
    <t>Revenues</t>
  </si>
  <si>
    <t>EBITDA</t>
  </si>
  <si>
    <t>EBIT</t>
  </si>
  <si>
    <t>Taxable Income</t>
  </si>
  <si>
    <t xml:space="preserve"> - Taxes</t>
  </si>
  <si>
    <t>Net Income</t>
  </si>
  <si>
    <t>Working capital</t>
  </si>
  <si>
    <t>Total Debt</t>
  </si>
  <si>
    <t xml:space="preserve"> - Interest Expenses</t>
  </si>
  <si>
    <t>Year 1</t>
  </si>
  <si>
    <t>Year 2</t>
  </si>
  <si>
    <t xml:space="preserve"> + Depreciation</t>
  </si>
  <si>
    <t xml:space="preserve"> - Cap Ex</t>
  </si>
  <si>
    <t xml:space="preserve"> - Change in WC</t>
  </si>
  <si>
    <t>Cap Ex</t>
  </si>
  <si>
    <t xml:space="preserve"> + Debt issued (repaid)</t>
  </si>
  <si>
    <t>FCFE</t>
  </si>
  <si>
    <t>Problem 3</t>
  </si>
  <si>
    <t>Base year</t>
  </si>
  <si>
    <t>Operating Margin</t>
  </si>
  <si>
    <t>Invested capital</t>
  </si>
  <si>
    <t>Operating income</t>
  </si>
  <si>
    <t>After-taxes Operating Income</t>
  </si>
  <si>
    <t>Reinvestment</t>
  </si>
  <si>
    <t>FCFF</t>
  </si>
  <si>
    <t>Sales to Invested capital</t>
  </si>
  <si>
    <t>Invested Capital</t>
  </si>
  <si>
    <t>Problem 4</t>
  </si>
  <si>
    <t>Parent</t>
  </si>
  <si>
    <t>EBIT (1-t)</t>
  </si>
  <si>
    <t>Ownership stake</t>
  </si>
  <si>
    <t>Book Equity</t>
  </si>
  <si>
    <t>Net Debt</t>
  </si>
  <si>
    <t>Subsidiary</t>
  </si>
  <si>
    <t>Return on capital</t>
  </si>
  <si>
    <t>Reinvestment Rate</t>
  </si>
  <si>
    <t xml:space="preserve"> - Net Debt</t>
  </si>
  <si>
    <t xml:space="preserve"> + 60% Equity in Sub</t>
  </si>
  <si>
    <t>Equity value</t>
  </si>
  <si>
    <t>Problem 5</t>
  </si>
  <si>
    <t>EV/Sales</t>
  </si>
  <si>
    <t>Sales to capital</t>
  </si>
  <si>
    <t>After-tax Operating Margin</t>
  </si>
  <si>
    <t>Expected growth</t>
  </si>
  <si>
    <t>Problem 6</t>
  </si>
  <si>
    <t>PBV</t>
  </si>
  <si>
    <t>ROE</t>
  </si>
  <si>
    <t>Sound Bank</t>
  </si>
  <si>
    <t>Average</t>
  </si>
  <si>
    <t>First, estimate the expected growth rate in the average bank, which is correctly priced</t>
  </si>
  <si>
    <t>1.40 = (.11-g)/ (.09-g)</t>
  </si>
  <si>
    <t>Growth rate</t>
  </si>
  <si>
    <t>Actual PBV</t>
  </si>
  <si>
    <t>Intrinsic PBV</t>
  </si>
  <si>
    <t>% Under or Over valued</t>
  </si>
  <si>
    <t>Problem 7</t>
  </si>
  <si>
    <t>Status Quo</t>
  </si>
  <si>
    <t>Revenues next year</t>
  </si>
  <si>
    <t>Cost of Capital</t>
  </si>
  <si>
    <t>Debt ratio`</t>
  </si>
  <si>
    <t>Riskfree Rate</t>
  </si>
  <si>
    <t xml:space="preserve">Control </t>
  </si>
  <si>
    <t>Tax Rate</t>
  </si>
  <si>
    <t>Operating margin (pre-tax)</t>
  </si>
  <si>
    <t>(at 5% pre-tax cost of debt)</t>
  </si>
  <si>
    <t>Expected EBIT (1-t)</t>
  </si>
  <si>
    <t>Value of firm</t>
  </si>
  <si>
    <t>Control Change</t>
  </si>
  <si>
    <t>Value of Control</t>
  </si>
  <si>
    <t>Unlevered beta=</t>
  </si>
  <si>
    <t>New levered beta</t>
  </si>
  <si>
    <t>Cost o capital</t>
  </si>
  <si>
    <t>Problem 8</t>
  </si>
  <si>
    <t>Stancil</t>
  </si>
  <si>
    <t>Merritt</t>
  </si>
  <si>
    <t>Cost of debt (pre-tax)</t>
  </si>
  <si>
    <t xml:space="preserve">Marginal tax rate </t>
  </si>
  <si>
    <t>Combined (with synergy)</t>
  </si>
  <si>
    <t>Expected growh rate</t>
  </si>
  <si>
    <t>Value of synergy</t>
  </si>
  <si>
    <t>Problem 9</t>
  </si>
  <si>
    <t>Net rental income after taxes</t>
  </si>
  <si>
    <t>Cost of doubling to eight stories</t>
  </si>
  <si>
    <t>Additional rental income</t>
  </si>
  <si>
    <t>Cost of capital for rental income</t>
  </si>
  <si>
    <t>S = PV of expansion</t>
  </si>
  <si>
    <t>K = Cost of expansion</t>
  </si>
  <si>
    <t xml:space="preserve"> (any time over the next five yeas)</t>
  </si>
  <si>
    <t>T = life of the options</t>
  </si>
  <si>
    <t>Std Deviation</t>
  </si>
  <si>
    <t>Variance =</t>
  </si>
  <si>
    <t>R =</t>
  </si>
  <si>
    <t>Value of expansion option</t>
  </si>
  <si>
    <t>Stock Price=</t>
  </si>
  <si>
    <t>Annualized continuous riskfree rate=</t>
  </si>
  <si>
    <t>Strike Price=</t>
  </si>
  <si>
    <t>Variance=</t>
  </si>
  <si>
    <t>Expiration (in years) =</t>
  </si>
  <si>
    <t>Annualized dividend yield=</t>
  </si>
  <si>
    <t>d1 =</t>
  </si>
  <si>
    <t>N(d1) =</t>
  </si>
  <si>
    <t>d2 =</t>
  </si>
  <si>
    <t>N(d2) =</t>
  </si>
  <si>
    <t xml:space="preserve">Value of the call = </t>
  </si>
  <si>
    <t>in $ millions</t>
  </si>
  <si>
    <t>Value ($ millions)</t>
  </si>
  <si>
    <t>Default spread</t>
  </si>
  <si>
    <t xml:space="preserve"> </t>
  </si>
  <si>
    <t>Expected return on capital end of year 2</t>
  </si>
  <si>
    <t>Change in invested capital</t>
  </si>
  <si>
    <t>Change in sales</t>
  </si>
  <si>
    <t>Maglite (Consolidated)</t>
  </si>
  <si>
    <t>Fertex</t>
  </si>
  <si>
    <t>Loblaw</t>
  </si>
  <si>
    <t>Cut costs by $3 million</t>
  </si>
  <si>
    <t>Expected growth rate forever</t>
  </si>
  <si>
    <t>FCFF next year ($ millions)</t>
  </si>
  <si>
    <t>11.00%%</t>
  </si>
  <si>
    <t>Value of property before expansion</t>
  </si>
  <si>
    <t>Value of option to expand (see below)</t>
  </si>
  <si>
    <t>Maximum price for property</t>
  </si>
  <si>
    <t>ROIC (contemporaneous)</t>
  </si>
  <si>
    <t>Expected growth rate</t>
  </si>
  <si>
    <t>Grading Template</t>
  </si>
  <si>
    <t>1. Error on beta; -1/2 to -1 point</t>
  </si>
  <si>
    <t>2. Error on debt ratio: -1/2 point</t>
  </si>
  <si>
    <t>3. Did not after-tax cost of debt: -1/2 point</t>
  </si>
  <si>
    <t>1. Started with EBIT (not NI): -1 point</t>
  </si>
  <si>
    <t>2. Did not add back deprecn: -1/2 point</t>
  </si>
  <si>
    <t>3. Error on cap ex: -1/2 point</t>
  </si>
  <si>
    <t>4. Error on WC: -1/2 point</t>
  </si>
  <si>
    <t>4. Error on debt: -1/2 point</t>
  </si>
  <si>
    <t>1. EBIYT (1-t) off: -1/2 point</t>
  </si>
  <si>
    <t>2. Inv Cap in year 2 wrong: -1 point</t>
  </si>
  <si>
    <t>3. Reinvestment off: -1 point</t>
  </si>
  <si>
    <t>I gave full credit for any allocation of reinvestment ($566.67) over the two years. So, if the sum of your FCFF</t>
  </si>
  <si>
    <t>over the next two years is equal to mine, you should get full credit.</t>
  </si>
  <si>
    <t>1. Used consoldated: -1 point</t>
  </si>
  <si>
    <t xml:space="preserve">There is an alternative approach of valuing the consolidted firm and netting out the minority interest. It is flawed when the </t>
  </si>
  <si>
    <t>3. Did not adjust correctly for cross holding: -1/2 point</t>
  </si>
  <si>
    <t>2. Did not compute sove for growth: -1 point</t>
  </si>
  <si>
    <t>Costless Inc.</t>
  </si>
  <si>
    <t>1. Did not compute reinvestment: -1 point</t>
  </si>
  <si>
    <t>2. Did not revalue Costless correctly: -1 point</t>
  </si>
  <si>
    <t>1. Did not solve for growth rate: -1 point</t>
  </si>
  <si>
    <t>2. Did not recompute PBV correctly: -1 point</t>
  </si>
  <si>
    <t>I gave you full credit if you scaled the mistake to the acctual price to book ratio and came up with 25% as your answer.</t>
  </si>
  <si>
    <t>1. Did not back out unlevered beta: -1 point</t>
  </si>
  <si>
    <t>2. Did not relever: -1 point</t>
  </si>
  <si>
    <t>3. Did not adjust expected EBIT: -1/2 to -1 point</t>
  </si>
  <si>
    <t>4. Did not compute control value: -1/2 to -1 point</t>
  </si>
  <si>
    <t>1. Valued stand alone incorrectly: -1/2 to -1 point</t>
  </si>
  <si>
    <t>2. Did not recompute new WACC: -1 point</t>
  </si>
  <si>
    <t>3. Did not adjust FCFF for savings: -1/2  point</t>
  </si>
  <si>
    <t>4. Error on synergy value: -1/2 to -1 point</t>
  </si>
  <si>
    <t>1. S in the option pricing model wrong: -1 point</t>
  </si>
  <si>
    <t>2. Errors on the option pricing model: -1 point</t>
  </si>
  <si>
    <t>3. Did not bring in $12 million to total: -1/2 point</t>
  </si>
  <si>
    <t>EV</t>
  </si>
  <si>
    <t>! Solved using cost of capital from Loblaw</t>
  </si>
  <si>
    <t xml:space="preserve">  but with sales to capital and margin</t>
  </si>
  <si>
    <t xml:space="preserve"> of Costless.</t>
  </si>
  <si>
    <t>( Add $3 (1-.25))</t>
  </si>
  <si>
    <t>! Debt ratio changes. So, beta will change</t>
  </si>
  <si>
    <t>Add after-tax savings</t>
  </si>
  <si>
    <t>! Don't forget that you have to pay this up front</t>
  </si>
  <si>
    <t>Levered beta after merger</t>
  </si>
  <si>
    <t>4. Computed cost of equity alone: -1 point</t>
  </si>
  <si>
    <t xml:space="preserve">The key to this problem is understanding that invested capital rises when youj reinvest, and that if the company will need to </t>
  </si>
  <si>
    <t>Alternatively (bundled year 1 &amp;2)</t>
  </si>
  <si>
    <t>reinved $566.67 million in the next two years.</t>
  </si>
  <si>
    <t>See below for why it is better to do parent and subsidiary separately.</t>
  </si>
  <si>
    <t>costs of capital are different across the firms, as it is here, but if you did it right, I gave you full credit</t>
  </si>
  <si>
    <t>Consoldiated</t>
  </si>
  <si>
    <t>Subsdiary</t>
  </si>
  <si>
    <t xml:space="preserve"> - 40% of Sub Equity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</si>
</sst>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7" formatCode="&quot;$&quot;#,##0.00_);\(&quot;$&quot;#,##0.00\)"/>
    <numFmt numFmtId="44" formatCode="_(&quot;$&quot;* #,##0.00_);_(&quot;$&quot;* \(#,##0.00\);_(&quot;$&quot;* &quot;-&quot;??_);_(@_)"/>
    <numFmt numFmtId="164" formatCode="0.000%"/>
    <numFmt numFmtId="165" formatCode="0.0000"/>
    <numFmt numFmtId="166" formatCode="&quot;$&quot;#,##0.00"/>
    <numFmt numFmtId="167" formatCode="0.0%"/>
    <numFmt numFmtId="168" formatCode="0.000000%"/>
    <numFmt numFmtId="169" formatCode="&quot;$&quot;#,##0.000"/>
  </numFmts>
  <fonts count="1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Times"/>
      <family val="1"/>
    </font>
    <font>
      <b/>
      <sz val="12"/>
      <name val="Times"/>
      <family val="1"/>
    </font>
    <font>
      <b/>
      <sz val="10"/>
      <name val="Geneva"/>
      <family val="2"/>
    </font>
    <font>
      <b/>
      <sz val="9"/>
      <color indexed="8"/>
      <name val="Geneva"/>
      <family val="2"/>
      <charset val="1"/>
    </font>
    <font>
      <sz val="9"/>
      <color indexed="8"/>
      <name val="Geneva"/>
      <family val="2"/>
      <charset val="1"/>
    </font>
    <font>
      <i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1">
    <xf numFmtId="0" fontId="0" fillId="0" borderId="0" xfId="0"/>
    <xf numFmtId="0" fontId="2" fillId="0" borderId="0" xfId="0" applyFont="1"/>
    <xf numFmtId="2" fontId="0" fillId="0" borderId="0" xfId="0" applyNumberFormat="1"/>
    <xf numFmtId="9" fontId="0" fillId="0" borderId="0" xfId="0" applyNumberFormat="1"/>
    <xf numFmtId="10" fontId="0" fillId="0" borderId="0" xfId="0" applyNumberFormat="1"/>
    <xf numFmtId="164" fontId="0" fillId="0" borderId="0" xfId="0" applyNumberFormat="1"/>
    <xf numFmtId="10" fontId="0" fillId="0" borderId="0" xfId="1" applyNumberFormat="1" applyFont="1"/>
    <xf numFmtId="165" fontId="0" fillId="0" borderId="0" xfId="0" applyNumberFormat="1"/>
    <xf numFmtId="10" fontId="0" fillId="2" borderId="1" xfId="1" applyNumberFormat="1" applyFont="1" applyFill="1" applyBorder="1"/>
    <xf numFmtId="166" fontId="0" fillId="0" borderId="0" xfId="0" applyNumberFormat="1"/>
    <xf numFmtId="0" fontId="0" fillId="0" borderId="2" xfId="0" applyBorder="1"/>
    <xf numFmtId="166" fontId="0" fillId="0" borderId="2" xfId="0" applyNumberFormat="1" applyBorder="1" applyAlignment="1">
      <alignment horizontal="center"/>
    </xf>
    <xf numFmtId="0" fontId="0" fillId="0" borderId="3" xfId="0" applyBorder="1"/>
    <xf numFmtId="166" fontId="0" fillId="0" borderId="3" xfId="0" applyNumberFormat="1" applyBorder="1" applyAlignment="1">
      <alignment horizontal="center"/>
    </xf>
    <xf numFmtId="0" fontId="0" fillId="2" borderId="4" xfId="0" applyFill="1" applyBorder="1"/>
    <xf numFmtId="166" fontId="0" fillId="2" borderId="5" xfId="0" applyNumberFormat="1" applyFill="1" applyBorder="1" applyAlignment="1">
      <alignment horizontal="center"/>
    </xf>
    <xf numFmtId="166" fontId="0" fillId="2" borderId="6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10" fontId="0" fillId="0" borderId="2" xfId="0" applyNumberFormat="1" applyBorder="1"/>
    <xf numFmtId="0" fontId="0" fillId="0" borderId="2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0" fillId="2" borderId="2" xfId="0" applyFill="1" applyBorder="1"/>
    <xf numFmtId="2" fontId="0" fillId="2" borderId="2" xfId="0" applyNumberFormat="1" applyFill="1" applyBorder="1" applyAlignment="1">
      <alignment horizontal="center"/>
    </xf>
    <xf numFmtId="10" fontId="0" fillId="2" borderId="2" xfId="1" applyNumberFormat="1" applyFont="1" applyFill="1" applyBorder="1" applyAlignment="1">
      <alignment horizontal="center"/>
    </xf>
    <xf numFmtId="168" fontId="0" fillId="0" borderId="0" xfId="0" applyNumberFormat="1"/>
    <xf numFmtId="44" fontId="0" fillId="0" borderId="0" xfId="2" applyFont="1"/>
    <xf numFmtId="166" fontId="0" fillId="0" borderId="0" xfId="1" applyNumberFormat="1" applyFont="1"/>
    <xf numFmtId="0" fontId="3" fillId="0" borderId="0" xfId="0" applyFont="1"/>
    <xf numFmtId="7" fontId="4" fillId="0" borderId="2" xfId="0" applyNumberFormat="1" applyFont="1" applyBorder="1" applyAlignment="1">
      <alignment horizontal="center"/>
    </xf>
    <xf numFmtId="10" fontId="4" fillId="0" borderId="3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0" fontId="4" fillId="0" borderId="7" xfId="0" applyNumberFormat="1" applyFont="1" applyBorder="1" applyAlignment="1">
      <alignment horizontal="center"/>
    </xf>
    <xf numFmtId="0" fontId="5" fillId="0" borderId="0" xfId="0" applyFont="1"/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7" fontId="5" fillId="0" borderId="2" xfId="0" applyNumberFormat="1" applyFont="1" applyBorder="1" applyAlignment="1">
      <alignment horizontal="center"/>
    </xf>
    <xf numFmtId="166" fontId="0" fillId="0" borderId="2" xfId="0" applyNumberFormat="1" applyBorder="1"/>
    <xf numFmtId="9" fontId="0" fillId="0" borderId="2" xfId="0" applyNumberFormat="1" applyBorder="1"/>
    <xf numFmtId="166" fontId="0" fillId="2" borderId="2" xfId="0" applyNumberFormat="1" applyFill="1" applyBorder="1"/>
    <xf numFmtId="10" fontId="0" fillId="0" borderId="2" xfId="0" applyNumberFormat="1" applyBorder="1" applyAlignment="1">
      <alignment horizontal="center"/>
    </xf>
    <xf numFmtId="9" fontId="0" fillId="0" borderId="2" xfId="0" applyNumberFormat="1" applyBorder="1" applyAlignment="1">
      <alignment horizontal="center"/>
    </xf>
    <xf numFmtId="10" fontId="0" fillId="0" borderId="2" xfId="1" applyNumberFormat="1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10" fontId="0" fillId="2" borderId="2" xfId="0" applyNumberFormat="1" applyFill="1" applyBorder="1" applyAlignment="1">
      <alignment horizontal="center"/>
    </xf>
    <xf numFmtId="167" fontId="0" fillId="0" borderId="2" xfId="0" applyNumberFormat="1" applyBorder="1" applyAlignment="1">
      <alignment horizontal="center"/>
    </xf>
    <xf numFmtId="166" fontId="0" fillId="0" borderId="2" xfId="2" applyNumberFormat="1" applyFont="1" applyBorder="1" applyAlignment="1">
      <alignment horizontal="center"/>
    </xf>
    <xf numFmtId="7" fontId="0" fillId="0" borderId="0" xfId="0" applyNumberFormat="1"/>
    <xf numFmtId="7" fontId="0" fillId="2" borderId="1" xfId="0" applyNumberFormat="1" applyFill="1" applyBorder="1"/>
    <xf numFmtId="166" fontId="0" fillId="0" borderId="2" xfId="1" applyNumberFormat="1" applyFont="1" applyBorder="1" applyAlignment="1">
      <alignment horizontal="center"/>
    </xf>
    <xf numFmtId="0" fontId="0" fillId="2" borderId="2" xfId="0" applyFill="1" applyBorder="1" applyAlignment="1">
      <alignment horizontal="center"/>
    </xf>
    <xf numFmtId="166" fontId="0" fillId="2" borderId="2" xfId="0" applyNumberFormat="1" applyFill="1" applyBorder="1" applyAlignment="1">
      <alignment horizontal="center"/>
    </xf>
    <xf numFmtId="9" fontId="0" fillId="2" borderId="2" xfId="0" applyNumberFormat="1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166" fontId="0" fillId="2" borderId="2" xfId="1" applyNumberFormat="1" applyFont="1" applyFill="1" applyBorder="1" applyAlignment="1">
      <alignment horizontal="center"/>
    </xf>
    <xf numFmtId="0" fontId="0" fillId="0" borderId="8" xfId="0" applyBorder="1"/>
    <xf numFmtId="166" fontId="0" fillId="0" borderId="3" xfId="1" applyNumberFormat="1" applyFont="1" applyBorder="1" applyAlignment="1">
      <alignment horizontal="center"/>
    </xf>
    <xf numFmtId="166" fontId="0" fillId="2" borderId="1" xfId="1" applyNumberFormat="1" applyFont="1" applyFill="1" applyBorder="1"/>
    <xf numFmtId="166" fontId="0" fillId="0" borderId="9" xfId="0" applyNumberFormat="1" applyBorder="1" applyAlignment="1">
      <alignment horizontal="center"/>
    </xf>
    <xf numFmtId="166" fontId="0" fillId="2" borderId="1" xfId="0" applyNumberForma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3" xfId="0" applyFont="1" applyBorder="1" applyAlignment="1">
      <alignment horizontal="center"/>
    </xf>
    <xf numFmtId="10" fontId="0" fillId="0" borderId="7" xfId="0" applyNumberFormat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0" xfId="0" applyFill="1"/>
    <xf numFmtId="0" fontId="9" fillId="3" borderId="0" xfId="0" applyFont="1" applyFill="1"/>
    <xf numFmtId="0" fontId="10" fillId="3" borderId="0" xfId="0" applyFont="1" applyFill="1"/>
    <xf numFmtId="0" fontId="10" fillId="3" borderId="0" xfId="0" applyFont="1" applyFill="1" applyAlignment="1">
      <alignment horizontal="center"/>
    </xf>
    <xf numFmtId="0" fontId="0" fillId="2" borderId="3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10" fontId="0" fillId="0" borderId="2" xfId="1" applyNumberFormat="1" applyFont="1" applyBorder="1"/>
    <xf numFmtId="164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10" fontId="0" fillId="2" borderId="3" xfId="1" applyNumberFormat="1" applyFont="1" applyFill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166" fontId="0" fillId="2" borderId="9" xfId="0" applyNumberFormat="1" applyFill="1" applyBorder="1"/>
    <xf numFmtId="166" fontId="0" fillId="0" borderId="0" xfId="0" applyNumberFormat="1" applyAlignment="1">
      <alignment horizontal="center"/>
    </xf>
    <xf numFmtId="169" fontId="0" fillId="0" borderId="2" xfId="0" applyNumberFormat="1" applyBorder="1" applyAlignment="1">
      <alignment horizontal="center"/>
    </xf>
    <xf numFmtId="0" fontId="0" fillId="0" borderId="19" xfId="0" applyBorder="1"/>
    <xf numFmtId="0" fontId="0" fillId="2" borderId="1" xfId="0" applyFill="1" applyBorder="1" applyAlignment="1">
      <alignment horizontal="center"/>
    </xf>
    <xf numFmtId="169" fontId="0" fillId="2" borderId="1" xfId="0" applyNumberFormat="1" applyFill="1" applyBorder="1" applyAlignment="1">
      <alignment horizontal="center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9341F-5544-974B-9025-65AAF208A280}">
  <dimension ref="A1:G209"/>
  <sheetViews>
    <sheetView tabSelected="1" topLeftCell="A146" workbookViewId="0">
      <selection activeCell="I107" sqref="I107"/>
    </sheetView>
  </sheetViews>
  <sheetFormatPr baseColWidth="10" defaultRowHeight="16"/>
  <cols>
    <col min="1" max="1" width="31.1640625" customWidth="1"/>
    <col min="2" max="2" width="20.33203125" bestFit="1" customWidth="1"/>
    <col min="3" max="3" width="13.5" customWidth="1"/>
    <col min="4" max="4" width="20.83203125" customWidth="1"/>
    <col min="7" max="7" width="45.33203125" customWidth="1"/>
  </cols>
  <sheetData>
    <row r="1" spans="1:7">
      <c r="A1" s="1" t="s">
        <v>0</v>
      </c>
      <c r="G1" s="67" t="s">
        <v>141</v>
      </c>
    </row>
    <row r="2" spans="1:7">
      <c r="A2" s="10"/>
      <c r="B2" s="10" t="s">
        <v>123</v>
      </c>
      <c r="C2" s="10" t="s">
        <v>6</v>
      </c>
      <c r="D2" s="10"/>
      <c r="E2" s="10" t="s">
        <v>122</v>
      </c>
      <c r="G2" s="68" t="s">
        <v>142</v>
      </c>
    </row>
    <row r="3" spans="1:7">
      <c r="A3" s="10" t="s">
        <v>1</v>
      </c>
      <c r="B3" s="38">
        <v>500</v>
      </c>
      <c r="C3" s="20">
        <v>0.6</v>
      </c>
      <c r="D3" s="10" t="s">
        <v>4</v>
      </c>
      <c r="E3" s="38">
        <v>400</v>
      </c>
      <c r="G3" s="68" t="s">
        <v>143</v>
      </c>
    </row>
    <row r="4" spans="1:7">
      <c r="A4" s="10" t="s">
        <v>2</v>
      </c>
      <c r="B4" s="38">
        <v>1500</v>
      </c>
      <c r="C4" s="20">
        <v>0.8</v>
      </c>
      <c r="D4" s="10" t="s">
        <v>5</v>
      </c>
      <c r="E4" s="38">
        <v>1600</v>
      </c>
      <c r="G4" s="68" t="s">
        <v>144</v>
      </c>
    </row>
    <row r="5" spans="1:7">
      <c r="A5" t="s">
        <v>7</v>
      </c>
      <c r="B5" s="3">
        <v>0.25</v>
      </c>
      <c r="G5" s="68" t="s">
        <v>185</v>
      </c>
    </row>
    <row r="6" spans="1:7">
      <c r="A6" t="s">
        <v>8</v>
      </c>
      <c r="B6" s="4">
        <v>4.4999999999999998E-2</v>
      </c>
      <c r="G6" s="68"/>
    </row>
    <row r="7" spans="1:7">
      <c r="A7" t="s">
        <v>9</v>
      </c>
      <c r="B7" s="4">
        <v>0.05</v>
      </c>
      <c r="G7" s="68"/>
    </row>
    <row r="8" spans="1:7">
      <c r="A8" t="s">
        <v>124</v>
      </c>
      <c r="B8" s="4">
        <v>7.0000000000000001E-3</v>
      </c>
      <c r="G8" s="68"/>
    </row>
    <row r="9" spans="1:7">
      <c r="G9" s="68"/>
    </row>
    <row r="10" spans="1:7">
      <c r="A10" t="s">
        <v>10</v>
      </c>
      <c r="B10" s="7">
        <f>C3*(B3/(B3+B4))+C4*(B4/(B3+B4))</f>
        <v>0.75000000000000011</v>
      </c>
      <c r="G10" s="68"/>
    </row>
    <row r="11" spans="1:7">
      <c r="A11" t="s">
        <v>11</v>
      </c>
      <c r="B11" s="7">
        <f>B10*(1+(1-B5)*E3/E4)</f>
        <v>0.89062500000000011</v>
      </c>
      <c r="G11" s="68"/>
    </row>
    <row r="12" spans="1:7">
      <c r="G12" s="68"/>
    </row>
    <row r="13" spans="1:7">
      <c r="A13" t="s">
        <v>12</v>
      </c>
      <c r="B13" s="6">
        <f>B6+B11*B7</f>
        <v>8.9531250000000007E-2</v>
      </c>
      <c r="G13" s="68"/>
    </row>
    <row r="14" spans="1:7">
      <c r="A14" t="s">
        <v>13</v>
      </c>
      <c r="B14" s="4">
        <f>(B6+B8)*(1-B5)</f>
        <v>3.9E-2</v>
      </c>
      <c r="G14" s="68"/>
    </row>
    <row r="15" spans="1:7" ht="17" thickBot="1">
      <c r="A15" t="s">
        <v>14</v>
      </c>
      <c r="B15">
        <f>E3/(E3+E4)</f>
        <v>0.2</v>
      </c>
      <c r="G15" s="68"/>
    </row>
    <row r="16" spans="1:7" ht="17" thickBot="1">
      <c r="A16" t="s">
        <v>15</v>
      </c>
      <c r="B16" s="8">
        <f>B14*B15+B13*(1-B15)</f>
        <v>7.9425000000000009E-2</v>
      </c>
      <c r="G16" s="68"/>
    </row>
    <row r="17" spans="1:7">
      <c r="G17" s="68"/>
    </row>
    <row r="18" spans="1:7">
      <c r="A18" s="1" t="s">
        <v>16</v>
      </c>
      <c r="G18" s="68"/>
    </row>
    <row r="19" spans="1:7">
      <c r="A19" s="10" t="s">
        <v>125</v>
      </c>
      <c r="B19" s="19" t="s">
        <v>17</v>
      </c>
      <c r="C19" s="19" t="s">
        <v>27</v>
      </c>
      <c r="D19" s="19" t="s">
        <v>28</v>
      </c>
      <c r="G19" s="68"/>
    </row>
    <row r="20" spans="1:7">
      <c r="A20" s="10" t="s">
        <v>19</v>
      </c>
      <c r="B20" s="11">
        <v>120</v>
      </c>
      <c r="C20" s="11">
        <v>150</v>
      </c>
      <c r="D20" s="11">
        <v>160</v>
      </c>
      <c r="G20" s="68" t="s">
        <v>145</v>
      </c>
    </row>
    <row r="21" spans="1:7">
      <c r="A21" s="10" t="s">
        <v>20</v>
      </c>
      <c r="B21" s="11">
        <v>90</v>
      </c>
      <c r="C21" s="11">
        <v>120</v>
      </c>
      <c r="D21" s="11">
        <v>125</v>
      </c>
      <c r="G21" s="68" t="s">
        <v>146</v>
      </c>
    </row>
    <row r="22" spans="1:7">
      <c r="A22" s="10" t="s">
        <v>26</v>
      </c>
      <c r="B22" s="11">
        <v>10</v>
      </c>
      <c r="C22" s="11">
        <v>20</v>
      </c>
      <c r="D22" s="11">
        <v>25</v>
      </c>
      <c r="G22" s="68" t="s">
        <v>147</v>
      </c>
    </row>
    <row r="23" spans="1:7">
      <c r="A23" s="10" t="s">
        <v>21</v>
      </c>
      <c r="B23" s="11">
        <f>B21-B22</f>
        <v>80</v>
      </c>
      <c r="C23" s="11">
        <f>C21-C22</f>
        <v>100</v>
      </c>
      <c r="D23" s="11">
        <f>D21-D22</f>
        <v>100</v>
      </c>
      <c r="G23" s="68" t="s">
        <v>148</v>
      </c>
    </row>
    <row r="24" spans="1:7">
      <c r="A24" s="10" t="s">
        <v>22</v>
      </c>
      <c r="B24" s="11">
        <f>0.3*B23</f>
        <v>24</v>
      </c>
      <c r="C24" s="11">
        <f>0.3*C23</f>
        <v>30</v>
      </c>
      <c r="D24" s="11">
        <f>0.3*D23</f>
        <v>30</v>
      </c>
      <c r="G24" s="68" t="s">
        <v>149</v>
      </c>
    </row>
    <row r="25" spans="1:7">
      <c r="A25" s="10" t="s">
        <v>23</v>
      </c>
      <c r="B25" s="11">
        <f>B23-B24</f>
        <v>56</v>
      </c>
      <c r="C25" s="11">
        <f>C23-C24</f>
        <v>70</v>
      </c>
      <c r="D25" s="11">
        <f>D23-D24</f>
        <v>70</v>
      </c>
      <c r="G25" s="68"/>
    </row>
    <row r="26" spans="1:7">
      <c r="A26" s="10" t="s">
        <v>32</v>
      </c>
      <c r="B26" s="11">
        <v>45</v>
      </c>
      <c r="C26" s="11">
        <v>50</v>
      </c>
      <c r="D26" s="11">
        <v>55</v>
      </c>
      <c r="G26" s="68"/>
    </row>
    <row r="27" spans="1:7">
      <c r="A27" s="10" t="s">
        <v>24</v>
      </c>
      <c r="B27" s="11">
        <v>80</v>
      </c>
      <c r="C27" s="11">
        <v>100</v>
      </c>
      <c r="D27" s="11">
        <v>90</v>
      </c>
      <c r="G27" s="68"/>
    </row>
    <row r="28" spans="1:7">
      <c r="A28" s="10" t="s">
        <v>25</v>
      </c>
      <c r="B28" s="11">
        <v>150</v>
      </c>
      <c r="C28" s="11">
        <v>175</v>
      </c>
      <c r="D28" s="11">
        <v>160</v>
      </c>
      <c r="G28" s="68"/>
    </row>
    <row r="29" spans="1:7">
      <c r="G29" s="68"/>
    </row>
    <row r="30" spans="1:7">
      <c r="B30" s="17" t="s">
        <v>27</v>
      </c>
      <c r="C30" s="17" t="s">
        <v>28</v>
      </c>
      <c r="G30" s="68"/>
    </row>
    <row r="31" spans="1:7">
      <c r="A31" s="10" t="str">
        <f>A25</f>
        <v>Net Income</v>
      </c>
      <c r="B31" s="11">
        <f>C25</f>
        <v>70</v>
      </c>
      <c r="C31" s="11">
        <f>D25</f>
        <v>70</v>
      </c>
      <c r="G31" s="68"/>
    </row>
    <row r="32" spans="1:7">
      <c r="A32" s="10" t="s">
        <v>29</v>
      </c>
      <c r="B32" s="11">
        <f>C20-C21</f>
        <v>30</v>
      </c>
      <c r="C32" s="11">
        <f>D20-D21</f>
        <v>35</v>
      </c>
      <c r="G32" s="68"/>
    </row>
    <row r="33" spans="1:7">
      <c r="A33" s="10" t="s">
        <v>30</v>
      </c>
      <c r="B33" s="11">
        <f>C26</f>
        <v>50</v>
      </c>
      <c r="C33" s="11">
        <f>D26</f>
        <v>55</v>
      </c>
      <c r="G33" s="68"/>
    </row>
    <row r="34" spans="1:7">
      <c r="A34" s="10" t="s">
        <v>31</v>
      </c>
      <c r="B34" s="11">
        <f>C27-B27</f>
        <v>20</v>
      </c>
      <c r="C34" s="11">
        <f>D27-C27</f>
        <v>-10</v>
      </c>
      <c r="G34" s="68"/>
    </row>
    <row r="35" spans="1:7" ht="17" thickBot="1">
      <c r="A35" s="12" t="s">
        <v>33</v>
      </c>
      <c r="B35" s="13">
        <f>C28-B28</f>
        <v>25</v>
      </c>
      <c r="C35" s="13">
        <f>D28-C28</f>
        <v>-15</v>
      </c>
      <c r="G35" s="68"/>
    </row>
    <row r="36" spans="1:7" ht="17" thickBot="1">
      <c r="A36" s="14" t="s">
        <v>34</v>
      </c>
      <c r="B36" s="15">
        <f>B31+B32-B33-B34+B35</f>
        <v>55</v>
      </c>
      <c r="C36" s="16">
        <f>C31+C32-C33-C34+C35</f>
        <v>45</v>
      </c>
      <c r="G36" s="68"/>
    </row>
    <row r="37" spans="1:7">
      <c r="G37" s="68"/>
    </row>
    <row r="38" spans="1:7">
      <c r="A38" s="1" t="s">
        <v>35</v>
      </c>
      <c r="G38" s="68"/>
    </row>
    <row r="39" spans="1:7">
      <c r="A39" s="10"/>
      <c r="B39" s="19" t="s">
        <v>36</v>
      </c>
      <c r="C39" s="19">
        <v>1</v>
      </c>
      <c r="D39" s="19">
        <v>2</v>
      </c>
      <c r="G39" s="68"/>
    </row>
    <row r="40" spans="1:7">
      <c r="A40" s="10" t="s">
        <v>18</v>
      </c>
      <c r="B40" s="38">
        <v>1000</v>
      </c>
      <c r="C40" s="38">
        <v>1250</v>
      </c>
      <c r="D40" s="38">
        <v>1600</v>
      </c>
      <c r="G40" s="68" t="s">
        <v>150</v>
      </c>
    </row>
    <row r="41" spans="1:7">
      <c r="A41" s="10" t="s">
        <v>37</v>
      </c>
      <c r="B41" s="18">
        <v>2.5000000000000001E-2</v>
      </c>
      <c r="C41" s="18">
        <v>0.05</v>
      </c>
      <c r="D41" s="18">
        <v>0.1</v>
      </c>
      <c r="G41" s="68" t="s">
        <v>151</v>
      </c>
    </row>
    <row r="42" spans="1:7">
      <c r="A42" t="s">
        <v>38</v>
      </c>
      <c r="B42" s="25">
        <v>500</v>
      </c>
      <c r="G42" s="68" t="s">
        <v>152</v>
      </c>
    </row>
    <row r="43" spans="1:7">
      <c r="A43" t="s">
        <v>7</v>
      </c>
      <c r="B43" s="3">
        <v>0.2</v>
      </c>
      <c r="G43" s="68"/>
    </row>
    <row r="44" spans="1:7">
      <c r="A44" t="s">
        <v>126</v>
      </c>
      <c r="B44" s="2">
        <v>0.12</v>
      </c>
      <c r="G44" s="68"/>
    </row>
    <row r="45" spans="1:7">
      <c r="G45" s="68"/>
    </row>
    <row r="46" spans="1:7">
      <c r="B46">
        <v>1</v>
      </c>
      <c r="C46">
        <v>2</v>
      </c>
      <c r="D46" s="10" t="s">
        <v>187</v>
      </c>
      <c r="G46" s="68"/>
    </row>
    <row r="47" spans="1:7">
      <c r="A47" t="s">
        <v>18</v>
      </c>
      <c r="B47" s="9">
        <f>C40</f>
        <v>1250</v>
      </c>
      <c r="C47" s="9">
        <f>D40</f>
        <v>1600</v>
      </c>
      <c r="D47" s="10"/>
      <c r="G47" s="68"/>
    </row>
    <row r="48" spans="1:7">
      <c r="A48" t="s">
        <v>39</v>
      </c>
      <c r="B48" s="9">
        <f>C40*C41</f>
        <v>62.5</v>
      </c>
      <c r="C48" s="9">
        <f>D40*D41</f>
        <v>160</v>
      </c>
      <c r="D48" s="10"/>
      <c r="G48" s="68"/>
    </row>
    <row r="49" spans="1:7">
      <c r="A49" t="s">
        <v>40</v>
      </c>
      <c r="B49" s="9">
        <f>B48*(1-B43)</f>
        <v>50</v>
      </c>
      <c r="C49" s="9">
        <f>C48*(1-B43)</f>
        <v>128</v>
      </c>
      <c r="D49" s="38">
        <f>SUM(B49:C49)</f>
        <v>178</v>
      </c>
      <c r="G49" s="68"/>
    </row>
    <row r="50" spans="1:7">
      <c r="A50" t="s">
        <v>41</v>
      </c>
      <c r="B50" s="40">
        <f>(B47-B40)/B56</f>
        <v>236.11111111111117</v>
      </c>
      <c r="C50" s="85">
        <f>(C47-B47)/B56</f>
        <v>330.5555555555556</v>
      </c>
      <c r="D50" s="38">
        <f>SUM(B50:C50)</f>
        <v>566.66666666666674</v>
      </c>
      <c r="G50" s="68"/>
    </row>
    <row r="51" spans="1:7">
      <c r="A51" t="s">
        <v>42</v>
      </c>
      <c r="B51" s="9">
        <f>B49-B50</f>
        <v>-186.11111111111117</v>
      </c>
      <c r="C51" s="9">
        <f>C49-C50</f>
        <v>-202.5555555555556</v>
      </c>
      <c r="D51" s="38">
        <f>SUM(B51:C51)</f>
        <v>-388.66666666666674</v>
      </c>
      <c r="G51" s="68"/>
    </row>
    <row r="52" spans="1:7">
      <c r="A52" t="s">
        <v>44</v>
      </c>
      <c r="B52" s="9"/>
      <c r="C52" s="40">
        <f>C49/C53</f>
        <v>1066.6666666666667</v>
      </c>
      <c r="G52" s="68"/>
    </row>
    <row r="53" spans="1:7">
      <c r="A53" t="s">
        <v>139</v>
      </c>
      <c r="B53" s="6"/>
      <c r="C53" s="6">
        <f>B44</f>
        <v>0.12</v>
      </c>
      <c r="G53" s="68"/>
    </row>
    <row r="54" spans="1:7">
      <c r="A54" t="s">
        <v>127</v>
      </c>
      <c r="B54" s="26">
        <f>C52-B42</f>
        <v>566.66666666666674</v>
      </c>
      <c r="C54" s="6"/>
      <c r="G54" s="68"/>
    </row>
    <row r="55" spans="1:7">
      <c r="A55" t="s">
        <v>128</v>
      </c>
      <c r="B55" s="26">
        <f>C47-B40</f>
        <v>600</v>
      </c>
      <c r="C55" s="6"/>
      <c r="G55" s="68"/>
    </row>
    <row r="56" spans="1:7">
      <c r="A56" t="s">
        <v>43</v>
      </c>
      <c r="B56" s="70">
        <f>B55/B54</f>
        <v>1.0588235294117645</v>
      </c>
      <c r="G56" s="68"/>
    </row>
    <row r="57" spans="1:7">
      <c r="A57" t="s">
        <v>186</v>
      </c>
      <c r="G57" s="68"/>
    </row>
    <row r="58" spans="1:7">
      <c r="A58" t="s">
        <v>188</v>
      </c>
      <c r="G58" s="68"/>
    </row>
    <row r="59" spans="1:7" ht="17" thickBot="1">
      <c r="B59" s="66"/>
      <c r="G59" s="68"/>
    </row>
    <row r="60" spans="1:7">
      <c r="A60" s="71" t="s">
        <v>153</v>
      </c>
      <c r="B60" s="72"/>
      <c r="C60" s="72"/>
      <c r="D60" s="72"/>
      <c r="E60" s="73"/>
      <c r="G60" s="68"/>
    </row>
    <row r="61" spans="1:7" ht="17" thickBot="1">
      <c r="A61" s="74" t="s">
        <v>154</v>
      </c>
      <c r="B61" s="75"/>
      <c r="C61" s="75"/>
      <c r="D61" s="75"/>
      <c r="E61" s="76"/>
      <c r="G61" s="68"/>
    </row>
    <row r="62" spans="1:7">
      <c r="G62" s="68"/>
    </row>
    <row r="63" spans="1:7">
      <c r="A63" s="1" t="s">
        <v>45</v>
      </c>
      <c r="G63" s="68"/>
    </row>
    <row r="64" spans="1:7">
      <c r="A64" s="10"/>
      <c r="B64" s="10" t="s">
        <v>129</v>
      </c>
      <c r="C64" s="10" t="s">
        <v>130</v>
      </c>
      <c r="G64" s="68" t="s">
        <v>155</v>
      </c>
    </row>
    <row r="65" spans="1:7">
      <c r="A65" s="10" t="s">
        <v>47</v>
      </c>
      <c r="B65" s="11">
        <v>125</v>
      </c>
      <c r="C65" s="11">
        <v>25</v>
      </c>
      <c r="G65" s="68" t="s">
        <v>158</v>
      </c>
    </row>
    <row r="66" spans="1:7">
      <c r="A66" s="10" t="s">
        <v>41</v>
      </c>
      <c r="B66" s="11">
        <v>35</v>
      </c>
      <c r="C66" s="11">
        <v>5</v>
      </c>
      <c r="G66" s="68" t="s">
        <v>157</v>
      </c>
    </row>
    <row r="67" spans="1:7">
      <c r="A67" s="10" t="s">
        <v>42</v>
      </c>
      <c r="B67" s="11">
        <f>B65-B66</f>
        <v>90</v>
      </c>
      <c r="C67" s="11">
        <f>C65-C66</f>
        <v>20</v>
      </c>
      <c r="G67" s="68"/>
    </row>
    <row r="68" spans="1:7">
      <c r="A68" s="10" t="s">
        <v>49</v>
      </c>
      <c r="B68" s="11">
        <v>800</v>
      </c>
      <c r="C68" s="11">
        <v>50</v>
      </c>
      <c r="G68" s="68"/>
    </row>
    <row r="69" spans="1:7">
      <c r="A69" s="10" t="s">
        <v>50</v>
      </c>
      <c r="B69" s="11">
        <v>200</v>
      </c>
      <c r="C69" s="11">
        <v>50</v>
      </c>
      <c r="G69" s="68"/>
    </row>
    <row r="70" spans="1:7">
      <c r="A70" s="10" t="s">
        <v>15</v>
      </c>
      <c r="B70" s="41">
        <v>0.08</v>
      </c>
      <c r="C70" s="41">
        <v>0.1</v>
      </c>
      <c r="G70" s="68"/>
    </row>
    <row r="71" spans="1:7">
      <c r="A71" t="s">
        <v>48</v>
      </c>
      <c r="B71" s="3">
        <v>0.6</v>
      </c>
      <c r="G71" s="68"/>
    </row>
    <row r="72" spans="1:7">
      <c r="A72" t="s">
        <v>189</v>
      </c>
      <c r="G72" s="68"/>
    </row>
    <row r="73" spans="1:7">
      <c r="A73" s="10"/>
      <c r="B73" s="19" t="s">
        <v>46</v>
      </c>
      <c r="C73" s="19" t="s">
        <v>51</v>
      </c>
      <c r="G73" s="68"/>
    </row>
    <row r="74" spans="1:7">
      <c r="A74" s="10" t="str">
        <f>A65</f>
        <v>EBIT (1-t)</v>
      </c>
      <c r="B74" s="19">
        <f>B65-C65</f>
        <v>100</v>
      </c>
      <c r="C74" s="19">
        <f>C65</f>
        <v>25</v>
      </c>
      <c r="G74" s="68"/>
    </row>
    <row r="75" spans="1:7">
      <c r="A75" s="10" t="str">
        <f>A66</f>
        <v>Reinvestment</v>
      </c>
      <c r="B75" s="19">
        <f>B66-C66</f>
        <v>30</v>
      </c>
      <c r="C75" s="19">
        <f>C66</f>
        <v>5</v>
      </c>
      <c r="G75" s="68"/>
    </row>
    <row r="76" spans="1:7">
      <c r="A76" s="10" t="str">
        <f>A67</f>
        <v>FCFF</v>
      </c>
      <c r="B76" s="19">
        <f>B74-B75</f>
        <v>70</v>
      </c>
      <c r="C76" s="19">
        <f>C74-C75</f>
        <v>20</v>
      </c>
      <c r="G76" s="68"/>
    </row>
    <row r="77" spans="1:7">
      <c r="A77" s="10" t="s">
        <v>44</v>
      </c>
      <c r="B77" s="11">
        <f>(B68+B69)-(C68+C69)</f>
        <v>900</v>
      </c>
      <c r="C77" s="19">
        <f>C68+C69</f>
        <v>100</v>
      </c>
      <c r="G77" s="68"/>
    </row>
    <row r="78" spans="1:7">
      <c r="A78" s="10" t="s">
        <v>52</v>
      </c>
      <c r="B78" s="43">
        <f>B74/B77</f>
        <v>0.1111111111111111</v>
      </c>
      <c r="C78" s="43">
        <f>C74/C77</f>
        <v>0.25</v>
      </c>
      <c r="G78" s="68"/>
    </row>
    <row r="79" spans="1:7">
      <c r="A79" s="10" t="s">
        <v>53</v>
      </c>
      <c r="B79" s="43">
        <f>B75/B74</f>
        <v>0.3</v>
      </c>
      <c r="C79" s="43">
        <f>C75/C74</f>
        <v>0.2</v>
      </c>
      <c r="G79" s="68"/>
    </row>
    <row r="80" spans="1:7">
      <c r="A80" s="10" t="s">
        <v>140</v>
      </c>
      <c r="B80" s="78">
        <f>B78*B79</f>
        <v>3.3333333333333333E-2</v>
      </c>
      <c r="C80" s="78">
        <f>C78*C79</f>
        <v>0.05</v>
      </c>
      <c r="G80" s="68"/>
    </row>
    <row r="81" spans="1:7">
      <c r="A81" s="10" t="s">
        <v>176</v>
      </c>
      <c r="B81" s="19">
        <f>B76/(B70-B80)</f>
        <v>1500</v>
      </c>
      <c r="C81" s="19">
        <f>C76/(C70-C80)</f>
        <v>400</v>
      </c>
      <c r="G81" s="68"/>
    </row>
    <row r="82" spans="1:7">
      <c r="A82" t="s">
        <v>54</v>
      </c>
      <c r="B82" s="86">
        <f>B69-C69</f>
        <v>150</v>
      </c>
      <c r="G82" s="68"/>
    </row>
    <row r="83" spans="1:7" ht="17" thickBot="1">
      <c r="A83" t="s">
        <v>55</v>
      </c>
      <c r="B83" s="17">
        <f>B71*(C81-C69)</f>
        <v>210</v>
      </c>
      <c r="G83" s="68"/>
    </row>
    <row r="84" spans="1:7" ht="17" thickBot="1">
      <c r="A84" t="s">
        <v>56</v>
      </c>
      <c r="B84" s="89">
        <f>B81-B82+B83</f>
        <v>1560</v>
      </c>
      <c r="G84" s="68"/>
    </row>
    <row r="85" spans="1:7">
      <c r="A85" s="71" t="s">
        <v>156</v>
      </c>
      <c r="B85" s="72"/>
      <c r="C85" s="72"/>
      <c r="D85" s="72"/>
      <c r="E85" s="72"/>
      <c r="F85" s="73"/>
      <c r="G85" s="68"/>
    </row>
    <row r="86" spans="1:7" ht="17" thickBot="1">
      <c r="A86" s="74" t="s">
        <v>190</v>
      </c>
      <c r="B86" s="75"/>
      <c r="C86" s="75"/>
      <c r="D86" s="75"/>
      <c r="E86" s="75"/>
      <c r="F86" s="76"/>
      <c r="G86" s="68"/>
    </row>
    <row r="87" spans="1:7">
      <c r="B87" t="s">
        <v>191</v>
      </c>
      <c r="C87" t="s">
        <v>192</v>
      </c>
      <c r="G87" s="68"/>
    </row>
    <row r="88" spans="1:7">
      <c r="A88" s="10" t="s">
        <v>47</v>
      </c>
      <c r="B88" s="86">
        <f>B65</f>
        <v>125</v>
      </c>
      <c r="C88">
        <f>C74</f>
        <v>25</v>
      </c>
      <c r="G88" s="68"/>
    </row>
    <row r="89" spans="1:7">
      <c r="A89" s="10" t="s">
        <v>41</v>
      </c>
      <c r="B89" s="86">
        <f>B66</f>
        <v>35</v>
      </c>
      <c r="C89">
        <f t="shared" ref="C89:C95" si="0">C75</f>
        <v>5</v>
      </c>
      <c r="G89" s="68"/>
    </row>
    <row r="90" spans="1:7">
      <c r="A90" s="10" t="s">
        <v>42</v>
      </c>
      <c r="B90" s="86">
        <f>B88-B89</f>
        <v>90</v>
      </c>
      <c r="C90">
        <f t="shared" si="0"/>
        <v>20</v>
      </c>
      <c r="G90" s="68"/>
    </row>
    <row r="91" spans="1:7">
      <c r="A91" s="10" t="s">
        <v>44</v>
      </c>
      <c r="B91" s="86">
        <f>B68+B69</f>
        <v>1000</v>
      </c>
      <c r="C91">
        <f t="shared" si="0"/>
        <v>100</v>
      </c>
      <c r="G91" s="68"/>
    </row>
    <row r="92" spans="1:7">
      <c r="A92" s="10" t="s">
        <v>52</v>
      </c>
      <c r="B92" s="43">
        <f>B88/B91</f>
        <v>0.125</v>
      </c>
      <c r="C92">
        <f t="shared" si="0"/>
        <v>0.25</v>
      </c>
      <c r="G92" s="68"/>
    </row>
    <row r="93" spans="1:7">
      <c r="A93" s="10" t="s">
        <v>53</v>
      </c>
      <c r="B93" s="43">
        <f>B89/B88</f>
        <v>0.28000000000000003</v>
      </c>
      <c r="C93">
        <f t="shared" si="0"/>
        <v>0.2</v>
      </c>
      <c r="G93" s="68"/>
    </row>
    <row r="94" spans="1:7">
      <c r="A94" s="10" t="s">
        <v>140</v>
      </c>
      <c r="B94" s="78">
        <f>B92*B93</f>
        <v>3.5000000000000003E-2</v>
      </c>
      <c r="C94">
        <f t="shared" si="0"/>
        <v>0.05</v>
      </c>
      <c r="G94" s="68"/>
    </row>
    <row r="95" spans="1:7">
      <c r="A95" s="10" t="s">
        <v>176</v>
      </c>
      <c r="B95" s="87">
        <f>B90/(B70-B94)</f>
        <v>2000</v>
      </c>
      <c r="C95">
        <f t="shared" si="0"/>
        <v>400</v>
      </c>
      <c r="G95" s="68"/>
    </row>
    <row r="96" spans="1:7">
      <c r="A96" s="88" t="s">
        <v>54</v>
      </c>
      <c r="B96" s="86">
        <f>B69</f>
        <v>200</v>
      </c>
      <c r="G96" s="68"/>
    </row>
    <row r="97" spans="1:7" ht="17" thickBot="1">
      <c r="A97" s="88" t="s">
        <v>193</v>
      </c>
      <c r="B97" s="86">
        <f>0.4*(C95-C69)</f>
        <v>140</v>
      </c>
      <c r="G97" s="68"/>
    </row>
    <row r="98" spans="1:7" ht="17" thickBot="1">
      <c r="A98" s="56" t="s">
        <v>56</v>
      </c>
      <c r="B98" s="90">
        <f>B95-B96-B97</f>
        <v>1660</v>
      </c>
      <c r="G98" s="68"/>
    </row>
    <row r="99" spans="1:7">
      <c r="G99" s="68"/>
    </row>
    <row r="100" spans="1:7">
      <c r="A100" s="1" t="s">
        <v>57</v>
      </c>
      <c r="G100" s="68"/>
    </row>
    <row r="101" spans="1:7" ht="17" thickBot="1">
      <c r="B101" s="44" t="s">
        <v>131</v>
      </c>
      <c r="C101" s="63" t="s">
        <v>159</v>
      </c>
      <c r="G101" s="68"/>
    </row>
    <row r="102" spans="1:7" ht="17" thickBot="1">
      <c r="A102" s="10" t="s">
        <v>58</v>
      </c>
      <c r="B102" s="61">
        <f>(B103*(1-B105/B107))/(0.09-B105)</f>
        <v>2.1875</v>
      </c>
      <c r="C102" s="65">
        <f>C103*(1-C108)/(B110-C105)</f>
        <v>0.99999999999999978</v>
      </c>
      <c r="D102" t="s">
        <v>177</v>
      </c>
      <c r="G102" s="68" t="s">
        <v>160</v>
      </c>
    </row>
    <row r="103" spans="1:7">
      <c r="A103" s="10" t="s">
        <v>60</v>
      </c>
      <c r="B103" s="42">
        <v>0.15</v>
      </c>
      <c r="C103" s="64">
        <v>7.4999999999999997E-2</v>
      </c>
      <c r="D103" t="s">
        <v>178</v>
      </c>
      <c r="G103" s="68" t="s">
        <v>161</v>
      </c>
    </row>
    <row r="104" spans="1:7">
      <c r="A104" s="10" t="s">
        <v>59</v>
      </c>
      <c r="B104" s="19">
        <v>1.6</v>
      </c>
      <c r="C104" s="19">
        <v>2</v>
      </c>
      <c r="D104" t="s">
        <v>179</v>
      </c>
      <c r="G104" s="68"/>
    </row>
    <row r="105" spans="1:7">
      <c r="A105" s="10" t="s">
        <v>61</v>
      </c>
      <c r="B105" s="43">
        <v>0.03</v>
      </c>
      <c r="C105" s="41">
        <f>B105</f>
        <v>0.03</v>
      </c>
      <c r="G105" s="68"/>
    </row>
    <row r="106" spans="1:7">
      <c r="G106" s="68"/>
    </row>
    <row r="107" spans="1:7">
      <c r="A107" t="s">
        <v>52</v>
      </c>
      <c r="B107" s="6">
        <f>B103*B104</f>
        <v>0.24</v>
      </c>
      <c r="C107" s="6">
        <f>C103*C104</f>
        <v>0.15</v>
      </c>
      <c r="G107" s="68"/>
    </row>
    <row r="108" spans="1:7">
      <c r="A108" t="s">
        <v>53</v>
      </c>
      <c r="B108" s="5">
        <f>B105/B107</f>
        <v>0.125</v>
      </c>
      <c r="C108" s="5">
        <f>C105/C107</f>
        <v>0.2</v>
      </c>
      <c r="G108" s="68"/>
    </row>
    <row r="109" spans="1:7">
      <c r="G109" s="68"/>
    </row>
    <row r="110" spans="1:7">
      <c r="A110" t="s">
        <v>15</v>
      </c>
      <c r="B110" s="18">
        <f>B105+1/(B102/(B103*(1-B108)))</f>
        <v>9.0000000000000011E-2</v>
      </c>
      <c r="G110" s="68"/>
    </row>
    <row r="111" spans="1:7">
      <c r="G111" s="68"/>
    </row>
    <row r="112" spans="1:7">
      <c r="A112" s="1" t="s">
        <v>62</v>
      </c>
      <c r="G112" s="68"/>
    </row>
    <row r="113" spans="1:7">
      <c r="A113" s="10"/>
      <c r="B113" s="19" t="s">
        <v>63</v>
      </c>
      <c r="C113" s="19" t="s">
        <v>64</v>
      </c>
      <c r="D113" s="19" t="s">
        <v>12</v>
      </c>
      <c r="G113" s="69" t="s">
        <v>162</v>
      </c>
    </row>
    <row r="114" spans="1:7">
      <c r="A114" s="10" t="s">
        <v>65</v>
      </c>
      <c r="B114" s="20">
        <v>0.4</v>
      </c>
      <c r="C114" s="41">
        <v>0.06</v>
      </c>
      <c r="D114" s="41">
        <v>0.08</v>
      </c>
      <c r="G114" s="68" t="s">
        <v>163</v>
      </c>
    </row>
    <row r="115" spans="1:7">
      <c r="A115" s="21" t="s">
        <v>66</v>
      </c>
      <c r="B115" s="22">
        <v>1.4</v>
      </c>
      <c r="C115" s="45" t="s">
        <v>135</v>
      </c>
      <c r="D115" s="45">
        <f>AVERAGE(D114:D114)</f>
        <v>0.08</v>
      </c>
      <c r="G115" s="68"/>
    </row>
    <row r="116" spans="1:7">
      <c r="G116" s="68"/>
    </row>
    <row r="117" spans="1:7">
      <c r="A117" t="s">
        <v>67</v>
      </c>
      <c r="G117" s="68"/>
    </row>
    <row r="118" spans="1:7">
      <c r="A118" t="s">
        <v>68</v>
      </c>
      <c r="G118" s="68"/>
    </row>
    <row r="119" spans="1:7">
      <c r="A119" t="s">
        <v>69</v>
      </c>
      <c r="B119" s="77">
        <f>(1.4*0.09-0.11)/0.4</f>
        <v>0.04</v>
      </c>
      <c r="G119" s="68"/>
    </row>
    <row r="120" spans="1:7">
      <c r="G120" s="68"/>
    </row>
    <row r="121" spans="1:7">
      <c r="A121" s="10"/>
      <c r="B121" s="19" t="s">
        <v>70</v>
      </c>
      <c r="C121" s="21" t="s">
        <v>71</v>
      </c>
      <c r="D121" s="21" t="s">
        <v>72</v>
      </c>
      <c r="G121" s="68"/>
    </row>
    <row r="122" spans="1:7" ht="17" thickBot="1">
      <c r="A122" s="12" t="s">
        <v>65</v>
      </c>
      <c r="B122" s="79">
        <f>B114</f>
        <v>0.4</v>
      </c>
      <c r="C122" s="80">
        <f>(C114-$B$119)/(D114-$B$119)</f>
        <v>0.49999999999999989</v>
      </c>
      <c r="D122" s="81">
        <f>(B122/C122)-1</f>
        <v>-0.19999999999999973</v>
      </c>
      <c r="G122" s="68"/>
    </row>
    <row r="123" spans="1:7" ht="17" thickBot="1">
      <c r="A123" s="82" t="s">
        <v>164</v>
      </c>
      <c r="B123" s="83"/>
      <c r="C123" s="83"/>
      <c r="D123" s="83"/>
      <c r="E123" s="83"/>
      <c r="F123" s="84"/>
      <c r="G123" s="68"/>
    </row>
    <row r="124" spans="1:7">
      <c r="G124" s="68"/>
    </row>
    <row r="125" spans="1:7">
      <c r="A125" s="1" t="s">
        <v>73</v>
      </c>
      <c r="G125" s="68"/>
    </row>
    <row r="126" spans="1:7">
      <c r="A126" s="10"/>
      <c r="B126" s="10" t="s">
        <v>74</v>
      </c>
      <c r="C126" s="10" t="s">
        <v>79</v>
      </c>
      <c r="G126" s="68" t="s">
        <v>165</v>
      </c>
    </row>
    <row r="127" spans="1:7">
      <c r="A127" s="10" t="s">
        <v>75</v>
      </c>
      <c r="B127" s="10">
        <v>100</v>
      </c>
      <c r="C127" s="10"/>
      <c r="G127" s="68" t="s">
        <v>166</v>
      </c>
    </row>
    <row r="128" spans="1:7">
      <c r="A128" s="10" t="s">
        <v>81</v>
      </c>
      <c r="B128" s="18">
        <v>0.06</v>
      </c>
      <c r="C128" s="10" t="s">
        <v>132</v>
      </c>
      <c r="G128" s="68" t="s">
        <v>167</v>
      </c>
    </row>
    <row r="129" spans="1:7">
      <c r="A129" s="10" t="s">
        <v>61</v>
      </c>
      <c r="B129" s="39">
        <v>0.03</v>
      </c>
      <c r="C129" s="10"/>
      <c r="G129" s="68" t="s">
        <v>168</v>
      </c>
    </row>
    <row r="130" spans="1:7">
      <c r="A130" s="10" t="s">
        <v>44</v>
      </c>
      <c r="B130" s="38">
        <v>60</v>
      </c>
      <c r="C130" s="10"/>
      <c r="G130" s="68"/>
    </row>
    <row r="131" spans="1:7">
      <c r="A131" s="10" t="s">
        <v>76</v>
      </c>
      <c r="B131" s="39">
        <v>0.09</v>
      </c>
      <c r="C131" s="10"/>
      <c r="G131" s="68"/>
    </row>
    <row r="132" spans="1:7">
      <c r="A132" s="10" t="s">
        <v>77</v>
      </c>
      <c r="B132" s="39">
        <v>0</v>
      </c>
      <c r="C132" s="39">
        <v>0.2</v>
      </c>
      <c r="D132" t="s">
        <v>82</v>
      </c>
      <c r="G132" s="68"/>
    </row>
    <row r="133" spans="1:7">
      <c r="G133" s="68"/>
    </row>
    <row r="134" spans="1:7">
      <c r="A134" t="s">
        <v>78</v>
      </c>
      <c r="B134" s="3">
        <v>0.04</v>
      </c>
      <c r="G134" s="68"/>
    </row>
    <row r="135" spans="1:7">
      <c r="A135" t="s">
        <v>9</v>
      </c>
      <c r="B135" s="3">
        <v>0.05</v>
      </c>
      <c r="G135" s="68"/>
    </row>
    <row r="136" spans="1:7">
      <c r="A136" t="s">
        <v>80</v>
      </c>
      <c r="B136" s="3">
        <v>0.25</v>
      </c>
      <c r="G136" s="68"/>
    </row>
    <row r="137" spans="1:7">
      <c r="G137" s="68"/>
    </row>
    <row r="138" spans="1:7">
      <c r="A138" t="s">
        <v>87</v>
      </c>
      <c r="B138" s="2">
        <f>(B131-B134)/B135</f>
        <v>0.99999999999999989</v>
      </c>
      <c r="G138" s="68"/>
    </row>
    <row r="139" spans="1:7">
      <c r="A139" t="s">
        <v>88</v>
      </c>
      <c r="B139">
        <f>B138*(1+(1-B136)*(0.25))</f>
        <v>1.1874999999999998</v>
      </c>
      <c r="C139" t="s">
        <v>181</v>
      </c>
      <c r="G139" s="68"/>
    </row>
    <row r="140" spans="1:7">
      <c r="A140" t="s">
        <v>12</v>
      </c>
      <c r="B140" s="24">
        <f>B134+B139*5%</f>
        <v>9.9374999999999991E-2</v>
      </c>
      <c r="G140" s="68"/>
    </row>
    <row r="141" spans="1:7">
      <c r="A141" t="s">
        <v>89</v>
      </c>
      <c r="B141" s="6">
        <f>B140*(1-0.2)+5%*(1-0.25)*0.2</f>
        <v>8.7000000000000008E-2</v>
      </c>
      <c r="G141" s="68"/>
    </row>
    <row r="142" spans="1:7" ht="17" thickBot="1">
      <c r="B142" s="6"/>
      <c r="G142" s="68"/>
    </row>
    <row r="143" spans="1:7" ht="17" thickBot="1">
      <c r="B143" s="19" t="str">
        <f>B126</f>
        <v>Status Quo</v>
      </c>
      <c r="C143" s="61" t="s">
        <v>85</v>
      </c>
      <c r="D143" s="62" t="s">
        <v>86</v>
      </c>
      <c r="G143" s="68"/>
    </row>
    <row r="144" spans="1:7">
      <c r="A144" s="10" t="s">
        <v>83</v>
      </c>
      <c r="B144" s="11">
        <f>B127*B128*(1-B136)</f>
        <v>4.5</v>
      </c>
      <c r="C144" s="11">
        <f>B144+3*(1-B136)</f>
        <v>6.75</v>
      </c>
      <c r="E144" t="s">
        <v>180</v>
      </c>
      <c r="G144" s="68"/>
    </row>
    <row r="145" spans="1:7">
      <c r="A145" s="10" t="s">
        <v>52</v>
      </c>
      <c r="B145" s="43">
        <f>B144/B130</f>
        <v>7.4999999999999997E-2</v>
      </c>
      <c r="C145" s="43">
        <f>C144/B130</f>
        <v>0.1125</v>
      </c>
      <c r="G145" s="68"/>
    </row>
    <row r="146" spans="1:7">
      <c r="A146" s="10" t="s">
        <v>53</v>
      </c>
      <c r="B146" s="46">
        <f>B129/B145</f>
        <v>0.4</v>
      </c>
      <c r="C146" s="46">
        <f>B129/C145</f>
        <v>0.26666666666666666</v>
      </c>
      <c r="G146" s="68"/>
    </row>
    <row r="147" spans="1:7">
      <c r="A147" s="10" t="s">
        <v>42</v>
      </c>
      <c r="B147" s="11">
        <f>B144*(1-B146)</f>
        <v>2.6999999999999997</v>
      </c>
      <c r="C147" s="11">
        <f>C144*(1-C146)</f>
        <v>4.95</v>
      </c>
      <c r="G147" s="68"/>
    </row>
    <row r="148" spans="1:7" ht="17" thickBot="1">
      <c r="A148" s="10" t="s">
        <v>76</v>
      </c>
      <c r="B148" s="41">
        <f>B131</f>
        <v>0.09</v>
      </c>
      <c r="C148" s="41">
        <f>B141</f>
        <v>8.7000000000000008E-2</v>
      </c>
      <c r="G148" s="68"/>
    </row>
    <row r="149" spans="1:7" ht="17" thickBot="1">
      <c r="A149" s="10" t="s">
        <v>84</v>
      </c>
      <c r="B149" s="11">
        <f>B147/(B148-B129)</f>
        <v>45</v>
      </c>
      <c r="C149" s="59">
        <f>C147/(C148-B129)</f>
        <v>86.84210526315789</v>
      </c>
      <c r="D149" s="60">
        <f>C149-B149</f>
        <v>41.84210526315789</v>
      </c>
      <c r="G149" s="68"/>
    </row>
    <row r="150" spans="1:7">
      <c r="G150" s="68"/>
    </row>
    <row r="151" spans="1:7">
      <c r="A151" s="1" t="s">
        <v>90</v>
      </c>
      <c r="G151" s="68"/>
    </row>
    <row r="152" spans="1:7">
      <c r="B152" s="44" t="s">
        <v>91</v>
      </c>
      <c r="C152" s="44" t="s">
        <v>92</v>
      </c>
      <c r="G152" s="68" t="s">
        <v>169</v>
      </c>
    </row>
    <row r="153" spans="1:7">
      <c r="A153" s="10" t="s">
        <v>134</v>
      </c>
      <c r="B153" s="47">
        <v>100</v>
      </c>
      <c r="C153" s="47">
        <v>100</v>
      </c>
      <c r="G153" s="68" t="s">
        <v>170</v>
      </c>
    </row>
    <row r="154" spans="1:7">
      <c r="A154" s="10" t="s">
        <v>14</v>
      </c>
      <c r="B154" s="42">
        <v>0.2</v>
      </c>
      <c r="C154" s="42">
        <v>0.2</v>
      </c>
      <c r="G154" s="68" t="s">
        <v>171</v>
      </c>
    </row>
    <row r="155" spans="1:7">
      <c r="A155" s="10" t="s">
        <v>12</v>
      </c>
      <c r="B155" s="41">
        <v>9.2499999999999999E-2</v>
      </c>
      <c r="C155" s="41">
        <f>B155</f>
        <v>9.2499999999999999E-2</v>
      </c>
      <c r="G155" s="68" t="s">
        <v>172</v>
      </c>
    </row>
    <row r="156" spans="1:7">
      <c r="A156" s="10" t="s">
        <v>93</v>
      </c>
      <c r="B156" s="41">
        <v>5.2499999999999998E-2</v>
      </c>
      <c r="C156" s="41">
        <v>5.2499999999999998E-2</v>
      </c>
      <c r="G156" s="68"/>
    </row>
    <row r="157" spans="1:7">
      <c r="A157" s="10" t="s">
        <v>133</v>
      </c>
      <c r="B157" s="41">
        <v>0.04</v>
      </c>
      <c r="C157" s="41">
        <v>0.04</v>
      </c>
      <c r="G157" s="68"/>
    </row>
    <row r="158" spans="1:7">
      <c r="G158" s="68"/>
    </row>
    <row r="159" spans="1:7">
      <c r="A159" t="s">
        <v>94</v>
      </c>
      <c r="B159" s="3">
        <v>0.25</v>
      </c>
      <c r="G159" s="68"/>
    </row>
    <row r="160" spans="1:7">
      <c r="A160" t="s">
        <v>78</v>
      </c>
      <c r="B160" s="4">
        <v>4.4999999999999998E-2</v>
      </c>
      <c r="G160" s="68"/>
    </row>
    <row r="161" spans="1:7">
      <c r="A161" t="s">
        <v>9</v>
      </c>
      <c r="B161" s="4">
        <v>0.05</v>
      </c>
      <c r="G161" s="68"/>
    </row>
    <row r="162" spans="1:7">
      <c r="G162" s="68"/>
    </row>
    <row r="163" spans="1:7">
      <c r="B163" s="19" t="str">
        <f>B152</f>
        <v>Stancil</v>
      </c>
      <c r="C163" s="19" t="str">
        <f>C152</f>
        <v>Merritt</v>
      </c>
      <c r="D163" s="51" t="s">
        <v>95</v>
      </c>
      <c r="G163" s="68"/>
    </row>
    <row r="164" spans="1:7">
      <c r="A164" s="10" t="str">
        <f>A153</f>
        <v>FCFF next year ($ millions)</v>
      </c>
      <c r="B164" s="50">
        <f t="shared" ref="B164" si="1">B153</f>
        <v>100</v>
      </c>
      <c r="C164" s="50">
        <f>C153</f>
        <v>100</v>
      </c>
      <c r="D164" s="52">
        <f>B164+C164+25</f>
        <v>225</v>
      </c>
      <c r="E164" t="s">
        <v>182</v>
      </c>
      <c r="G164" s="68"/>
    </row>
    <row r="165" spans="1:7">
      <c r="A165" s="10" t="str">
        <f t="shared" ref="A165:A167" si="2">A154</f>
        <v>Debt ratio</v>
      </c>
      <c r="B165" s="43">
        <f t="shared" ref="B165" si="3">B154</f>
        <v>0.2</v>
      </c>
      <c r="C165" s="43">
        <f>C154</f>
        <v>0.2</v>
      </c>
      <c r="D165" s="53">
        <v>0.4</v>
      </c>
      <c r="G165" s="68"/>
    </row>
    <row r="166" spans="1:7">
      <c r="A166" s="10" t="str">
        <f t="shared" si="2"/>
        <v>Cost of equity</v>
      </c>
      <c r="B166" s="43">
        <f t="shared" ref="B166" si="4">B155</f>
        <v>9.2499999999999999E-2</v>
      </c>
      <c r="C166" s="43">
        <v>9.2499999999999999E-2</v>
      </c>
      <c r="D166" s="54">
        <f>B160+B175*B161</f>
        <v>0.105</v>
      </c>
      <c r="G166" s="68"/>
    </row>
    <row r="167" spans="1:7">
      <c r="A167" s="10" t="str">
        <f t="shared" si="2"/>
        <v>Cost of debt (pre-tax)</v>
      </c>
      <c r="B167" s="43">
        <f t="shared" ref="B167" si="5">B156</f>
        <v>5.2499999999999998E-2</v>
      </c>
      <c r="C167" s="43">
        <f>C156</f>
        <v>5.2499999999999998E-2</v>
      </c>
      <c r="D167" s="45">
        <f>C167</f>
        <v>5.2499999999999998E-2</v>
      </c>
      <c r="G167" s="68"/>
    </row>
    <row r="168" spans="1:7">
      <c r="A168" s="10" t="s">
        <v>15</v>
      </c>
      <c r="B168" s="43">
        <f>B166*(1-B165)+B167*(1-B159)*B165</f>
        <v>8.1875000000000003E-2</v>
      </c>
      <c r="C168" s="43">
        <f>C166*(1-C165)+C167*(1-B159)*C165</f>
        <v>8.1875000000000003E-2</v>
      </c>
      <c r="D168" s="23">
        <f>D166*(1-D165)+D167*(1-B159)*D165</f>
        <v>7.8750000000000001E-2</v>
      </c>
      <c r="G168" s="68"/>
    </row>
    <row r="169" spans="1:7">
      <c r="A169" s="10" t="s">
        <v>96</v>
      </c>
      <c r="B169" s="43">
        <f>B157</f>
        <v>0.04</v>
      </c>
      <c r="C169" s="43">
        <f>C157</f>
        <v>0.04</v>
      </c>
      <c r="D169" s="23">
        <f>C169</f>
        <v>0.04</v>
      </c>
      <c r="G169" s="68"/>
    </row>
    <row r="170" spans="1:7" ht="17" thickBot="1">
      <c r="A170" s="10" t="s">
        <v>3</v>
      </c>
      <c r="B170" s="57">
        <f>B164/(B168-B169)</f>
        <v>2388.059701492537</v>
      </c>
      <c r="C170" s="50">
        <f t="shared" ref="C170:D170" si="6">C164/(C168-C169)</f>
        <v>2388.059701492537</v>
      </c>
      <c r="D170" s="55">
        <f t="shared" si="6"/>
        <v>5806.4516129032254</v>
      </c>
      <c r="G170" s="68"/>
    </row>
    <row r="171" spans="1:7" ht="17" thickBot="1">
      <c r="A171" s="56" t="s">
        <v>97</v>
      </c>
      <c r="B171" s="58">
        <f>D170-C170-B170</f>
        <v>1030.3322099181514</v>
      </c>
      <c r="C171" s="6"/>
      <c r="D171" s="6"/>
      <c r="G171" s="68"/>
    </row>
    <row r="172" spans="1:7">
      <c r="G172" s="68"/>
    </row>
    <row r="173" spans="1:7">
      <c r="A173" t="s">
        <v>11</v>
      </c>
      <c r="B173" s="2">
        <f>(B166-B160)/B161</f>
        <v>0.95</v>
      </c>
      <c r="C173" s="7"/>
      <c r="G173" s="68"/>
    </row>
    <row r="174" spans="1:7">
      <c r="A174" t="s">
        <v>10</v>
      </c>
      <c r="B174" s="2">
        <f>B173/(1+(1-B159)*(B165/(1-B165)))</f>
        <v>0.79999999999999993</v>
      </c>
      <c r="E174" s="9"/>
      <c r="G174" s="68"/>
    </row>
    <row r="175" spans="1:7">
      <c r="A175" t="s">
        <v>184</v>
      </c>
      <c r="B175" s="2">
        <f>B174*(1+(1-B159)*(D165/(1-D165)))</f>
        <v>1.2</v>
      </c>
      <c r="E175" s="9"/>
      <c r="G175" s="68"/>
    </row>
    <row r="176" spans="1:7">
      <c r="G176" s="68"/>
    </row>
    <row r="177" spans="1:7">
      <c r="A177" s="1" t="s">
        <v>98</v>
      </c>
      <c r="G177" s="68"/>
    </row>
    <row r="178" spans="1:7">
      <c r="A178" t="s">
        <v>99</v>
      </c>
      <c r="B178" s="9">
        <v>1.2</v>
      </c>
      <c r="C178" t="s">
        <v>107</v>
      </c>
      <c r="D178" s="3">
        <v>0.2</v>
      </c>
      <c r="G178" s="68" t="s">
        <v>173</v>
      </c>
    </row>
    <row r="179" spans="1:7">
      <c r="A179" t="s">
        <v>100</v>
      </c>
      <c r="B179" s="9">
        <v>15</v>
      </c>
      <c r="C179" t="s">
        <v>105</v>
      </c>
      <c r="G179" s="68" t="s">
        <v>174</v>
      </c>
    </row>
    <row r="180" spans="1:7">
      <c r="A180" t="s">
        <v>101</v>
      </c>
      <c r="B180" s="9">
        <f>B178</f>
        <v>1.2</v>
      </c>
      <c r="G180" s="68" t="s">
        <v>175</v>
      </c>
    </row>
    <row r="181" spans="1:7">
      <c r="A181" t="s">
        <v>102</v>
      </c>
      <c r="B181" s="3">
        <v>0.1</v>
      </c>
      <c r="G181" s="68"/>
    </row>
    <row r="182" spans="1:7">
      <c r="G182" s="68"/>
    </row>
    <row r="183" spans="1:7">
      <c r="A183" t="s">
        <v>136</v>
      </c>
      <c r="B183" s="9">
        <f>B178/B181</f>
        <v>11.999999999999998</v>
      </c>
      <c r="C183" t="s">
        <v>183</v>
      </c>
      <c r="G183" s="68"/>
    </row>
    <row r="184" spans="1:7" ht="17" thickBot="1">
      <c r="A184" t="s">
        <v>137</v>
      </c>
      <c r="B184" s="48">
        <f>C205</f>
        <v>2.0104442726455387</v>
      </c>
      <c r="G184" s="68"/>
    </row>
    <row r="185" spans="1:7" ht="17" thickBot="1">
      <c r="A185" t="s">
        <v>138</v>
      </c>
      <c r="B185" s="49">
        <f>B183+B184</f>
        <v>14.010444272645536</v>
      </c>
      <c r="G185" s="68"/>
    </row>
    <row r="186" spans="1:7">
      <c r="B186" s="48"/>
      <c r="G186" s="68"/>
    </row>
    <row r="187" spans="1:7">
      <c r="A187" t="s">
        <v>103</v>
      </c>
      <c r="B187" s="9">
        <f>B180/B181</f>
        <v>11.999999999999998</v>
      </c>
      <c r="G187" s="68"/>
    </row>
    <row r="188" spans="1:7">
      <c r="A188" t="s">
        <v>104</v>
      </c>
      <c r="B188" s="9">
        <f>B179</f>
        <v>15</v>
      </c>
      <c r="G188" s="68"/>
    </row>
    <row r="189" spans="1:7">
      <c r="A189" t="s">
        <v>106</v>
      </c>
      <c r="B189">
        <v>5</v>
      </c>
      <c r="G189" s="68"/>
    </row>
    <row r="190" spans="1:7">
      <c r="A190" t="s">
        <v>108</v>
      </c>
      <c r="B190">
        <f>D178^2</f>
        <v>4.0000000000000008E-2</v>
      </c>
      <c r="G190" s="68"/>
    </row>
    <row r="191" spans="1:7">
      <c r="A191" t="s">
        <v>109</v>
      </c>
      <c r="B191" s="3">
        <v>0.04</v>
      </c>
      <c r="G191" s="68"/>
    </row>
    <row r="192" spans="1:7">
      <c r="G192" s="68"/>
    </row>
    <row r="193" spans="1:7">
      <c r="A193" t="s">
        <v>110</v>
      </c>
    </row>
    <row r="194" spans="1:7">
      <c r="A194" s="27" t="s">
        <v>111</v>
      </c>
      <c r="C194" s="28">
        <v>12</v>
      </c>
    </row>
    <row r="195" spans="1:7">
      <c r="A195" s="27" t="s">
        <v>113</v>
      </c>
      <c r="C195" s="28">
        <v>15</v>
      </c>
    </row>
    <row r="196" spans="1:7">
      <c r="A196" s="27" t="s">
        <v>115</v>
      </c>
      <c r="C196" s="31">
        <v>5</v>
      </c>
    </row>
    <row r="197" spans="1:7">
      <c r="C197" s="33"/>
    </row>
    <row r="198" spans="1:7">
      <c r="E198" s="27" t="s">
        <v>112</v>
      </c>
      <c r="G198" s="29">
        <v>0.04</v>
      </c>
    </row>
    <row r="199" spans="1:7">
      <c r="B199" s="27" t="s">
        <v>117</v>
      </c>
      <c r="C199" s="34">
        <f>(LN(C194/C195)+(G198-G200+(G199/2))*C196)/(((G199)^(0.5))*(C196^0.5))</f>
        <v>0.17185624377065142</v>
      </c>
      <c r="D199" s="35"/>
      <c r="E199" s="27" t="s">
        <v>114</v>
      </c>
      <c r="G199" s="30">
        <v>0.04</v>
      </c>
    </row>
    <row r="200" spans="1:7">
      <c r="B200" s="27" t="s">
        <v>118</v>
      </c>
      <c r="C200" s="34">
        <f>NORMSDIST(C199)</f>
        <v>0.56822472644871191</v>
      </c>
      <c r="E200" s="27" t="s">
        <v>116</v>
      </c>
      <c r="G200" s="32">
        <v>0</v>
      </c>
    </row>
    <row r="201" spans="1:7">
      <c r="B201" s="27"/>
      <c r="C201" s="35"/>
      <c r="D201" s="35"/>
      <c r="G201" s="4"/>
    </row>
    <row r="202" spans="1:7">
      <c r="B202" s="27" t="s">
        <v>119</v>
      </c>
      <c r="C202" s="34">
        <f>C199-((G199^0.5)*(C196^(0.5)))</f>
        <v>-0.27535735172930653</v>
      </c>
      <c r="D202" s="35"/>
      <c r="G202" s="10"/>
    </row>
    <row r="203" spans="1:7">
      <c r="B203" s="27" t="s">
        <v>120</v>
      </c>
      <c r="C203" s="34">
        <f>NORMSDIST(C202)</f>
        <v>0.39152085319564001</v>
      </c>
      <c r="E203" s="35"/>
    </row>
    <row r="205" spans="1:7">
      <c r="A205" s="36" t="s">
        <v>121</v>
      </c>
      <c r="B205" s="33"/>
      <c r="C205" s="37">
        <f>(EXP((0-G200)*C196))*C194*C200-C195*(EXP((0-G198)*C196))*C203</f>
        <v>2.0104442726455387</v>
      </c>
      <c r="E205" s="35"/>
    </row>
    <row r="206" spans="1:7">
      <c r="E206" s="35"/>
    </row>
    <row r="209" spans="5:7">
      <c r="E209" s="36"/>
      <c r="G209" s="37"/>
    </row>
  </sheetData>
  <pageMargins left="0.7" right="0.7" top="0.75" bottom="0.75" header="0.3" footer="0.3"/>
  <pageSetup scale="68" orientation="landscape" horizontalDpi="0" verticalDpi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2024-05-08T21:07:29Z</cp:lastPrinted>
  <dcterms:created xsi:type="dcterms:W3CDTF">2024-04-28T22:56:17Z</dcterms:created>
  <dcterms:modified xsi:type="dcterms:W3CDTF">2024-05-12T19:22:14Z</dcterms:modified>
</cp:coreProperties>
</file>