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dfiles/eqexams/"/>
    </mc:Choice>
  </mc:AlternateContent>
  <xr:revisionPtr revIDLastSave="0" documentId="8_{A420A4CB-F6A4-354D-A98D-AE0D1392FF88}" xr6:coauthVersionLast="47" xr6:coauthVersionMax="47" xr10:uidLastSave="{00000000-0000-0000-0000-000000000000}"/>
  <bookViews>
    <workbookView xWindow="0" yWindow="760" windowWidth="20560" windowHeight="18880" xr2:uid="{13E6321C-13CF-B04F-A8B8-F4855483A2DC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3" i="1" l="1"/>
  <c r="B142" i="1" l="1"/>
  <c r="B93" i="1" l="1"/>
  <c r="B100" i="1" s="1"/>
  <c r="B144" i="1"/>
  <c r="B148" i="1" s="1"/>
  <c r="C129" i="1" l="1"/>
  <c r="C130" i="1" s="1"/>
  <c r="C131" i="1" s="1"/>
  <c r="D123" i="1"/>
  <c r="B129" i="1"/>
  <c r="B130" i="1" s="1"/>
  <c r="B131" i="1" s="1"/>
  <c r="D124" i="1"/>
  <c r="D122" i="1"/>
  <c r="D129" i="1" l="1"/>
  <c r="D130" i="1" s="1"/>
  <c r="D131" i="1" s="1"/>
  <c r="F131" i="1" l="1"/>
  <c r="B113" i="1" l="1"/>
  <c r="B114" i="1" s="1"/>
  <c r="B116" i="1" s="1"/>
  <c r="B118" i="1" s="1"/>
  <c r="C105" i="1"/>
  <c r="B97" i="1"/>
  <c r="B96" i="1"/>
  <c r="B74" i="1"/>
  <c r="B78" i="1" s="1"/>
  <c r="B79" i="1" s="1"/>
  <c r="B73" i="1"/>
  <c r="B77" i="1" s="1"/>
  <c r="B63" i="1"/>
  <c r="B62" i="1"/>
  <c r="B61" i="1"/>
  <c r="B60" i="1"/>
  <c r="B59" i="1"/>
  <c r="D41" i="1"/>
  <c r="C41" i="1"/>
  <c r="C43" i="1" s="1"/>
  <c r="D40" i="1"/>
  <c r="D44" i="1" s="1"/>
  <c r="C40" i="1"/>
  <c r="D39" i="1"/>
  <c r="C39" i="1"/>
  <c r="B39" i="1"/>
  <c r="A40" i="1"/>
  <c r="C33" i="1"/>
  <c r="B40" i="1" s="1"/>
  <c r="B44" i="1" s="1"/>
  <c r="B26" i="1"/>
  <c r="B29" i="1"/>
  <c r="C19" i="1"/>
  <c r="B4" i="1"/>
  <c r="B11" i="1" s="1"/>
  <c r="B12" i="1" s="1"/>
  <c r="B14" i="1" s="1"/>
  <c r="B64" i="1" l="1"/>
  <c r="B80" i="1"/>
  <c r="B98" i="1"/>
  <c r="B99" i="1" s="1"/>
  <c r="B101" i="1" s="1"/>
  <c r="C44" i="1"/>
  <c r="B41" i="1"/>
  <c r="B47" i="1" s="1"/>
  <c r="C47" i="1" s="1"/>
  <c r="D42" i="1" s="1"/>
  <c r="D43" i="1" s="1"/>
  <c r="D45" i="1" s="1"/>
  <c r="C45" i="1"/>
  <c r="B43" i="1"/>
  <c r="B45" i="1" s="1"/>
  <c r="D19" i="1"/>
  <c r="C29" i="1"/>
  <c r="C26" i="1" s="1"/>
  <c r="C27" i="1" l="1"/>
  <c r="C28" i="1" s="1"/>
  <c r="E19" i="1"/>
  <c r="D29" i="1"/>
  <c r="D26" i="1" s="1"/>
  <c r="D27" i="1" l="1"/>
  <c r="D28" i="1" s="1"/>
  <c r="E29" i="1"/>
  <c r="E27" i="1" l="1"/>
  <c r="E26" i="1"/>
  <c r="E28" i="1" l="1"/>
</calcChain>
</file>

<file path=xl/sharedStrings.xml><?xml version="1.0" encoding="utf-8"?>
<sst xmlns="http://schemas.openxmlformats.org/spreadsheetml/2006/main" count="132" uniqueCount="115">
  <si>
    <t>Problem 1</t>
  </si>
  <si>
    <t>Value of firm</t>
  </si>
  <si>
    <t>Growth rate</t>
  </si>
  <si>
    <t>Analyst used cost of equity to discount FCFF</t>
  </si>
  <si>
    <t>After-tax cost of debt</t>
  </si>
  <si>
    <t>Expected FCFF</t>
  </si>
  <si>
    <t>First, back out the cost of equity used by the analyst</t>
  </si>
  <si>
    <t>Cost of equity =</t>
  </si>
  <si>
    <t>Cost of capital =</t>
  </si>
  <si>
    <t>Value of firm =</t>
  </si>
  <si>
    <t>Debt to capital =</t>
  </si>
  <si>
    <t>Problem 2</t>
  </si>
  <si>
    <t>Valuing a bank</t>
  </si>
  <si>
    <t>Base year</t>
  </si>
  <si>
    <t>Net Income</t>
  </si>
  <si>
    <t>Tier 1 capital</t>
  </si>
  <si>
    <t>ROE</t>
  </si>
  <si>
    <t>FCFE</t>
  </si>
  <si>
    <t>Risk adjusted assets</t>
  </si>
  <si>
    <t>Base</t>
  </si>
  <si>
    <t xml:space="preserve">Tier 1 capital= Book equity </t>
  </si>
  <si>
    <t>Problem 3</t>
  </si>
  <si>
    <t>Revenues</t>
  </si>
  <si>
    <t>Operating margin (pre-tax0</t>
  </si>
  <si>
    <t>Sales to capital =</t>
  </si>
  <si>
    <t xml:space="preserve">Tax rate = </t>
  </si>
  <si>
    <t>NOL =</t>
  </si>
  <si>
    <t>Operating incone</t>
  </si>
  <si>
    <t>NOL</t>
  </si>
  <si>
    <t>Taxes</t>
  </si>
  <si>
    <t>EBIT (1-t)</t>
  </si>
  <si>
    <t xml:space="preserve"> - Reinvestment</t>
  </si>
  <si>
    <t>FCFF</t>
  </si>
  <si>
    <t>Problem 4</t>
  </si>
  <si>
    <t>Cost of capital</t>
  </si>
  <si>
    <t>Debt</t>
  </si>
  <si>
    <t>Cash</t>
  </si>
  <si>
    <t>Minority holdings</t>
  </si>
  <si>
    <t>Value of operating assets</t>
  </si>
  <si>
    <t>Minority Interest</t>
  </si>
  <si>
    <t>Price to book</t>
  </si>
  <si>
    <t xml:space="preserve"> + Cash</t>
  </si>
  <si>
    <t xml:space="preserve"> + Minoriy holdings</t>
  </si>
  <si>
    <t xml:space="preserve"> - Debt</t>
  </si>
  <si>
    <t xml:space="preserve"> - Minoirty Interests</t>
  </si>
  <si>
    <t>Value of equity</t>
  </si>
  <si>
    <t>Problem 5</t>
  </si>
  <si>
    <t>Expected growth rate</t>
  </si>
  <si>
    <t>EV/Sales</t>
  </si>
  <si>
    <t>Reinvestment rate</t>
  </si>
  <si>
    <t xml:space="preserve">Growth rate </t>
  </si>
  <si>
    <t>First, back out the after-tax operating margin</t>
  </si>
  <si>
    <t>After-tax operating margin =</t>
  </si>
  <si>
    <t>If you halve the margin</t>
  </si>
  <si>
    <t>New return on capital =</t>
  </si>
  <si>
    <t>Sales to capital ratio =</t>
  </si>
  <si>
    <t>Return on capital =</t>
  </si>
  <si>
    <t>New reinvestment rate =</t>
  </si>
  <si>
    <t>(Growth and Sales to invsted capital will remain unchanged, but margin will drop by half)</t>
  </si>
  <si>
    <t>New EV to Sales</t>
  </si>
  <si>
    <t>New after-tax return on capital</t>
  </si>
  <si>
    <t>Problem 6</t>
  </si>
  <si>
    <t>Problem 7</t>
  </si>
  <si>
    <t xml:space="preserve"> - Reinvestment in Tier 1</t>
  </si>
  <si>
    <t>Private Business</t>
  </si>
  <si>
    <t>Illiquidity discount on value</t>
  </si>
  <si>
    <t>Riskfree rate</t>
  </si>
  <si>
    <t>ERP</t>
  </si>
  <si>
    <t>Value as a public company</t>
  </si>
  <si>
    <t>Market Beta =</t>
  </si>
  <si>
    <t>Correlation with market</t>
  </si>
  <si>
    <t>Total Beta =</t>
  </si>
  <si>
    <t>Public Cost of equity (capital)</t>
  </si>
  <si>
    <t>Problem 8</t>
  </si>
  <si>
    <t>Before</t>
  </si>
  <si>
    <t xml:space="preserve">After </t>
  </si>
  <si>
    <t>Affter-tax operating margin</t>
  </si>
  <si>
    <t>Enterprise Value</t>
  </si>
  <si>
    <t/>
  </si>
  <si>
    <t>Current reinvestment rate =</t>
  </si>
  <si>
    <t>Revenues (next year)</t>
  </si>
  <si>
    <t>Current retun on capital</t>
  </si>
  <si>
    <t>New return on capital</t>
  </si>
  <si>
    <t>Problem 9</t>
  </si>
  <si>
    <t>Invested capital</t>
  </si>
  <si>
    <t>Combined firm</t>
  </si>
  <si>
    <t>Return on capital</t>
  </si>
  <si>
    <t>Expected Revenues next year</t>
  </si>
  <si>
    <t>Value of synergy</t>
  </si>
  <si>
    <t>After-tax operating income</t>
  </si>
  <si>
    <t>Tax rate</t>
  </si>
  <si>
    <t>Developed reserves</t>
  </si>
  <si>
    <t>Undeveloped reserves</t>
  </si>
  <si>
    <t>d1 =</t>
  </si>
  <si>
    <t>d2 =</t>
  </si>
  <si>
    <t>N(d1) =</t>
  </si>
  <si>
    <t>N(d2) =</t>
  </si>
  <si>
    <t>Value of developed reserves =</t>
  </si>
  <si>
    <t>Annual cash flow (millions)</t>
  </si>
  <si>
    <t>Enterprise value =</t>
  </si>
  <si>
    <t>Value of undeveloped reserves =</t>
  </si>
  <si>
    <t>Riskless rate =</t>
  </si>
  <si>
    <t>Life of reserves =</t>
  </si>
  <si>
    <t># barrels=</t>
  </si>
  <si>
    <t>Dev cost =</t>
  </si>
  <si>
    <t>Value of undeveloped reserves = S N(d1) - K exp(-rt) N(d2)</t>
  </si>
  <si>
    <t>Value as a private business</t>
  </si>
  <si>
    <t>Cost of equity as private business =</t>
  </si>
  <si>
    <t>48 = After-tax operating income (1- g/ROIC)/ (Cost of capital -g)</t>
  </si>
  <si>
    <t>48 = (100*.08) (1-4%/X)/(10%-4%)</t>
  </si>
  <si>
    <t>PHR Health</t>
  </si>
  <si>
    <t>Neo Hospitals</t>
  </si>
  <si>
    <t xml:space="preserve">Number of years </t>
  </si>
  <si>
    <t>S = Value of oil in undev reserves =</t>
  </si>
  <si>
    <t>609 = S (0.9578) - 1500 exp (-.04)(12) (0.7537)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</si>
</sst>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44" formatCode="_(&quot;$&quot;* #,##0.00_);_(&quot;$&quot;* \(#,##0.00\);_(&quot;$&quot;* &quot;-&quot;??_);_(@_)"/>
    <numFmt numFmtId="164" formatCode="0.000%"/>
    <numFmt numFmtId="165" formatCode="&quot;$&quot;#,##0.00"/>
    <numFmt numFmtId="166" formatCode="0.0%"/>
    <numFmt numFmtId="167" formatCode="0.000000%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9" fontId="0" fillId="0" borderId="0" xfId="0" applyNumberFormat="1"/>
    <xf numFmtId="10" fontId="0" fillId="0" borderId="0" xfId="0" applyNumberFormat="1"/>
    <xf numFmtId="164" fontId="0" fillId="0" borderId="0" xfId="0" applyNumberFormat="1"/>
    <xf numFmtId="165" fontId="0" fillId="0" borderId="0" xfId="0" applyNumberFormat="1"/>
    <xf numFmtId="165" fontId="0" fillId="2" borderId="1" xfId="0" applyNumberFormat="1" applyFill="1" applyBorder="1"/>
    <xf numFmtId="10" fontId="0" fillId="0" borderId="0" xfId="2" applyNumberFormat="1" applyFont="1"/>
    <xf numFmtId="0" fontId="0" fillId="2" borderId="2" xfId="0" applyFill="1" applyBorder="1"/>
    <xf numFmtId="165" fontId="0" fillId="2" borderId="2" xfId="0" applyNumberFormat="1" applyFill="1" applyBorder="1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44" fontId="0" fillId="0" borderId="0" xfId="1" applyFont="1"/>
    <xf numFmtId="44" fontId="0" fillId="0" borderId="0" xfId="0" applyNumberFormat="1"/>
    <xf numFmtId="0" fontId="0" fillId="0" borderId="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66" fontId="0" fillId="0" borderId="0" xfId="0" applyNumberFormat="1"/>
    <xf numFmtId="2" fontId="0" fillId="2" borderId="1" xfId="0" applyNumberFormat="1" applyFill="1" applyBorder="1"/>
    <xf numFmtId="2" fontId="0" fillId="0" borderId="0" xfId="0" applyNumberFormat="1"/>
    <xf numFmtId="0" fontId="0" fillId="2" borderId="1" xfId="0" applyFill="1" applyBorder="1"/>
    <xf numFmtId="0" fontId="0" fillId="0" borderId="0" xfId="0" quotePrefix="1"/>
    <xf numFmtId="9" fontId="0" fillId="0" borderId="0" xfId="2" applyFont="1"/>
    <xf numFmtId="0" fontId="0" fillId="0" borderId="2" xfId="0" applyBorder="1"/>
    <xf numFmtId="165" fontId="0" fillId="0" borderId="2" xfId="0" applyNumberFormat="1" applyBorder="1"/>
    <xf numFmtId="9" fontId="0" fillId="0" borderId="2" xfId="0" applyNumberFormat="1" applyBorder="1"/>
    <xf numFmtId="44" fontId="0" fillId="2" borderId="1" xfId="0" applyNumberFormat="1" applyFill="1" applyBorder="1"/>
    <xf numFmtId="0" fontId="0" fillId="0" borderId="3" xfId="0" applyBorder="1"/>
    <xf numFmtId="9" fontId="0" fillId="0" borderId="3" xfId="0" applyNumberFormat="1" applyBorder="1"/>
    <xf numFmtId="165" fontId="0" fillId="0" borderId="2" xfId="2" applyNumberFormat="1" applyFont="1" applyBorder="1"/>
    <xf numFmtId="6" fontId="0" fillId="0" borderId="0" xfId="0" applyNumberFormat="1"/>
    <xf numFmtId="44" fontId="0" fillId="2" borderId="4" xfId="0" applyNumberFormat="1" applyFill="1" applyBorder="1"/>
    <xf numFmtId="0" fontId="0" fillId="0" borderId="5" xfId="0" applyBorder="1"/>
    <xf numFmtId="0" fontId="0" fillId="0" borderId="5" xfId="0" applyBorder="1" applyAlignment="1">
      <alignment horizontal="center"/>
    </xf>
    <xf numFmtId="165" fontId="0" fillId="0" borderId="5" xfId="0" applyNumberFormat="1" applyBorder="1" applyAlignment="1">
      <alignment horizontal="center"/>
    </xf>
    <xf numFmtId="9" fontId="0" fillId="0" borderId="5" xfId="0" applyNumberFormat="1" applyBorder="1"/>
    <xf numFmtId="2" fontId="0" fillId="0" borderId="5" xfId="0" applyNumberFormat="1" applyBorder="1"/>
    <xf numFmtId="167" fontId="0" fillId="0" borderId="0" xfId="0" applyNumberForma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9B0E4-1887-0E41-9784-4AFC577F8E90}">
  <dimension ref="A1:G148"/>
  <sheetViews>
    <sheetView tabSelected="1" topLeftCell="A111" workbookViewId="0">
      <selection activeCell="I111" sqref="I111"/>
    </sheetView>
  </sheetViews>
  <sheetFormatPr baseColWidth="10" defaultRowHeight="16" x14ac:dyDescent="0.2"/>
  <cols>
    <col min="1" max="1" width="31" customWidth="1"/>
    <col min="2" max="2" width="16.1640625" customWidth="1"/>
    <col min="3" max="3" width="19.1640625" customWidth="1"/>
    <col min="4" max="4" width="16.33203125" customWidth="1"/>
  </cols>
  <sheetData>
    <row r="1" spans="1:2" x14ac:dyDescent="0.2">
      <c r="A1" s="1" t="s">
        <v>0</v>
      </c>
    </row>
    <row r="2" spans="1:2" x14ac:dyDescent="0.2">
      <c r="A2" t="s">
        <v>3</v>
      </c>
    </row>
    <row r="3" spans="1:2" x14ac:dyDescent="0.2">
      <c r="A3" t="s">
        <v>5</v>
      </c>
      <c r="B3">
        <v>180</v>
      </c>
    </row>
    <row r="4" spans="1:2" x14ac:dyDescent="0.2">
      <c r="A4" t="s">
        <v>1</v>
      </c>
      <c r="B4">
        <f>B3/(0.12-0.03)</f>
        <v>2000</v>
      </c>
    </row>
    <row r="5" spans="1:2" x14ac:dyDescent="0.2">
      <c r="A5" t="s">
        <v>2</v>
      </c>
      <c r="B5" s="2">
        <v>0.03</v>
      </c>
    </row>
    <row r="7" spans="1:2" x14ac:dyDescent="0.2">
      <c r="A7" t="s">
        <v>4</v>
      </c>
      <c r="B7" s="3">
        <v>4.4999999999999998E-2</v>
      </c>
    </row>
    <row r="8" spans="1:2" x14ac:dyDescent="0.2">
      <c r="A8" t="s">
        <v>10</v>
      </c>
      <c r="B8" s="2">
        <v>0.2</v>
      </c>
    </row>
    <row r="10" spans="1:2" x14ac:dyDescent="0.2">
      <c r="A10" t="s">
        <v>6</v>
      </c>
    </row>
    <row r="11" spans="1:2" x14ac:dyDescent="0.2">
      <c r="A11" t="s">
        <v>7</v>
      </c>
      <c r="B11" s="3">
        <f>B3/B4+B5</f>
        <v>0.12</v>
      </c>
    </row>
    <row r="12" spans="1:2" x14ac:dyDescent="0.2">
      <c r="A12" t="s">
        <v>8</v>
      </c>
      <c r="B12" s="4">
        <f>B11*(1-B8)+B7*B8</f>
        <v>0.105</v>
      </c>
    </row>
    <row r="13" spans="1:2" ht="17" thickBot="1" x14ac:dyDescent="0.25"/>
    <row r="14" spans="1:2" ht="17" thickBot="1" x14ac:dyDescent="0.25">
      <c r="A14" t="s">
        <v>9</v>
      </c>
      <c r="B14" s="6">
        <f>B3/(B12-B5)</f>
        <v>2400</v>
      </c>
    </row>
    <row r="16" spans="1:2" x14ac:dyDescent="0.2">
      <c r="A16" s="1" t="s">
        <v>11</v>
      </c>
    </row>
    <row r="17" spans="1:7" x14ac:dyDescent="0.2">
      <c r="A17" t="s">
        <v>12</v>
      </c>
    </row>
    <row r="18" spans="1:7" x14ac:dyDescent="0.2">
      <c r="B18" t="s">
        <v>13</v>
      </c>
      <c r="C18">
        <v>1</v>
      </c>
      <c r="D18">
        <v>2</v>
      </c>
      <c r="E18">
        <v>3</v>
      </c>
    </row>
    <row r="19" spans="1:7" x14ac:dyDescent="0.2">
      <c r="A19" t="s">
        <v>18</v>
      </c>
      <c r="B19" s="5">
        <v>12000</v>
      </c>
      <c r="C19" s="5">
        <f>B19*1.04</f>
        <v>12480</v>
      </c>
      <c r="D19" s="5">
        <f t="shared" ref="D19:E19" si="0">C19*1.04</f>
        <v>12979.2</v>
      </c>
      <c r="E19" s="5">
        <f t="shared" si="0"/>
        <v>13498.368</v>
      </c>
    </row>
    <row r="20" spans="1:7" x14ac:dyDescent="0.2">
      <c r="A20" t="s">
        <v>16</v>
      </c>
      <c r="B20" s="7">
        <v>0.06</v>
      </c>
      <c r="C20" s="7">
        <v>0.08</v>
      </c>
      <c r="D20" s="7">
        <v>0.09</v>
      </c>
      <c r="E20" s="7">
        <v>0.1</v>
      </c>
    </row>
    <row r="21" spans="1:7" x14ac:dyDescent="0.2">
      <c r="A21" t="s">
        <v>15</v>
      </c>
      <c r="B21" s="7">
        <v>0.15</v>
      </c>
      <c r="C21" s="7">
        <v>0.16</v>
      </c>
      <c r="D21" s="7">
        <v>0.17</v>
      </c>
      <c r="E21" s="7">
        <v>0.18</v>
      </c>
    </row>
    <row r="22" spans="1:7" x14ac:dyDescent="0.2">
      <c r="A22" t="s">
        <v>20</v>
      </c>
      <c r="C22" s="5"/>
    </row>
    <row r="24" spans="1:7" x14ac:dyDescent="0.2">
      <c r="B24" t="s">
        <v>19</v>
      </c>
      <c r="C24">
        <v>1</v>
      </c>
      <c r="D24">
        <v>2</v>
      </c>
      <c r="E24">
        <v>3</v>
      </c>
    </row>
    <row r="26" spans="1:7" x14ac:dyDescent="0.2">
      <c r="A26" t="s">
        <v>14</v>
      </c>
      <c r="B26" s="5">
        <f>B20*B21*B19</f>
        <v>107.99999999999999</v>
      </c>
      <c r="C26" s="5">
        <f>C20*C29</f>
        <v>159.744</v>
      </c>
      <c r="D26" s="5">
        <f t="shared" ref="D26:E26" si="1">D20*D29</f>
        <v>198.58176000000003</v>
      </c>
      <c r="E26" s="5">
        <f t="shared" si="1"/>
        <v>242.97062400000002</v>
      </c>
    </row>
    <row r="27" spans="1:7" x14ac:dyDescent="0.2">
      <c r="A27" t="s">
        <v>63</v>
      </c>
      <c r="B27" s="5"/>
      <c r="C27" s="5">
        <f>C29-B29</f>
        <v>196.79999999999995</v>
      </c>
      <c r="D27" s="5">
        <f t="shared" ref="D27:E27" si="2">D29-C29</f>
        <v>209.66400000000044</v>
      </c>
      <c r="E27" s="5">
        <f t="shared" si="2"/>
        <v>223.24223999999958</v>
      </c>
    </row>
    <row r="28" spans="1:7" x14ac:dyDescent="0.2">
      <c r="A28" s="8" t="s">
        <v>17</v>
      </c>
      <c r="B28" s="9"/>
      <c r="C28" s="9">
        <f>C26-C27</f>
        <v>-37.055999999999955</v>
      </c>
      <c r="D28" s="9">
        <f t="shared" ref="D28:E28" si="3">D26-D27</f>
        <v>-11.082240000000411</v>
      </c>
      <c r="E28" s="9">
        <f t="shared" si="3"/>
        <v>19.728384000000432</v>
      </c>
    </row>
    <row r="29" spans="1:7" x14ac:dyDescent="0.2">
      <c r="A29" t="s">
        <v>15</v>
      </c>
      <c r="B29" s="5">
        <f>B19*B21</f>
        <v>1800</v>
      </c>
      <c r="C29" s="5">
        <f>C19*C21</f>
        <v>1996.8</v>
      </c>
      <c r="D29" s="5">
        <f>D19*D21</f>
        <v>2206.4640000000004</v>
      </c>
      <c r="E29" s="5">
        <f>E19*E21</f>
        <v>2429.70624</v>
      </c>
    </row>
    <row r="31" spans="1:7" x14ac:dyDescent="0.2">
      <c r="A31" s="1" t="s">
        <v>21</v>
      </c>
    </row>
    <row r="32" spans="1:7" x14ac:dyDescent="0.2">
      <c r="A32" s="31"/>
      <c r="B32" s="31" t="s">
        <v>13</v>
      </c>
      <c r="C32" s="32">
        <v>1</v>
      </c>
      <c r="D32" s="32">
        <v>2</v>
      </c>
      <c r="E32" s="32">
        <v>3</v>
      </c>
      <c r="F32" s="10"/>
      <c r="G32" s="10"/>
    </row>
    <row r="33" spans="1:7" x14ac:dyDescent="0.2">
      <c r="A33" s="31" t="s">
        <v>22</v>
      </c>
      <c r="B33" s="33">
        <v>20000</v>
      </c>
      <c r="C33" s="33">
        <f>B33*1.2</f>
        <v>24000</v>
      </c>
      <c r="D33" s="33">
        <v>26000</v>
      </c>
      <c r="E33" s="33">
        <v>28000</v>
      </c>
      <c r="F33" s="11"/>
      <c r="G33" s="11"/>
    </row>
    <row r="34" spans="1:7" x14ac:dyDescent="0.2">
      <c r="A34" s="31" t="s">
        <v>23</v>
      </c>
      <c r="B34" s="34">
        <v>-0.1</v>
      </c>
      <c r="C34" s="34">
        <v>-0.05</v>
      </c>
      <c r="D34" s="34">
        <v>0.05</v>
      </c>
      <c r="E34" s="34">
        <v>0.15</v>
      </c>
      <c r="F34" s="2"/>
      <c r="G34" s="2"/>
    </row>
    <row r="35" spans="1:7" x14ac:dyDescent="0.2">
      <c r="A35" s="31" t="s">
        <v>24</v>
      </c>
      <c r="B35" s="35">
        <v>2</v>
      </c>
      <c r="C35" s="35">
        <v>2</v>
      </c>
      <c r="D35" s="35">
        <v>2</v>
      </c>
      <c r="E35" s="35">
        <v>2</v>
      </c>
    </row>
    <row r="36" spans="1:7" x14ac:dyDescent="0.2">
      <c r="A36" t="s">
        <v>25</v>
      </c>
      <c r="B36" s="2">
        <v>0.25</v>
      </c>
    </row>
    <row r="37" spans="1:7" x14ac:dyDescent="0.2">
      <c r="A37" t="s">
        <v>26</v>
      </c>
      <c r="B37" s="12">
        <v>3000</v>
      </c>
    </row>
    <row r="39" spans="1:7" x14ac:dyDescent="0.2">
      <c r="B39">
        <f>C32</f>
        <v>1</v>
      </c>
      <c r="C39">
        <f t="shared" ref="C39:D39" si="4">D32</f>
        <v>2</v>
      </c>
      <c r="D39">
        <f t="shared" si="4"/>
        <v>3</v>
      </c>
    </row>
    <row r="40" spans="1:7" x14ac:dyDescent="0.2">
      <c r="A40" t="str">
        <f>A33</f>
        <v>Revenues</v>
      </c>
      <c r="B40" s="5">
        <f>C33</f>
        <v>24000</v>
      </c>
      <c r="C40" s="5">
        <f t="shared" ref="C40:D40" si="5">D33</f>
        <v>26000</v>
      </c>
      <c r="D40" s="5">
        <f t="shared" si="5"/>
        <v>28000</v>
      </c>
      <c r="E40" s="5"/>
      <c r="F40" s="5"/>
      <c r="G40" s="5"/>
    </row>
    <row r="41" spans="1:7" x14ac:dyDescent="0.2">
      <c r="A41" t="s">
        <v>27</v>
      </c>
      <c r="B41" s="5">
        <f>C33*C34</f>
        <v>-1200</v>
      </c>
      <c r="C41" s="5">
        <f t="shared" ref="C41:D41" si="6">D33*D34</f>
        <v>1300</v>
      </c>
      <c r="D41" s="5">
        <f t="shared" si="6"/>
        <v>4200</v>
      </c>
      <c r="E41" s="5"/>
      <c r="F41" s="5"/>
    </row>
    <row r="42" spans="1:7" x14ac:dyDescent="0.2">
      <c r="A42" t="s">
        <v>29</v>
      </c>
      <c r="B42">
        <v>0</v>
      </c>
      <c r="C42">
        <v>0</v>
      </c>
      <c r="D42" s="5">
        <f>(D41-C47)*B36</f>
        <v>325</v>
      </c>
      <c r="E42" s="5"/>
      <c r="F42" s="5"/>
    </row>
    <row r="43" spans="1:7" x14ac:dyDescent="0.2">
      <c r="A43" t="s">
        <v>30</v>
      </c>
      <c r="B43" s="5">
        <f>B41-B42</f>
        <v>-1200</v>
      </c>
      <c r="C43" s="5">
        <f t="shared" ref="C43:D43" si="7">C41-C42</f>
        <v>1300</v>
      </c>
      <c r="D43" s="5">
        <f t="shared" si="7"/>
        <v>3875</v>
      </c>
    </row>
    <row r="44" spans="1:7" x14ac:dyDescent="0.2">
      <c r="A44" t="s">
        <v>31</v>
      </c>
      <c r="B44" s="5">
        <f>(B40-B33)/2</f>
        <v>2000</v>
      </c>
      <c r="C44" s="5">
        <f t="shared" ref="C44:D44" si="8">(C40-C33)/2</f>
        <v>1000</v>
      </c>
      <c r="D44" s="5">
        <f t="shared" si="8"/>
        <v>1000</v>
      </c>
    </row>
    <row r="45" spans="1:7" x14ac:dyDescent="0.2">
      <c r="A45" s="8" t="s">
        <v>32</v>
      </c>
      <c r="B45" s="9">
        <f>B43-B44</f>
        <v>-3200</v>
      </c>
      <c r="C45" s="9">
        <f t="shared" ref="C45:D45" si="9">C43-C44</f>
        <v>300</v>
      </c>
      <c r="D45" s="9">
        <f t="shared" si="9"/>
        <v>2875</v>
      </c>
    </row>
    <row r="47" spans="1:7" x14ac:dyDescent="0.2">
      <c r="A47" t="s">
        <v>28</v>
      </c>
      <c r="B47" s="13">
        <f>B37-B41</f>
        <v>4200</v>
      </c>
      <c r="C47" s="13">
        <f>B47-C41</f>
        <v>2900</v>
      </c>
      <c r="D47" s="13">
        <v>0</v>
      </c>
    </row>
    <row r="49" spans="1:3" x14ac:dyDescent="0.2">
      <c r="A49" s="1" t="s">
        <v>33</v>
      </c>
    </row>
    <row r="50" spans="1:3" x14ac:dyDescent="0.2">
      <c r="A50" t="s">
        <v>5</v>
      </c>
      <c r="B50">
        <v>500</v>
      </c>
    </row>
    <row r="51" spans="1:3" x14ac:dyDescent="0.2">
      <c r="A51" t="s">
        <v>34</v>
      </c>
      <c r="B51" s="2">
        <v>0.08</v>
      </c>
    </row>
    <row r="52" spans="1:3" x14ac:dyDescent="0.2">
      <c r="A52" t="s">
        <v>2</v>
      </c>
      <c r="B52" s="2">
        <v>0.03</v>
      </c>
    </row>
    <row r="54" spans="1:3" x14ac:dyDescent="0.2">
      <c r="A54" t="s">
        <v>35</v>
      </c>
      <c r="B54" s="5">
        <v>3000</v>
      </c>
    </row>
    <row r="55" spans="1:3" x14ac:dyDescent="0.2">
      <c r="A55" t="s">
        <v>36</v>
      </c>
      <c r="B55" s="5">
        <v>500</v>
      </c>
      <c r="C55" s="14" t="s">
        <v>40</v>
      </c>
    </row>
    <row r="56" spans="1:3" x14ac:dyDescent="0.2">
      <c r="A56" t="s">
        <v>37</v>
      </c>
      <c r="B56" s="5">
        <v>750</v>
      </c>
      <c r="C56" s="15">
        <v>2</v>
      </c>
    </row>
    <row r="57" spans="1:3" x14ac:dyDescent="0.2">
      <c r="A57" t="s">
        <v>39</v>
      </c>
      <c r="B57" s="5">
        <v>1000</v>
      </c>
    </row>
    <row r="58" spans="1:3" x14ac:dyDescent="0.2">
      <c r="B58" s="5"/>
    </row>
    <row r="59" spans="1:3" x14ac:dyDescent="0.2">
      <c r="A59" t="s">
        <v>38</v>
      </c>
      <c r="B59" s="5">
        <f>B50/(B51-B52)</f>
        <v>10000</v>
      </c>
    </row>
    <row r="60" spans="1:3" x14ac:dyDescent="0.2">
      <c r="A60" t="s">
        <v>41</v>
      </c>
      <c r="B60" s="5">
        <f>B55</f>
        <v>500</v>
      </c>
    </row>
    <row r="61" spans="1:3" x14ac:dyDescent="0.2">
      <c r="A61" t="s">
        <v>42</v>
      </c>
      <c r="B61" s="5">
        <f>B56*C56</f>
        <v>1500</v>
      </c>
    </row>
    <row r="62" spans="1:3" x14ac:dyDescent="0.2">
      <c r="A62" t="s">
        <v>43</v>
      </c>
      <c r="B62" s="5">
        <f>B54</f>
        <v>3000</v>
      </c>
    </row>
    <row r="63" spans="1:3" ht="17" thickBot="1" x14ac:dyDescent="0.25">
      <c r="A63" t="s">
        <v>44</v>
      </c>
      <c r="B63" s="5">
        <f>B57*C56</f>
        <v>2000</v>
      </c>
    </row>
    <row r="64" spans="1:3" ht="17" thickBot="1" x14ac:dyDescent="0.25">
      <c r="A64" t="s">
        <v>45</v>
      </c>
      <c r="B64" s="6">
        <f>B59+B60+B61-B62-B63</f>
        <v>7000</v>
      </c>
    </row>
    <row r="66" spans="1:4" x14ac:dyDescent="0.2">
      <c r="A66" s="1" t="s">
        <v>46</v>
      </c>
    </row>
    <row r="67" spans="1:4" x14ac:dyDescent="0.2">
      <c r="A67" t="s">
        <v>48</v>
      </c>
      <c r="B67">
        <v>2.4</v>
      </c>
    </row>
    <row r="68" spans="1:4" x14ac:dyDescent="0.2">
      <c r="A68" t="s">
        <v>49</v>
      </c>
      <c r="B68" s="2">
        <v>0.2</v>
      </c>
    </row>
    <row r="69" spans="1:4" x14ac:dyDescent="0.2">
      <c r="A69" t="s">
        <v>34</v>
      </c>
      <c r="B69" s="2">
        <v>0.09</v>
      </c>
    </row>
    <row r="70" spans="1:4" x14ac:dyDescent="0.2">
      <c r="A70" t="s">
        <v>50</v>
      </c>
      <c r="B70" s="3">
        <v>0.04</v>
      </c>
    </row>
    <row r="71" spans="1:4" x14ac:dyDescent="0.2">
      <c r="A71" t="s">
        <v>58</v>
      </c>
    </row>
    <row r="72" spans="1:4" x14ac:dyDescent="0.2">
      <c r="A72" t="s">
        <v>51</v>
      </c>
    </row>
    <row r="73" spans="1:4" x14ac:dyDescent="0.2">
      <c r="A73" t="s">
        <v>52</v>
      </c>
      <c r="B73" s="3">
        <f>B67*(B69-B70)/(1-B68)</f>
        <v>0.14999999999999997</v>
      </c>
      <c r="D73" s="16"/>
    </row>
    <row r="74" spans="1:4" x14ac:dyDescent="0.2">
      <c r="A74" t="s">
        <v>56</v>
      </c>
      <c r="B74" s="3">
        <f>B70/B68</f>
        <v>0.19999999999999998</v>
      </c>
      <c r="D74" s="16"/>
    </row>
    <row r="75" spans="1:4" x14ac:dyDescent="0.2">
      <c r="A75" t="s">
        <v>55</v>
      </c>
    </row>
    <row r="76" spans="1:4" x14ac:dyDescent="0.2">
      <c r="A76" t="s">
        <v>53</v>
      </c>
    </row>
    <row r="77" spans="1:4" x14ac:dyDescent="0.2">
      <c r="A77" t="s">
        <v>60</v>
      </c>
      <c r="B77" s="7">
        <f>B73*0.5</f>
        <v>7.4999999999999983E-2</v>
      </c>
    </row>
    <row r="78" spans="1:4" x14ac:dyDescent="0.2">
      <c r="A78" t="s">
        <v>54</v>
      </c>
      <c r="B78" s="7">
        <f>B74*0.5</f>
        <v>9.9999999999999992E-2</v>
      </c>
    </row>
    <row r="79" spans="1:4" ht="17" thickBot="1" x14ac:dyDescent="0.25">
      <c r="A79" t="s">
        <v>57</v>
      </c>
      <c r="B79" s="7">
        <f>B70/B78</f>
        <v>0.4</v>
      </c>
    </row>
    <row r="80" spans="1:4" ht="17" thickBot="1" x14ac:dyDescent="0.25">
      <c r="A80" t="s">
        <v>59</v>
      </c>
      <c r="B80" s="17">
        <f>B77*(1-B79)/(B69-B70)</f>
        <v>0.89999999999999991</v>
      </c>
    </row>
    <row r="83" spans="1:4" x14ac:dyDescent="0.2">
      <c r="A83" s="1" t="s">
        <v>61</v>
      </c>
    </row>
    <row r="84" spans="1:4" x14ac:dyDescent="0.2">
      <c r="B84" t="s">
        <v>64</v>
      </c>
    </row>
    <row r="85" spans="1:4" x14ac:dyDescent="0.2">
      <c r="A85" t="s">
        <v>32</v>
      </c>
      <c r="B85">
        <v>30</v>
      </c>
    </row>
    <row r="86" spans="1:4" x14ac:dyDescent="0.2">
      <c r="A86" t="s">
        <v>106</v>
      </c>
      <c r="B86" s="5">
        <v>200</v>
      </c>
    </row>
    <row r="87" spans="1:4" x14ac:dyDescent="0.2">
      <c r="A87" t="s">
        <v>47</v>
      </c>
      <c r="B87" s="2">
        <v>0.04</v>
      </c>
    </row>
    <row r="88" spans="1:4" x14ac:dyDescent="0.2">
      <c r="A88" t="s">
        <v>65</v>
      </c>
      <c r="B88" s="2">
        <v>0.2</v>
      </c>
      <c r="D88" s="3"/>
    </row>
    <row r="90" spans="1:4" x14ac:dyDescent="0.2">
      <c r="A90" t="s">
        <v>66</v>
      </c>
      <c r="B90" s="2">
        <v>0.04</v>
      </c>
    </row>
    <row r="91" spans="1:4" x14ac:dyDescent="0.2">
      <c r="A91" t="s">
        <v>67</v>
      </c>
      <c r="B91" s="2">
        <v>0.05</v>
      </c>
    </row>
    <row r="93" spans="1:4" x14ac:dyDescent="0.2">
      <c r="A93" t="s">
        <v>107</v>
      </c>
      <c r="B93" s="36">
        <f>B85/(B86/(1-B88))+B87</f>
        <v>0.16</v>
      </c>
    </row>
    <row r="95" spans="1:4" x14ac:dyDescent="0.2">
      <c r="A95" t="s">
        <v>68</v>
      </c>
      <c r="B95">
        <v>500</v>
      </c>
    </row>
    <row r="96" spans="1:4" x14ac:dyDescent="0.2">
      <c r="A96" t="s">
        <v>32</v>
      </c>
      <c r="B96">
        <f>B85</f>
        <v>30</v>
      </c>
    </row>
    <row r="97" spans="1:3" x14ac:dyDescent="0.2">
      <c r="A97" t="s">
        <v>47</v>
      </c>
      <c r="B97" s="2">
        <f>B87</f>
        <v>0.04</v>
      </c>
    </row>
    <row r="98" spans="1:3" x14ac:dyDescent="0.2">
      <c r="A98" t="s">
        <v>72</v>
      </c>
      <c r="B98" s="7">
        <f>B96/B95+B97</f>
        <v>0.1</v>
      </c>
    </row>
    <row r="99" spans="1:3" x14ac:dyDescent="0.2">
      <c r="A99" t="s">
        <v>69</v>
      </c>
      <c r="B99" s="18">
        <f>(B98-B90)/B91</f>
        <v>1.2</v>
      </c>
    </row>
    <row r="100" spans="1:3" ht="17" thickBot="1" x14ac:dyDescent="0.25">
      <c r="A100" t="s">
        <v>71</v>
      </c>
      <c r="B100" s="18">
        <f>(B93-B90)/B91</f>
        <v>2.4</v>
      </c>
    </row>
    <row r="101" spans="1:3" ht="17" thickBot="1" x14ac:dyDescent="0.25">
      <c r="A101" t="s">
        <v>70</v>
      </c>
      <c r="B101" s="19">
        <f>B99/B100</f>
        <v>0.5</v>
      </c>
    </row>
    <row r="103" spans="1:3" x14ac:dyDescent="0.2">
      <c r="A103" s="1" t="s">
        <v>62</v>
      </c>
    </row>
    <row r="104" spans="1:3" x14ac:dyDescent="0.2">
      <c r="B104" t="s">
        <v>74</v>
      </c>
      <c r="C104" t="s">
        <v>75</v>
      </c>
    </row>
    <row r="105" spans="1:3" x14ac:dyDescent="0.2">
      <c r="A105" t="s">
        <v>80</v>
      </c>
      <c r="B105">
        <v>100</v>
      </c>
      <c r="C105">
        <f>B105</f>
        <v>100</v>
      </c>
    </row>
    <row r="106" spans="1:3" x14ac:dyDescent="0.2">
      <c r="A106" t="s">
        <v>76</v>
      </c>
      <c r="B106" s="2">
        <v>0.08</v>
      </c>
      <c r="C106" s="2">
        <v>0.08</v>
      </c>
    </row>
    <row r="107" spans="1:3" x14ac:dyDescent="0.2">
      <c r="A107" t="s">
        <v>34</v>
      </c>
      <c r="B107" s="2">
        <v>0.1</v>
      </c>
      <c r="C107" s="2">
        <v>0.09</v>
      </c>
    </row>
    <row r="108" spans="1:3" x14ac:dyDescent="0.2">
      <c r="A108" t="s">
        <v>47</v>
      </c>
      <c r="B108" s="2">
        <v>0.04</v>
      </c>
    </row>
    <row r="109" spans="1:3" x14ac:dyDescent="0.2">
      <c r="A109" t="s">
        <v>77</v>
      </c>
      <c r="B109">
        <v>48</v>
      </c>
    </row>
    <row r="110" spans="1:3" x14ac:dyDescent="0.2">
      <c r="A110" s="20" t="s">
        <v>78</v>
      </c>
    </row>
    <row r="111" spans="1:3" x14ac:dyDescent="0.2">
      <c r="A111" t="s">
        <v>108</v>
      </c>
    </row>
    <row r="112" spans="1:3" x14ac:dyDescent="0.2">
      <c r="A112" t="s">
        <v>109</v>
      </c>
    </row>
    <row r="113" spans="1:4" x14ac:dyDescent="0.2">
      <c r="A113" t="s">
        <v>79</v>
      </c>
      <c r="B113">
        <f>1-B109*(0.1-0.04)/(100*0.08)</f>
        <v>0.6399999999999999</v>
      </c>
    </row>
    <row r="114" spans="1:4" x14ac:dyDescent="0.2">
      <c r="A114" t="s">
        <v>81</v>
      </c>
      <c r="B114" s="7">
        <f>B108/B113</f>
        <v>6.2500000000000014E-2</v>
      </c>
    </row>
    <row r="116" spans="1:4" x14ac:dyDescent="0.2">
      <c r="A116" t="s">
        <v>82</v>
      </c>
      <c r="B116">
        <f>B114*2</f>
        <v>0.12500000000000003</v>
      </c>
    </row>
    <row r="117" spans="1:4" ht="17" thickBot="1" x14ac:dyDescent="0.25">
      <c r="A117" t="s">
        <v>34</v>
      </c>
      <c r="B117" s="2">
        <v>0.09</v>
      </c>
    </row>
    <row r="118" spans="1:4" ht="17" thickBot="1" x14ac:dyDescent="0.25">
      <c r="A118" t="s">
        <v>1</v>
      </c>
      <c r="B118" s="6">
        <f>(B105*B106)*(1-B108/B116)/(B117-B108)</f>
        <v>108.80000000000001</v>
      </c>
    </row>
    <row r="120" spans="1:4" x14ac:dyDescent="0.2">
      <c r="A120" s="1" t="s">
        <v>73</v>
      </c>
    </row>
    <row r="121" spans="1:4" x14ac:dyDescent="0.2">
      <c r="B121" t="s">
        <v>110</v>
      </c>
      <c r="C121" t="s">
        <v>111</v>
      </c>
      <c r="D121" t="s">
        <v>85</v>
      </c>
    </row>
    <row r="122" spans="1:4" x14ac:dyDescent="0.2">
      <c r="A122" s="22" t="s">
        <v>87</v>
      </c>
      <c r="B122" s="23">
        <v>1500</v>
      </c>
      <c r="C122" s="23">
        <v>600</v>
      </c>
      <c r="D122" s="22">
        <f>B122+C122</f>
        <v>2100</v>
      </c>
    </row>
    <row r="123" spans="1:4" x14ac:dyDescent="0.2">
      <c r="A123" s="22" t="s">
        <v>89</v>
      </c>
      <c r="B123" s="23">
        <v>90</v>
      </c>
      <c r="C123" s="23">
        <v>90</v>
      </c>
      <c r="D123" s="28">
        <f>((B123+C123)/(1-0.25))*(1-0.2)</f>
        <v>192</v>
      </c>
    </row>
    <row r="124" spans="1:4" x14ac:dyDescent="0.2">
      <c r="A124" s="22" t="s">
        <v>84</v>
      </c>
      <c r="B124" s="23">
        <v>900</v>
      </c>
      <c r="C124" s="23">
        <v>450</v>
      </c>
      <c r="D124" s="22">
        <f>B124+C124</f>
        <v>1350</v>
      </c>
    </row>
    <row r="125" spans="1:4" x14ac:dyDescent="0.2">
      <c r="A125" s="22" t="s">
        <v>47</v>
      </c>
      <c r="B125" s="24">
        <v>0.03</v>
      </c>
      <c r="C125" s="24">
        <v>0.03</v>
      </c>
      <c r="D125" s="24">
        <v>0.03</v>
      </c>
    </row>
    <row r="126" spans="1:4" x14ac:dyDescent="0.2">
      <c r="A126" s="26" t="s">
        <v>34</v>
      </c>
      <c r="B126" s="27">
        <v>0.09</v>
      </c>
      <c r="C126" s="27">
        <v>0.09</v>
      </c>
      <c r="D126" s="24">
        <v>0.09</v>
      </c>
    </row>
    <row r="127" spans="1:4" x14ac:dyDescent="0.2">
      <c r="A127" s="22" t="s">
        <v>90</v>
      </c>
      <c r="B127" s="24">
        <v>0.25</v>
      </c>
      <c r="C127" s="24">
        <v>0.25</v>
      </c>
      <c r="D127" s="24">
        <v>0.2</v>
      </c>
    </row>
    <row r="129" spans="1:6" x14ac:dyDescent="0.2">
      <c r="A129" t="s">
        <v>86</v>
      </c>
      <c r="B129" s="21">
        <f>B123/B124</f>
        <v>0.1</v>
      </c>
      <c r="C129" s="21">
        <f>C123/C124</f>
        <v>0.2</v>
      </c>
      <c r="D129" s="21">
        <f>D123/D124</f>
        <v>0.14222222222222222</v>
      </c>
    </row>
    <row r="130" spans="1:6" ht="17" thickBot="1" x14ac:dyDescent="0.25">
      <c r="A130" t="s">
        <v>49</v>
      </c>
      <c r="B130" s="16">
        <f>B125/B129</f>
        <v>0.3</v>
      </c>
      <c r="C130" s="16">
        <f>C125/C129</f>
        <v>0.15</v>
      </c>
      <c r="D130" s="16">
        <f>D125/D129</f>
        <v>0.2109375</v>
      </c>
      <c r="F130" t="s">
        <v>88</v>
      </c>
    </row>
    <row r="131" spans="1:6" ht="17" thickBot="1" x14ac:dyDescent="0.25">
      <c r="A131" t="s">
        <v>1</v>
      </c>
      <c r="B131" s="12">
        <f>B123*(1-B130)/(B126-B125)</f>
        <v>1050</v>
      </c>
      <c r="C131" s="12">
        <f>C123*(1-C130)/(C126-C125)</f>
        <v>1275</v>
      </c>
      <c r="D131" s="12">
        <f>D123*(1-D130)/(D126-D125)</f>
        <v>2525</v>
      </c>
      <c r="F131" s="25">
        <f>D131-B131-C131</f>
        <v>200</v>
      </c>
    </row>
    <row r="133" spans="1:6" x14ac:dyDescent="0.2">
      <c r="A133" s="1" t="s">
        <v>83</v>
      </c>
    </row>
    <row r="134" spans="1:6" x14ac:dyDescent="0.2">
      <c r="B134" t="s">
        <v>91</v>
      </c>
      <c r="D134" t="s">
        <v>92</v>
      </c>
    </row>
    <row r="135" spans="1:6" x14ac:dyDescent="0.2">
      <c r="A135" t="s">
        <v>98</v>
      </c>
      <c r="B135" s="29">
        <v>400</v>
      </c>
      <c r="C135" s="29" t="s">
        <v>103</v>
      </c>
      <c r="D135">
        <v>50</v>
      </c>
    </row>
    <row r="136" spans="1:6" x14ac:dyDescent="0.2">
      <c r="A136" t="s">
        <v>34</v>
      </c>
      <c r="B136" s="2">
        <v>0.09</v>
      </c>
      <c r="C136" s="2" t="s">
        <v>104</v>
      </c>
      <c r="D136" s="29">
        <v>1500</v>
      </c>
    </row>
    <row r="137" spans="1:6" x14ac:dyDescent="0.2">
      <c r="A137" t="s">
        <v>112</v>
      </c>
      <c r="B137" s="18">
        <v>10</v>
      </c>
      <c r="C137" t="s">
        <v>101</v>
      </c>
      <c r="D137" s="2">
        <v>0.04</v>
      </c>
    </row>
    <row r="138" spans="1:6" x14ac:dyDescent="0.2">
      <c r="B138" s="2"/>
      <c r="C138" t="s">
        <v>102</v>
      </c>
      <c r="D138">
        <v>12</v>
      </c>
    </row>
    <row r="139" spans="1:6" x14ac:dyDescent="0.2">
      <c r="A139" t="s">
        <v>93</v>
      </c>
      <c r="B139">
        <v>0.80610000000000004</v>
      </c>
      <c r="C139" t="s">
        <v>95</v>
      </c>
      <c r="D139">
        <v>0.78990000000000005</v>
      </c>
    </row>
    <row r="140" spans="1:6" x14ac:dyDescent="0.2">
      <c r="A140" t="s">
        <v>94</v>
      </c>
      <c r="B140">
        <v>-0.23319999999999999</v>
      </c>
      <c r="C140" t="s">
        <v>96</v>
      </c>
      <c r="D140">
        <v>0.4078</v>
      </c>
    </row>
    <row r="142" spans="1:6" x14ac:dyDescent="0.2">
      <c r="A142" t="s">
        <v>97</v>
      </c>
      <c r="B142" s="12">
        <f>B135*(1-(1+B136)^(-B137))/B136</f>
        <v>2567.0630804636048</v>
      </c>
    </row>
    <row r="143" spans="1:6" x14ac:dyDescent="0.2">
      <c r="A143" t="s">
        <v>99</v>
      </c>
      <c r="B143" s="13">
        <f>B142+609</f>
        <v>3176.0630804636048</v>
      </c>
    </row>
    <row r="144" spans="1:6" x14ac:dyDescent="0.2">
      <c r="A144" t="s">
        <v>100</v>
      </c>
      <c r="B144" s="13">
        <f>B143-B142</f>
        <v>609</v>
      </c>
    </row>
    <row r="146" spans="1:4" x14ac:dyDescent="0.2">
      <c r="A146" t="s">
        <v>105</v>
      </c>
    </row>
    <row r="147" spans="1:4" ht="17" thickBot="1" x14ac:dyDescent="0.25">
      <c r="A147" t="s">
        <v>114</v>
      </c>
    </row>
    <row r="148" spans="1:4" ht="17" thickBot="1" x14ac:dyDescent="0.25">
      <c r="A148" t="s">
        <v>113</v>
      </c>
      <c r="B148" s="30">
        <f>(B144+D136*EXP(-0.04*12)*D140)/D139</f>
        <v>1250.1706554852719</v>
      </c>
      <c r="D148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2025-04-19T19:07:42Z</dcterms:created>
  <dcterms:modified xsi:type="dcterms:W3CDTF">2025-05-15T14:50:59Z</dcterms:modified>
</cp:coreProperties>
</file>