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dfiles/eqexams/"/>
    </mc:Choice>
  </mc:AlternateContent>
  <xr:revisionPtr revIDLastSave="0" documentId="8_{563F6F2F-56F9-DF42-AB7B-28DFDF5206C7}" xr6:coauthVersionLast="47" xr6:coauthVersionMax="47" xr10:uidLastSave="{00000000-0000-0000-0000-000000000000}"/>
  <bookViews>
    <workbookView xWindow="0" yWindow="760" windowWidth="30240" windowHeight="18880" xr2:uid="{440FA99D-3F2B-C04D-9570-3D76F752DFB0}"/>
  </bookViews>
  <sheets>
    <sheet name="Sheet1" sheetId="1" r:id="rId1"/>
  </sheets>
  <definedNames>
    <definedName name="_xlnm.Print_Area" localSheetId="0">Sheet1!$A$1:$G$149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8" i="1" l="1"/>
  <c r="B37" i="1"/>
  <c r="B102" i="1"/>
  <c r="B101" i="1"/>
  <c r="B103" i="1" s="1"/>
  <c r="B104" i="1" s="1"/>
  <c r="B98" i="1"/>
  <c r="B105" i="1" s="1"/>
  <c r="B142" i="1"/>
  <c r="B143" i="1" s="1"/>
  <c r="D123" i="1"/>
  <c r="C129" i="1"/>
  <c r="C130" i="1" s="1"/>
  <c r="C131" i="1" s="1"/>
  <c r="B129" i="1"/>
  <c r="B130" i="1" s="1"/>
  <c r="B131" i="1" s="1"/>
  <c r="D124" i="1"/>
  <c r="D122" i="1"/>
  <c r="C115" i="1"/>
  <c r="C116" i="1" s="1"/>
  <c r="C118" i="1" s="1"/>
  <c r="B115" i="1"/>
  <c r="B116" i="1" s="1"/>
  <c r="B79" i="1"/>
  <c r="B82" i="1" s="1"/>
  <c r="D53" i="1"/>
  <c r="C53" i="1"/>
  <c r="B53" i="1"/>
  <c r="B49" i="1"/>
  <c r="B50" i="1" s="1"/>
  <c r="B52" i="1" s="1"/>
  <c r="D48" i="1"/>
  <c r="C48" i="1"/>
  <c r="B48" i="1"/>
  <c r="B23" i="1"/>
  <c r="C22" i="1"/>
  <c r="D22" i="1" s="1"/>
  <c r="E22" i="1" s="1"/>
  <c r="C21" i="1"/>
  <c r="D21" i="1" s="1"/>
  <c r="E21" i="1" s="1"/>
  <c r="C20" i="1"/>
  <c r="C19" i="1"/>
  <c r="D19" i="1" s="1"/>
  <c r="B11" i="1"/>
  <c r="B12" i="1" s="1"/>
  <c r="B106" i="1" l="1"/>
  <c r="B144" i="1"/>
  <c r="B148" i="1" s="1"/>
  <c r="B149" i="1" s="1"/>
  <c r="D129" i="1"/>
  <c r="D130" i="1" s="1"/>
  <c r="D131" i="1" s="1"/>
  <c r="F131" i="1" s="1"/>
  <c r="B54" i="1"/>
  <c r="B55" i="1"/>
  <c r="B81" i="1"/>
  <c r="C49" i="1"/>
  <c r="C23" i="1"/>
  <c r="C24" i="1" s="1"/>
  <c r="D20" i="1"/>
  <c r="E20" i="1" s="1"/>
  <c r="E19" i="1"/>
  <c r="B14" i="1"/>
  <c r="B83" i="1" l="1"/>
  <c r="B85" i="1" s="1"/>
  <c r="D49" i="1"/>
  <c r="D50" i="1" s="1"/>
  <c r="C50" i="1"/>
  <c r="B34" i="1"/>
  <c r="E23" i="1"/>
  <c r="E24" i="1" s="1"/>
  <c r="D23" i="1"/>
  <c r="C51" i="1" l="1"/>
  <c r="C52" i="1" s="1"/>
  <c r="C54" i="1" s="1"/>
  <c r="D51" i="1"/>
  <c r="D52" i="1" s="1"/>
  <c r="D54" i="1" s="1"/>
  <c r="D24" i="1"/>
  <c r="B29" i="1"/>
  <c r="B32" i="1" s="1"/>
  <c r="B33" i="1" s="1"/>
  <c r="B35" i="1" s="1"/>
  <c r="B36" i="1" s="1"/>
  <c r="B66" i="1" l="1"/>
  <c r="B67" i="1" s="1"/>
  <c r="B68" i="1" s="1"/>
  <c r="B70" i="1" s="1"/>
</calcChain>
</file>

<file path=xl/sharedStrings.xml><?xml version="1.0" encoding="utf-8"?>
<sst xmlns="http://schemas.openxmlformats.org/spreadsheetml/2006/main" count="163" uniqueCount="148">
  <si>
    <t>Problem 5</t>
  </si>
  <si>
    <t>Net income</t>
  </si>
  <si>
    <t xml:space="preserve">ROE </t>
  </si>
  <si>
    <t>Cap ex</t>
  </si>
  <si>
    <t>Deprecn</t>
  </si>
  <si>
    <t>Change in WC</t>
  </si>
  <si>
    <t>Net debt issued</t>
  </si>
  <si>
    <t xml:space="preserve">Cost of equity </t>
  </si>
  <si>
    <t>Equity reinvestment =</t>
  </si>
  <si>
    <t>Equiy reinvestment rate</t>
  </si>
  <si>
    <t>Value of equity =</t>
  </si>
  <si>
    <t>Problem 4</t>
  </si>
  <si>
    <t>Problem 1</t>
  </si>
  <si>
    <t>Value of firm</t>
  </si>
  <si>
    <t>Growth rate</t>
  </si>
  <si>
    <t>After-tax cost of debt</t>
  </si>
  <si>
    <t>Debt to capital =</t>
  </si>
  <si>
    <t>First, back out the cost of equity used by the analyst</t>
  </si>
  <si>
    <t>Cost of equity =</t>
  </si>
  <si>
    <t>Cost of capital =</t>
  </si>
  <si>
    <t>Analyst used cost of capital to discount FCFE to arrive at value of equity</t>
  </si>
  <si>
    <t>Expected FCFE</t>
  </si>
  <si>
    <t>Problem 2</t>
  </si>
  <si>
    <t>Base year</t>
  </si>
  <si>
    <t>Base</t>
  </si>
  <si>
    <t>Operating income after taxes</t>
  </si>
  <si>
    <t xml:space="preserve"> + Depreciation</t>
  </si>
  <si>
    <t xml:space="preserve"> - Cap Ex</t>
  </si>
  <si>
    <t xml:space="preserve"> - Change in WC</t>
  </si>
  <si>
    <t>FCFF</t>
  </si>
  <si>
    <t>PV @ cost of capital of 12%</t>
  </si>
  <si>
    <t>Growth rate after year 3 =</t>
  </si>
  <si>
    <t>Cost of capital after year 3 =</t>
  </si>
  <si>
    <t>Reinvestment rate for first 3 years =</t>
  </si>
  <si>
    <t>Growth rate in first 3 years =</t>
  </si>
  <si>
    <t>Return on capital</t>
  </si>
  <si>
    <t>Reinvestment rate in stable growth =</t>
  </si>
  <si>
    <t>EBIT (1-t)) in terminal year</t>
  </si>
  <si>
    <t xml:space="preserve">FCFF in terminal year </t>
  </si>
  <si>
    <t>Terminal value =</t>
  </si>
  <si>
    <t>Problem 3</t>
  </si>
  <si>
    <t>Revenue growth rate</t>
  </si>
  <si>
    <t>Operating margin (pre-tax)</t>
  </si>
  <si>
    <t>Invested capital</t>
  </si>
  <si>
    <t>Revenues</t>
  </si>
  <si>
    <t>Operatiing Income</t>
  </si>
  <si>
    <t>Tax rate =</t>
  </si>
  <si>
    <t>NOL</t>
  </si>
  <si>
    <t>Operating income after tax</t>
  </si>
  <si>
    <t xml:space="preserve"> -Taxes</t>
  </si>
  <si>
    <t xml:space="preserve"> - Reinvestment</t>
  </si>
  <si>
    <t>Expected growth rate</t>
  </si>
  <si>
    <t xml:space="preserve">EV/Invested capital </t>
  </si>
  <si>
    <t xml:space="preserve">Cost of capital </t>
  </si>
  <si>
    <t>Double return on capital while reinvesting rate stays unchanged</t>
  </si>
  <si>
    <t>Solve for the return on capital</t>
  </si>
  <si>
    <t>Return on capital =</t>
  </si>
  <si>
    <t>New return on capital =</t>
  </si>
  <si>
    <t>Reinvestment rate =</t>
  </si>
  <si>
    <t>Expected growth rate =</t>
  </si>
  <si>
    <t xml:space="preserve">! Old reinvestment rate = g/ ROC = 2%/ 8.4% </t>
  </si>
  <si>
    <t>Problem 6</t>
  </si>
  <si>
    <t>Cost of capital</t>
  </si>
  <si>
    <t>Problem 7</t>
  </si>
  <si>
    <t>Private Business</t>
  </si>
  <si>
    <t>Illiquidity discount on value</t>
  </si>
  <si>
    <t>Riskfree rate</t>
  </si>
  <si>
    <t>ERP</t>
  </si>
  <si>
    <t>Value as a public company</t>
  </si>
  <si>
    <t>Market Beta =</t>
  </si>
  <si>
    <t>Total Beta =</t>
  </si>
  <si>
    <t>Correlation with market</t>
  </si>
  <si>
    <t>Public Cost of equity (capital)</t>
  </si>
  <si>
    <t>Problem 8</t>
  </si>
  <si>
    <t>Before</t>
  </si>
  <si>
    <t xml:space="preserve">After </t>
  </si>
  <si>
    <t/>
  </si>
  <si>
    <t>Return on capital on new investments</t>
  </si>
  <si>
    <t>After-tax operating income next year</t>
  </si>
  <si>
    <t>Value of firm today =</t>
  </si>
  <si>
    <t>Reinvestment Rate =</t>
  </si>
  <si>
    <t xml:space="preserve"> + Divestiture proceeds</t>
  </si>
  <si>
    <t>Total value from restructuring</t>
  </si>
  <si>
    <t>Problem 9</t>
  </si>
  <si>
    <t>Zipdoc</t>
  </si>
  <si>
    <t>Health Solutions</t>
  </si>
  <si>
    <t>Combined firm</t>
  </si>
  <si>
    <t>Expected Revenues next year</t>
  </si>
  <si>
    <t>After-tax operating income</t>
  </si>
  <si>
    <t>Tax rate</t>
  </si>
  <si>
    <t>Reinvestment rate</t>
  </si>
  <si>
    <t>Value of synergy</t>
  </si>
  <si>
    <t>Riskless rate =</t>
  </si>
  <si>
    <t>Annual cash flow (millions)</t>
  </si>
  <si>
    <t>d1 =</t>
  </si>
  <si>
    <t>N(d1) =</t>
  </si>
  <si>
    <t>d2 =</t>
  </si>
  <si>
    <t>N(d2) =</t>
  </si>
  <si>
    <t>Enterprise value =</t>
  </si>
  <si>
    <t>Dev cost =</t>
  </si>
  <si>
    <t>Developed drugs</t>
  </si>
  <si>
    <t>Patent</t>
  </si>
  <si>
    <t>Life of patent =</t>
  </si>
  <si>
    <t>Number of years =</t>
  </si>
  <si>
    <t>S = PV of CF from developing early =</t>
  </si>
  <si>
    <t>NPV =</t>
  </si>
  <si>
    <t>Value of developed drugs =</t>
  </si>
  <si>
    <t>Value of patent =</t>
  </si>
  <si>
    <t>Value of patent = S N(d1) - Kexp(-rt) N(d2)</t>
  </si>
  <si>
    <t>Revenues ($ millions)</t>
  </si>
  <si>
    <t>Invested capital ($ millions)</t>
  </si>
  <si>
    <t>EV/invested capital =</t>
  </si>
  <si>
    <t>Value as a private business</t>
  </si>
  <si>
    <t>Cost of equity as private business =</t>
  </si>
  <si>
    <t>PV of terminal value @12%</t>
  </si>
  <si>
    <t>Grading Template</t>
  </si>
  <si>
    <t>1. Did not back out cost of capital;  -1 point</t>
  </si>
  <si>
    <t>2. Did not adjust to cost of equity: -1 point</t>
  </si>
  <si>
    <t>3. Did not revalue firm: -1 point</t>
  </si>
  <si>
    <t>1. Compute term value from FCFF in yr 3: -2 points</t>
  </si>
  <si>
    <t>2. Discounted terminal value @ wrong r: -1/2 point</t>
  </si>
  <si>
    <t>3. Error on reinv rate in year 4: -1 point</t>
  </si>
  <si>
    <t>4. Math error: -1/2 point each</t>
  </si>
  <si>
    <t>1. Taxes computed incorrectly: -1/2 point each</t>
  </si>
  <si>
    <t>2. Reinvestment incorrect: -1/2 point each</t>
  </si>
  <si>
    <t>3. Other errors; -1/2 point</t>
  </si>
  <si>
    <t>1. Equity reinvestment rate wrong: -1 point</t>
  </si>
  <si>
    <t>2. Expected growth incorrect: -1 point</t>
  </si>
  <si>
    <t>(You should be usin ga (1-g) in this problem, but I let that gave full credit if you missed it and gave me a value of $2000 million.</t>
  </si>
  <si>
    <t>3.  Marh errora: --1/2 point ecch</t>
  </si>
  <si>
    <t>1. Did not recomputed new ROIC: -1 point</t>
  </si>
  <si>
    <t>2. Did not estimate reinevstment rate: -1 point</t>
  </si>
  <si>
    <t>3. Did not estimate growth: -1 poing</t>
  </si>
  <si>
    <t>(If you don't recompute the ROIC, you will get an EV/IC of 1.5 or 1.75.</t>
  </si>
  <si>
    <t>1. Did not back out cost of equit of private firm: -1 point</t>
  </si>
  <si>
    <t>2. Did not back out cost of equity for public irm: -1 point</t>
  </si>
  <si>
    <t>3. Applied an illiquidity discount to public firm: -1 point</t>
  </si>
  <si>
    <t>4. Error in computing total beta &amp; correlation: -1 point</t>
  </si>
  <si>
    <t>The public buyer faces no illiquidity discount, because nivstors in the firm can sell their shares and get the liquidity they wan.t</t>
  </si>
  <si>
    <t>1. Error in valuing Zipdoc: -1 point</t>
  </si>
  <si>
    <t>2. Error in valing Health Solutions: -1 point</t>
  </si>
  <si>
    <t>3. Error in valuing combined firm: -1 point</t>
  </si>
  <si>
    <t>4. Error in computing synergy: -1 point</t>
  </si>
  <si>
    <t>1. Error in computing PV of developed: -1 point</t>
  </si>
  <si>
    <t>2. Error in backing out option value; -1 point</t>
  </si>
  <si>
    <t>3. Did not use option value to get S: -2 points</t>
  </si>
  <si>
    <t>3. Did not subtract investment cost from S: -1 point</t>
  </si>
  <si>
    <t>518 = S (0.8430) - 1000 exp (-.04)(15) (0.4383)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</si>
</sst>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6" formatCode="&quot;$&quot;#,##0_);[Red]\(&quot;$&quot;#,##0\)"/>
    <numFmt numFmtId="44" formatCode="_(&quot;$&quot;* #,##0.00_);_(&quot;$&quot;* \(#,##0.00\);_(&quot;$&quot;* &quot;-&quot;??_);_(@_)"/>
    <numFmt numFmtId="164" formatCode="0.000%"/>
    <numFmt numFmtId="165" formatCode="&quot;$&quot;#,##0.00"/>
    <numFmt numFmtId="166" formatCode="0.0%"/>
    <numFmt numFmtId="167" formatCode="0.0000"/>
    <numFmt numFmtId="168" formatCode="0.000000%"/>
  </numFmts>
  <fonts count="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1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0" borderId="0" xfId="0" applyFont="1"/>
    <xf numFmtId="9" fontId="0" fillId="0" borderId="0" xfId="0" applyNumberFormat="1"/>
    <xf numFmtId="10" fontId="0" fillId="0" borderId="0" xfId="0" applyNumberFormat="1"/>
    <xf numFmtId="10" fontId="0" fillId="0" borderId="0" xfId="1" applyNumberFormat="1" applyFont="1"/>
    <xf numFmtId="164" fontId="0" fillId="0" borderId="0" xfId="0" applyNumberFormat="1"/>
    <xf numFmtId="165" fontId="0" fillId="0" borderId="1" xfId="0" applyNumberFormat="1" applyBorder="1"/>
    <xf numFmtId="165" fontId="0" fillId="2" borderId="1" xfId="0" applyNumberFormat="1" applyFill="1" applyBorder="1"/>
    <xf numFmtId="165" fontId="0" fillId="0" borderId="0" xfId="0" applyNumberFormat="1"/>
    <xf numFmtId="165" fontId="0" fillId="2" borderId="2" xfId="0" applyNumberFormat="1" applyFill="1" applyBorder="1"/>
    <xf numFmtId="0" fontId="0" fillId="0" borderId="2" xfId="0" applyBorder="1" applyAlignment="1">
      <alignment horizontal="center"/>
    </xf>
    <xf numFmtId="165" fontId="0" fillId="0" borderId="0" xfId="0" applyNumberFormat="1" applyAlignment="1">
      <alignment horizontal="center"/>
    </xf>
    <xf numFmtId="165" fontId="0" fillId="0" borderId="2" xfId="0" applyNumberFormat="1" applyBorder="1" applyAlignment="1">
      <alignment horizontal="center"/>
    </xf>
    <xf numFmtId="166" fontId="0" fillId="0" borderId="0" xfId="0" applyNumberFormat="1"/>
    <xf numFmtId="0" fontId="2" fillId="0" borderId="2" xfId="0" applyFont="1" applyBorder="1"/>
    <xf numFmtId="0" fontId="0" fillId="0" borderId="2" xfId="0" applyBorder="1"/>
    <xf numFmtId="165" fontId="0" fillId="0" borderId="2" xfId="0" applyNumberFormat="1" applyBorder="1"/>
    <xf numFmtId="0" fontId="0" fillId="2" borderId="2" xfId="0" applyFill="1" applyBorder="1"/>
    <xf numFmtId="167" fontId="0" fillId="0" borderId="0" xfId="0" applyNumberFormat="1"/>
    <xf numFmtId="2" fontId="0" fillId="0" borderId="0" xfId="0" applyNumberFormat="1"/>
    <xf numFmtId="2" fontId="0" fillId="2" borderId="1" xfId="0" applyNumberFormat="1" applyFill="1" applyBorder="1"/>
    <xf numFmtId="0" fontId="0" fillId="2" borderId="1" xfId="0" applyFill="1" applyBorder="1"/>
    <xf numFmtId="0" fontId="0" fillId="0" borderId="0" xfId="0" quotePrefix="1"/>
    <xf numFmtId="9" fontId="3" fillId="0" borderId="0" xfId="0" applyNumberFormat="1" applyFont="1"/>
    <xf numFmtId="165" fontId="0" fillId="0" borderId="2" xfId="1" applyNumberFormat="1" applyFont="1" applyBorder="1"/>
    <xf numFmtId="9" fontId="0" fillId="0" borderId="2" xfId="0" applyNumberFormat="1" applyBorder="1"/>
    <xf numFmtId="0" fontId="0" fillId="0" borderId="3" xfId="0" applyBorder="1"/>
    <xf numFmtId="9" fontId="0" fillId="0" borderId="3" xfId="0" applyNumberFormat="1" applyBorder="1"/>
    <xf numFmtId="44" fontId="0" fillId="2" borderId="1" xfId="0" applyNumberFormat="1" applyFill="1" applyBorder="1"/>
    <xf numFmtId="9" fontId="0" fillId="0" borderId="2" xfId="1" applyFont="1" applyBorder="1"/>
    <xf numFmtId="166" fontId="0" fillId="0" borderId="2" xfId="0" applyNumberFormat="1" applyBorder="1"/>
    <xf numFmtId="44" fontId="0" fillId="0" borderId="2" xfId="2" applyFont="1" applyBorder="1"/>
    <xf numFmtId="9" fontId="4" fillId="0" borderId="2" xfId="0" applyNumberFormat="1" applyFont="1" applyBorder="1"/>
    <xf numFmtId="10" fontId="0" fillId="0" borderId="2" xfId="1" applyNumberFormat="1" applyFont="1" applyBorder="1"/>
    <xf numFmtId="6" fontId="0" fillId="0" borderId="0" xfId="0" applyNumberFormat="1"/>
    <xf numFmtId="44" fontId="0" fillId="0" borderId="0" xfId="2" applyFont="1"/>
    <xf numFmtId="44" fontId="0" fillId="0" borderId="0" xfId="0" applyNumberFormat="1"/>
    <xf numFmtId="44" fontId="0" fillId="2" borderId="4" xfId="0" applyNumberFormat="1" applyFill="1" applyBorder="1"/>
    <xf numFmtId="0" fontId="0" fillId="0" borderId="5" xfId="0" applyBorder="1"/>
    <xf numFmtId="0" fontId="0" fillId="0" borderId="5" xfId="0" applyBorder="1" applyAlignment="1">
      <alignment horizontal="center"/>
    </xf>
    <xf numFmtId="165" fontId="0" fillId="0" borderId="5" xfId="0" applyNumberFormat="1" applyBorder="1" applyAlignment="1">
      <alignment horizontal="center"/>
    </xf>
    <xf numFmtId="10" fontId="0" fillId="0" borderId="5" xfId="0" applyNumberFormat="1" applyBorder="1" applyAlignment="1">
      <alignment horizontal="center"/>
    </xf>
    <xf numFmtId="168" fontId="0" fillId="0" borderId="0" xfId="0" applyNumberFormat="1"/>
    <xf numFmtId="0" fontId="5" fillId="3" borderId="0" xfId="0" applyFont="1" applyFill="1"/>
    <xf numFmtId="0" fontId="5" fillId="3" borderId="0" xfId="0" applyFont="1" applyFill="1" applyAlignment="1">
      <alignment wrapText="1"/>
    </xf>
  </cellXfs>
  <cellStyles count="3">
    <cellStyle name="Currency" xfId="2" builtinId="4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D9BE1-B03A-9445-BFAE-7177730A9EE1}">
  <sheetPr>
    <pageSetUpPr fitToPage="1"/>
  </sheetPr>
  <dimension ref="A1:G149"/>
  <sheetViews>
    <sheetView tabSelected="1" topLeftCell="A110" workbookViewId="0">
      <selection activeCell="B148" sqref="B148"/>
    </sheetView>
  </sheetViews>
  <sheetFormatPr baseColWidth="10" defaultRowHeight="16" x14ac:dyDescent="0.2"/>
  <cols>
    <col min="1" max="1" width="33.33203125" customWidth="1"/>
    <col min="2" max="2" width="20.33203125" bestFit="1" customWidth="1"/>
    <col min="7" max="7" width="50.1640625" customWidth="1"/>
  </cols>
  <sheetData>
    <row r="1" spans="1:7" x14ac:dyDescent="0.2">
      <c r="A1" s="1" t="s">
        <v>12</v>
      </c>
      <c r="G1" s="43"/>
    </row>
    <row r="2" spans="1:7" x14ac:dyDescent="0.2">
      <c r="A2" t="s">
        <v>20</v>
      </c>
      <c r="G2" s="43" t="s">
        <v>115</v>
      </c>
    </row>
    <row r="3" spans="1:7" x14ac:dyDescent="0.2">
      <c r="A3" t="s">
        <v>21</v>
      </c>
      <c r="B3">
        <v>90</v>
      </c>
      <c r="G3" s="43"/>
    </row>
    <row r="4" spans="1:7" x14ac:dyDescent="0.2">
      <c r="A4" t="s">
        <v>13</v>
      </c>
      <c r="B4">
        <v>1500</v>
      </c>
      <c r="G4" s="43" t="s">
        <v>116</v>
      </c>
    </row>
    <row r="5" spans="1:7" x14ac:dyDescent="0.2">
      <c r="A5" t="s">
        <v>14</v>
      </c>
      <c r="B5" s="2">
        <v>0.03</v>
      </c>
      <c r="G5" s="43" t="s">
        <v>117</v>
      </c>
    </row>
    <row r="6" spans="1:7" x14ac:dyDescent="0.2">
      <c r="G6" s="43" t="s">
        <v>118</v>
      </c>
    </row>
    <row r="7" spans="1:7" x14ac:dyDescent="0.2">
      <c r="A7" t="s">
        <v>15</v>
      </c>
      <c r="B7" s="3">
        <v>0.04</v>
      </c>
      <c r="G7" s="43"/>
    </row>
    <row r="8" spans="1:7" x14ac:dyDescent="0.2">
      <c r="A8" t="s">
        <v>16</v>
      </c>
      <c r="B8" s="2">
        <v>0.2</v>
      </c>
      <c r="G8" s="43"/>
    </row>
    <row r="9" spans="1:7" x14ac:dyDescent="0.2">
      <c r="G9" s="43"/>
    </row>
    <row r="10" spans="1:7" x14ac:dyDescent="0.2">
      <c r="A10" t="s">
        <v>17</v>
      </c>
      <c r="G10" s="43"/>
    </row>
    <row r="11" spans="1:7" x14ac:dyDescent="0.2">
      <c r="A11" t="s">
        <v>19</v>
      </c>
      <c r="B11" s="3">
        <f>B3/B4+B5</f>
        <v>0.09</v>
      </c>
      <c r="G11" s="43"/>
    </row>
    <row r="12" spans="1:7" x14ac:dyDescent="0.2">
      <c r="A12" t="s">
        <v>18</v>
      </c>
      <c r="B12" s="5">
        <f>(B11-B7*B8)/(1-B8)</f>
        <v>0.10249999999999998</v>
      </c>
      <c r="G12" s="43"/>
    </row>
    <row r="13" spans="1:7" ht="17" thickBot="1" x14ac:dyDescent="0.25">
      <c r="G13" s="43"/>
    </row>
    <row r="14" spans="1:7" ht="17" thickBot="1" x14ac:dyDescent="0.25">
      <c r="A14" t="s">
        <v>10</v>
      </c>
      <c r="B14" s="7">
        <f>B3/(B12-B5)</f>
        <v>1241.3793103448279</v>
      </c>
      <c r="G14" s="43"/>
    </row>
    <row r="15" spans="1:7" x14ac:dyDescent="0.2">
      <c r="G15" s="43"/>
    </row>
    <row r="16" spans="1:7" x14ac:dyDescent="0.2">
      <c r="G16" s="43"/>
    </row>
    <row r="17" spans="1:7" x14ac:dyDescent="0.2">
      <c r="A17" s="1" t="s">
        <v>22</v>
      </c>
      <c r="G17" s="43"/>
    </row>
    <row r="18" spans="1:7" x14ac:dyDescent="0.2">
      <c r="B18" t="s">
        <v>23</v>
      </c>
      <c r="C18" s="10">
        <v>1</v>
      </c>
      <c r="D18" s="10">
        <v>2</v>
      </c>
      <c r="E18" s="10">
        <v>3</v>
      </c>
      <c r="G18" s="43" t="s">
        <v>119</v>
      </c>
    </row>
    <row r="19" spans="1:7" x14ac:dyDescent="0.2">
      <c r="A19" t="s">
        <v>25</v>
      </c>
      <c r="B19" s="11">
        <v>150</v>
      </c>
      <c r="C19" s="12">
        <f>150*1.1</f>
        <v>165</v>
      </c>
      <c r="D19" s="12">
        <f t="shared" ref="D19:E22" si="0">C19*1.1</f>
        <v>181.50000000000003</v>
      </c>
      <c r="E19" s="12">
        <f t="shared" si="0"/>
        <v>199.65000000000003</v>
      </c>
      <c r="G19" s="43" t="s">
        <v>120</v>
      </c>
    </row>
    <row r="20" spans="1:7" x14ac:dyDescent="0.2">
      <c r="A20" t="s">
        <v>26</v>
      </c>
      <c r="B20" s="11">
        <v>40</v>
      </c>
      <c r="C20" s="12">
        <f>40*1.1</f>
        <v>44</v>
      </c>
      <c r="D20" s="12">
        <f t="shared" si="0"/>
        <v>48.400000000000006</v>
      </c>
      <c r="E20" s="12">
        <f t="shared" si="0"/>
        <v>53.240000000000009</v>
      </c>
      <c r="G20" s="43" t="s">
        <v>121</v>
      </c>
    </row>
    <row r="21" spans="1:7" x14ac:dyDescent="0.2">
      <c r="A21" t="s">
        <v>27</v>
      </c>
      <c r="B21" s="11">
        <v>100</v>
      </c>
      <c r="C21" s="12">
        <f>100*1.1</f>
        <v>110.00000000000001</v>
      </c>
      <c r="D21" s="12">
        <f t="shared" si="0"/>
        <v>121.00000000000003</v>
      </c>
      <c r="E21" s="12">
        <f t="shared" si="0"/>
        <v>133.10000000000005</v>
      </c>
      <c r="G21" s="43" t="s">
        <v>122</v>
      </c>
    </row>
    <row r="22" spans="1:7" x14ac:dyDescent="0.2">
      <c r="A22" t="s">
        <v>28</v>
      </c>
      <c r="B22" s="11">
        <v>40</v>
      </c>
      <c r="C22" s="12">
        <f>40*1.1</f>
        <v>44</v>
      </c>
      <c r="D22" s="12">
        <f t="shared" si="0"/>
        <v>48.400000000000006</v>
      </c>
      <c r="E22" s="12">
        <f t="shared" si="0"/>
        <v>53.240000000000009</v>
      </c>
      <c r="G22" s="43"/>
    </row>
    <row r="23" spans="1:7" x14ac:dyDescent="0.2">
      <c r="A23" t="s">
        <v>29</v>
      </c>
      <c r="B23" s="11">
        <f>B19+B20-B21-B22</f>
        <v>50</v>
      </c>
      <c r="C23" s="12">
        <f>C19+C20-C21-C22</f>
        <v>54.999999999999986</v>
      </c>
      <c r="D23" s="12">
        <f t="shared" ref="D23:E23" si="1">D19+D20-D21-D22</f>
        <v>60.5</v>
      </c>
      <c r="E23" s="12">
        <f t="shared" si="1"/>
        <v>66.549999999999983</v>
      </c>
      <c r="G23" s="43"/>
    </row>
    <row r="24" spans="1:7" x14ac:dyDescent="0.2">
      <c r="A24" t="s">
        <v>30</v>
      </c>
      <c r="B24" s="11"/>
      <c r="C24" s="12">
        <f>C23/1.12^C18</f>
        <v>49.10714285714284</v>
      </c>
      <c r="D24" s="12">
        <f t="shared" ref="D24:E24" si="2">D23/1.12^D18</f>
        <v>48.230229591836725</v>
      </c>
      <c r="E24" s="12">
        <f t="shared" si="2"/>
        <v>47.368975491982482</v>
      </c>
      <c r="G24" s="43"/>
    </row>
    <row r="25" spans="1:7" x14ac:dyDescent="0.2">
      <c r="B25" s="11"/>
      <c r="C25" s="11"/>
      <c r="D25" s="11"/>
      <c r="G25" s="43"/>
    </row>
    <row r="26" spans="1:7" x14ac:dyDescent="0.2">
      <c r="A26" t="s">
        <v>31</v>
      </c>
      <c r="B26" s="2">
        <v>0.03</v>
      </c>
      <c r="G26" s="43"/>
    </row>
    <row r="27" spans="1:7" x14ac:dyDescent="0.2">
      <c r="A27" t="s">
        <v>32</v>
      </c>
      <c r="B27" s="2">
        <v>0.09</v>
      </c>
      <c r="G27" s="43"/>
    </row>
    <row r="28" spans="1:7" x14ac:dyDescent="0.2">
      <c r="G28" s="43"/>
    </row>
    <row r="29" spans="1:7" x14ac:dyDescent="0.2">
      <c r="A29" t="s">
        <v>33</v>
      </c>
      <c r="B29" s="4">
        <f>1-SUM(C23:E23)/SUM(C19:E19)</f>
        <v>0.66666666666666674</v>
      </c>
      <c r="G29" s="43"/>
    </row>
    <row r="30" spans="1:7" x14ac:dyDescent="0.2">
      <c r="A30" t="s">
        <v>34</v>
      </c>
      <c r="B30" s="2">
        <v>0.1</v>
      </c>
      <c r="G30" s="43"/>
    </row>
    <row r="31" spans="1:7" x14ac:dyDescent="0.2">
      <c r="G31" s="43"/>
    </row>
    <row r="32" spans="1:7" x14ac:dyDescent="0.2">
      <c r="A32" t="s">
        <v>35</v>
      </c>
      <c r="B32" s="13">
        <f>B30/B29</f>
        <v>0.15</v>
      </c>
      <c r="G32" s="43"/>
    </row>
    <row r="33" spans="1:7" x14ac:dyDescent="0.2">
      <c r="A33" t="s">
        <v>36</v>
      </c>
      <c r="B33" s="13">
        <f>B26/B32</f>
        <v>0.2</v>
      </c>
      <c r="G33" s="43"/>
    </row>
    <row r="34" spans="1:7" x14ac:dyDescent="0.2">
      <c r="A34" t="s">
        <v>37</v>
      </c>
      <c r="B34" s="8">
        <f>E19*(1+B26)</f>
        <v>205.63950000000003</v>
      </c>
      <c r="G34" s="43"/>
    </row>
    <row r="35" spans="1:7" ht="17" thickBot="1" x14ac:dyDescent="0.25">
      <c r="A35" t="s">
        <v>38</v>
      </c>
      <c r="B35" s="8">
        <f>B34*(1-B33)</f>
        <v>164.51160000000004</v>
      </c>
      <c r="G35" s="43"/>
    </row>
    <row r="36" spans="1:7" ht="17" thickBot="1" x14ac:dyDescent="0.25">
      <c r="A36" t="s">
        <v>39</v>
      </c>
      <c r="B36" s="6">
        <f>B35/(B27-B26)</f>
        <v>2741.860000000001</v>
      </c>
      <c r="G36" s="43"/>
    </row>
    <row r="37" spans="1:7" ht="17" thickBot="1" x14ac:dyDescent="0.25">
      <c r="A37" t="s">
        <v>114</v>
      </c>
      <c r="B37" s="8">
        <f>B36/1.12^3</f>
        <v>1951.6017902696794</v>
      </c>
      <c r="G37" s="43"/>
    </row>
    <row r="38" spans="1:7" ht="17" thickBot="1" x14ac:dyDescent="0.25">
      <c r="A38" t="s">
        <v>79</v>
      </c>
      <c r="B38" s="7">
        <f>SUM(C24:E24)+B37</f>
        <v>2096.3081382106416</v>
      </c>
      <c r="G38" s="43"/>
    </row>
    <row r="39" spans="1:7" x14ac:dyDescent="0.2">
      <c r="G39" s="43"/>
    </row>
    <row r="40" spans="1:7" x14ac:dyDescent="0.2">
      <c r="A40" s="1" t="s">
        <v>40</v>
      </c>
      <c r="G40" s="43"/>
    </row>
    <row r="41" spans="1:7" x14ac:dyDescent="0.2">
      <c r="A41" s="38"/>
      <c r="B41" s="39" t="s">
        <v>24</v>
      </c>
      <c r="C41" s="39">
        <v>1</v>
      </c>
      <c r="D41" s="39">
        <v>2</v>
      </c>
      <c r="E41" s="39">
        <v>3</v>
      </c>
      <c r="G41" s="43" t="s">
        <v>123</v>
      </c>
    </row>
    <row r="42" spans="1:7" x14ac:dyDescent="0.2">
      <c r="A42" s="38" t="s">
        <v>109</v>
      </c>
      <c r="B42" s="40">
        <v>800</v>
      </c>
      <c r="C42" s="40"/>
      <c r="D42" s="40"/>
      <c r="E42" s="40"/>
      <c r="G42" s="43" t="s">
        <v>124</v>
      </c>
    </row>
    <row r="43" spans="1:7" x14ac:dyDescent="0.2">
      <c r="A43" s="38" t="s">
        <v>41</v>
      </c>
      <c r="B43" s="39"/>
      <c r="C43" s="41">
        <v>0.12</v>
      </c>
      <c r="D43" s="41">
        <v>0.08</v>
      </c>
      <c r="E43" s="41">
        <v>0.04</v>
      </c>
      <c r="G43" s="43" t="s">
        <v>125</v>
      </c>
    </row>
    <row r="44" spans="1:7" x14ac:dyDescent="0.2">
      <c r="A44" s="38" t="s">
        <v>42</v>
      </c>
      <c r="B44" s="39"/>
      <c r="C44" s="41">
        <v>0.03</v>
      </c>
      <c r="D44" s="41">
        <v>0.06</v>
      </c>
      <c r="E44" s="41">
        <v>0.09</v>
      </c>
      <c r="G44" s="43"/>
    </row>
    <row r="45" spans="1:7" x14ac:dyDescent="0.2">
      <c r="A45" s="38" t="s">
        <v>110</v>
      </c>
      <c r="B45" s="40">
        <v>500</v>
      </c>
      <c r="C45" s="40">
        <v>550</v>
      </c>
      <c r="D45" s="40">
        <v>620</v>
      </c>
      <c r="E45" s="40">
        <v>640</v>
      </c>
      <c r="G45" s="43"/>
    </row>
    <row r="46" spans="1:7" x14ac:dyDescent="0.2">
      <c r="A46" t="s">
        <v>46</v>
      </c>
      <c r="B46" s="2">
        <v>0.25</v>
      </c>
      <c r="G46" s="43"/>
    </row>
    <row r="47" spans="1:7" x14ac:dyDescent="0.2">
      <c r="A47" s="1" t="s">
        <v>47</v>
      </c>
      <c r="B47" s="8">
        <v>50</v>
      </c>
      <c r="G47" s="43"/>
    </row>
    <row r="48" spans="1:7" x14ac:dyDescent="0.2">
      <c r="A48" s="14"/>
      <c r="B48" s="15">
        <f>C41</f>
        <v>1</v>
      </c>
      <c r="C48" s="15">
        <f t="shared" ref="C48:D48" si="3">D41</f>
        <v>2</v>
      </c>
      <c r="D48" s="15">
        <f t="shared" si="3"/>
        <v>3</v>
      </c>
      <c r="G48" s="43"/>
    </row>
    <row r="49" spans="1:7" x14ac:dyDescent="0.2">
      <c r="A49" s="15" t="s">
        <v>44</v>
      </c>
      <c r="B49" s="16">
        <f>B42*(1+C43)</f>
        <v>896.00000000000011</v>
      </c>
      <c r="C49" s="16">
        <f>B49*(1+D43)</f>
        <v>967.68000000000018</v>
      </c>
      <c r="D49" s="16">
        <f>C49*(1+E43)</f>
        <v>1006.3872000000002</v>
      </c>
      <c r="G49" s="43"/>
    </row>
    <row r="50" spans="1:7" x14ac:dyDescent="0.2">
      <c r="A50" s="15" t="s">
        <v>45</v>
      </c>
      <c r="B50" s="16">
        <f>B49*C44</f>
        <v>26.880000000000003</v>
      </c>
      <c r="C50" s="16">
        <f>C49*D44</f>
        <v>58.060800000000008</v>
      </c>
      <c r="D50" s="16">
        <f>D49*E44</f>
        <v>90.574848000000017</v>
      </c>
      <c r="G50" s="43"/>
    </row>
    <row r="51" spans="1:7" x14ac:dyDescent="0.2">
      <c r="A51" s="15" t="s">
        <v>49</v>
      </c>
      <c r="B51" s="15">
        <v>0</v>
      </c>
      <c r="C51" s="16">
        <f>(C50-B55)*B46</f>
        <v>8.7352000000000025</v>
      </c>
      <c r="D51" s="16">
        <f>D50*B46</f>
        <v>22.643712000000004</v>
      </c>
      <c r="G51" s="43"/>
    </row>
    <row r="52" spans="1:7" x14ac:dyDescent="0.2">
      <c r="A52" s="15" t="s">
        <v>48</v>
      </c>
      <c r="B52" s="16">
        <f>B50-B51</f>
        <v>26.880000000000003</v>
      </c>
      <c r="C52" s="16">
        <f t="shared" ref="C52:D52" si="4">C50-C51</f>
        <v>49.325600000000009</v>
      </c>
      <c r="D52" s="16">
        <f t="shared" si="4"/>
        <v>67.931136000000009</v>
      </c>
      <c r="G52" s="43"/>
    </row>
    <row r="53" spans="1:7" x14ac:dyDescent="0.2">
      <c r="A53" s="15" t="s">
        <v>50</v>
      </c>
      <c r="B53" s="16">
        <f>C45-B45</f>
        <v>50</v>
      </c>
      <c r="C53" s="16">
        <f t="shared" ref="C53:D53" si="5">D45-C45</f>
        <v>70</v>
      </c>
      <c r="D53" s="16">
        <f t="shared" si="5"/>
        <v>20</v>
      </c>
      <c r="G53" s="43"/>
    </row>
    <row r="54" spans="1:7" x14ac:dyDescent="0.2">
      <c r="A54" s="17" t="s">
        <v>29</v>
      </c>
      <c r="B54" s="9">
        <f>B52-B53</f>
        <v>-23.119999999999997</v>
      </c>
      <c r="C54" s="9">
        <f t="shared" ref="C54:D54" si="6">C52-C53</f>
        <v>-20.674399999999991</v>
      </c>
      <c r="D54" s="9">
        <f t="shared" si="6"/>
        <v>47.931136000000009</v>
      </c>
      <c r="G54" s="43"/>
    </row>
    <row r="55" spans="1:7" x14ac:dyDescent="0.2">
      <c r="A55" t="s">
        <v>47</v>
      </c>
      <c r="B55" s="8">
        <f>B47-B50</f>
        <v>23.119999999999997</v>
      </c>
      <c r="C55">
        <v>0</v>
      </c>
      <c r="D55">
        <v>0</v>
      </c>
      <c r="G55" s="43"/>
    </row>
    <row r="56" spans="1:7" x14ac:dyDescent="0.2">
      <c r="G56" s="43"/>
    </row>
    <row r="57" spans="1:7" x14ac:dyDescent="0.2">
      <c r="A57" s="1" t="s">
        <v>11</v>
      </c>
      <c r="G57" s="43"/>
    </row>
    <row r="58" spans="1:7" x14ac:dyDescent="0.2">
      <c r="A58" t="s">
        <v>1</v>
      </c>
      <c r="B58" s="8">
        <v>150</v>
      </c>
      <c r="G58" s="43"/>
    </row>
    <row r="59" spans="1:7" x14ac:dyDescent="0.2">
      <c r="A59" t="s">
        <v>2</v>
      </c>
      <c r="B59" s="2">
        <v>0.18</v>
      </c>
      <c r="G59" s="43" t="s">
        <v>126</v>
      </c>
    </row>
    <row r="60" spans="1:7" x14ac:dyDescent="0.2">
      <c r="A60" t="s">
        <v>3</v>
      </c>
      <c r="B60" s="8">
        <v>90</v>
      </c>
      <c r="G60" s="43" t="s">
        <v>127</v>
      </c>
    </row>
    <row r="61" spans="1:7" x14ac:dyDescent="0.2">
      <c r="A61" t="s">
        <v>4</v>
      </c>
      <c r="B61" s="8">
        <v>50</v>
      </c>
      <c r="G61" s="43" t="s">
        <v>129</v>
      </c>
    </row>
    <row r="62" spans="1:7" ht="51" x14ac:dyDescent="0.2">
      <c r="A62" t="s">
        <v>5</v>
      </c>
      <c r="B62" s="8">
        <v>10</v>
      </c>
      <c r="G62" s="44" t="s">
        <v>128</v>
      </c>
    </row>
    <row r="63" spans="1:7" x14ac:dyDescent="0.2">
      <c r="A63" t="s">
        <v>6</v>
      </c>
      <c r="B63" s="8">
        <v>20</v>
      </c>
      <c r="G63" s="43"/>
    </row>
    <row r="64" spans="1:7" x14ac:dyDescent="0.2">
      <c r="A64" t="s">
        <v>7</v>
      </c>
      <c r="B64" s="3">
        <v>9.6000000000000002E-2</v>
      </c>
      <c r="G64" s="43"/>
    </row>
    <row r="65" spans="1:7" x14ac:dyDescent="0.2">
      <c r="G65" s="43"/>
    </row>
    <row r="66" spans="1:7" x14ac:dyDescent="0.2">
      <c r="A66" t="s">
        <v>8</v>
      </c>
      <c r="B66" s="8">
        <f>B60-B61+B62-B63</f>
        <v>30</v>
      </c>
      <c r="G66" s="43"/>
    </row>
    <row r="67" spans="1:7" x14ac:dyDescent="0.2">
      <c r="A67" t="s">
        <v>9</v>
      </c>
      <c r="B67" s="4">
        <f>B66/B58</f>
        <v>0.2</v>
      </c>
      <c r="G67" s="43"/>
    </row>
    <row r="68" spans="1:7" x14ac:dyDescent="0.2">
      <c r="A68" t="s">
        <v>51</v>
      </c>
      <c r="B68" s="5">
        <f>B67*B59</f>
        <v>3.5999999999999997E-2</v>
      </c>
      <c r="G68" s="43"/>
    </row>
    <row r="69" spans="1:7" ht="17" thickBot="1" x14ac:dyDescent="0.25">
      <c r="G69" s="43"/>
    </row>
    <row r="70" spans="1:7" ht="17" thickBot="1" x14ac:dyDescent="0.25">
      <c r="A70" t="s">
        <v>10</v>
      </c>
      <c r="B70" s="6">
        <f>B58*(1+B68)*(1-B67)/(B64-B68)</f>
        <v>2072</v>
      </c>
      <c r="G70" s="43"/>
    </row>
    <row r="71" spans="1:7" x14ac:dyDescent="0.2">
      <c r="G71" s="43"/>
    </row>
    <row r="72" spans="1:7" x14ac:dyDescent="0.2">
      <c r="A72" s="1" t="s">
        <v>0</v>
      </c>
      <c r="G72" s="43"/>
    </row>
    <row r="73" spans="1:7" x14ac:dyDescent="0.2">
      <c r="A73" t="s">
        <v>52</v>
      </c>
      <c r="B73">
        <v>0.75</v>
      </c>
      <c r="G73" s="43" t="s">
        <v>130</v>
      </c>
    </row>
    <row r="74" spans="1:7" x14ac:dyDescent="0.2">
      <c r="A74" t="s">
        <v>51</v>
      </c>
      <c r="B74" s="2">
        <v>0.02</v>
      </c>
      <c r="G74" s="43" t="s">
        <v>131</v>
      </c>
    </row>
    <row r="75" spans="1:7" x14ac:dyDescent="0.2">
      <c r="A75" t="s">
        <v>53</v>
      </c>
      <c r="B75" s="2">
        <v>0.1</v>
      </c>
      <c r="G75" s="43" t="s">
        <v>132</v>
      </c>
    </row>
    <row r="76" spans="1:7" ht="34" x14ac:dyDescent="0.2">
      <c r="G76" s="44" t="s">
        <v>133</v>
      </c>
    </row>
    <row r="77" spans="1:7" x14ac:dyDescent="0.2">
      <c r="A77" t="s">
        <v>54</v>
      </c>
      <c r="G77" s="43"/>
    </row>
    <row r="78" spans="1:7" x14ac:dyDescent="0.2">
      <c r="A78" t="s">
        <v>55</v>
      </c>
      <c r="G78" s="43"/>
    </row>
    <row r="79" spans="1:7" x14ac:dyDescent="0.2">
      <c r="A79" t="s">
        <v>56</v>
      </c>
      <c r="B79" s="5">
        <f>B73*(B75-B74)+B74</f>
        <v>0.08</v>
      </c>
      <c r="G79" s="43"/>
    </row>
    <row r="80" spans="1:7" x14ac:dyDescent="0.2">
      <c r="G80" s="43"/>
    </row>
    <row r="81" spans="1:7" x14ac:dyDescent="0.2">
      <c r="A81" t="s">
        <v>57</v>
      </c>
      <c r="B81">
        <f>B79*2</f>
        <v>0.16</v>
      </c>
      <c r="G81" s="43"/>
    </row>
    <row r="82" spans="1:7" x14ac:dyDescent="0.2">
      <c r="A82" t="s">
        <v>58</v>
      </c>
      <c r="B82" s="4">
        <f>B74/B79</f>
        <v>0.25</v>
      </c>
      <c r="C82" t="s">
        <v>60</v>
      </c>
      <c r="G82" s="43"/>
    </row>
    <row r="83" spans="1:7" x14ac:dyDescent="0.2">
      <c r="A83" t="s">
        <v>59</v>
      </c>
      <c r="B83" s="18">
        <f>B81*B82</f>
        <v>0.04</v>
      </c>
      <c r="G83" s="43"/>
    </row>
    <row r="84" spans="1:7" ht="17" thickBot="1" x14ac:dyDescent="0.25">
      <c r="G84" s="43"/>
    </row>
    <row r="85" spans="1:7" ht="17" thickBot="1" x14ac:dyDescent="0.25">
      <c r="A85" t="s">
        <v>111</v>
      </c>
      <c r="B85" s="20">
        <f>(B81-B83)/(B75-B83)</f>
        <v>1.9999999999999998</v>
      </c>
      <c r="G85" s="43"/>
    </row>
    <row r="86" spans="1:7" x14ac:dyDescent="0.2">
      <c r="G86" s="43"/>
    </row>
    <row r="87" spans="1:7" x14ac:dyDescent="0.2">
      <c r="G87" s="43"/>
    </row>
    <row r="88" spans="1:7" x14ac:dyDescent="0.2">
      <c r="A88" s="1" t="s">
        <v>61</v>
      </c>
      <c r="G88" s="43"/>
    </row>
    <row r="89" spans="1:7" x14ac:dyDescent="0.2">
      <c r="B89" t="s">
        <v>64</v>
      </c>
      <c r="G89" s="43"/>
    </row>
    <row r="90" spans="1:7" x14ac:dyDescent="0.2">
      <c r="A90" t="s">
        <v>29</v>
      </c>
      <c r="B90">
        <v>30</v>
      </c>
      <c r="G90" s="43" t="s">
        <v>134</v>
      </c>
    </row>
    <row r="91" spans="1:7" x14ac:dyDescent="0.2">
      <c r="A91" t="s">
        <v>112</v>
      </c>
      <c r="B91" s="8">
        <v>240</v>
      </c>
      <c r="G91" s="43" t="s">
        <v>135</v>
      </c>
    </row>
    <row r="92" spans="1:7" x14ac:dyDescent="0.2">
      <c r="A92" t="s">
        <v>51</v>
      </c>
      <c r="B92" s="2">
        <v>0.04</v>
      </c>
      <c r="G92" s="43" t="s">
        <v>136</v>
      </c>
    </row>
    <row r="93" spans="1:7" x14ac:dyDescent="0.2">
      <c r="A93" t="s">
        <v>65</v>
      </c>
      <c r="B93" s="2">
        <v>0.2</v>
      </c>
      <c r="G93" s="43" t="s">
        <v>137</v>
      </c>
    </row>
    <row r="94" spans="1:7" ht="51" x14ac:dyDescent="0.2">
      <c r="G94" s="44" t="s">
        <v>138</v>
      </c>
    </row>
    <row r="95" spans="1:7" x14ac:dyDescent="0.2">
      <c r="A95" t="s">
        <v>66</v>
      </c>
      <c r="B95" s="2">
        <v>0.04</v>
      </c>
      <c r="G95" s="43"/>
    </row>
    <row r="96" spans="1:7" x14ac:dyDescent="0.2">
      <c r="A96" t="s">
        <v>67</v>
      </c>
      <c r="B96" s="2">
        <v>0.05</v>
      </c>
      <c r="G96" s="43"/>
    </row>
    <row r="97" spans="1:7" x14ac:dyDescent="0.2">
      <c r="G97" s="43"/>
    </row>
    <row r="98" spans="1:7" x14ac:dyDescent="0.2">
      <c r="A98" t="s">
        <v>113</v>
      </c>
      <c r="B98" s="42">
        <f>B90/(B91/(1-B93))+B92</f>
        <v>0.14000000000000001</v>
      </c>
      <c r="G98" s="43"/>
    </row>
    <row r="99" spans="1:7" x14ac:dyDescent="0.2">
      <c r="G99" s="43"/>
    </row>
    <row r="100" spans="1:7" x14ac:dyDescent="0.2">
      <c r="A100" t="s">
        <v>68</v>
      </c>
      <c r="B100">
        <v>480</v>
      </c>
      <c r="G100" s="43"/>
    </row>
    <row r="101" spans="1:7" x14ac:dyDescent="0.2">
      <c r="A101" t="s">
        <v>29</v>
      </c>
      <c r="B101">
        <f>B90</f>
        <v>30</v>
      </c>
      <c r="G101" s="43"/>
    </row>
    <row r="102" spans="1:7" x14ac:dyDescent="0.2">
      <c r="A102" t="s">
        <v>51</v>
      </c>
      <c r="B102" s="2">
        <f>B92</f>
        <v>0.04</v>
      </c>
      <c r="G102" s="43"/>
    </row>
    <row r="103" spans="1:7" x14ac:dyDescent="0.2">
      <c r="A103" t="s">
        <v>72</v>
      </c>
      <c r="B103" s="4">
        <f>B101/B100+B102</f>
        <v>0.10250000000000001</v>
      </c>
      <c r="G103" s="43"/>
    </row>
    <row r="104" spans="1:7" x14ac:dyDescent="0.2">
      <c r="A104" t="s">
        <v>69</v>
      </c>
      <c r="B104" s="19">
        <f>(B103-B95)/B96</f>
        <v>1.25</v>
      </c>
      <c r="G104" s="43"/>
    </row>
    <row r="105" spans="1:7" ht="17" thickBot="1" x14ac:dyDescent="0.25">
      <c r="A105" t="s">
        <v>70</v>
      </c>
      <c r="B105" s="19">
        <f>(B98-B95)/B96</f>
        <v>2</v>
      </c>
      <c r="G105" s="43"/>
    </row>
    <row r="106" spans="1:7" ht="17" thickBot="1" x14ac:dyDescent="0.25">
      <c r="A106" t="s">
        <v>71</v>
      </c>
      <c r="B106" s="21">
        <f>B104/B105</f>
        <v>0.625</v>
      </c>
      <c r="G106" s="43"/>
    </row>
    <row r="107" spans="1:7" x14ac:dyDescent="0.2">
      <c r="G107" s="43"/>
    </row>
    <row r="108" spans="1:7" x14ac:dyDescent="0.2">
      <c r="A108" s="1" t="s">
        <v>63</v>
      </c>
      <c r="G108" s="43"/>
    </row>
    <row r="109" spans="1:7" x14ac:dyDescent="0.2">
      <c r="B109" t="s">
        <v>74</v>
      </c>
      <c r="C109" t="s">
        <v>75</v>
      </c>
      <c r="G109" s="43"/>
    </row>
    <row r="110" spans="1:7" x14ac:dyDescent="0.2">
      <c r="A110" t="s">
        <v>78</v>
      </c>
      <c r="B110" s="8">
        <v>90</v>
      </c>
      <c r="C110" s="8">
        <v>45</v>
      </c>
      <c r="E110" s="8"/>
      <c r="G110" s="43"/>
    </row>
    <row r="111" spans="1:7" x14ac:dyDescent="0.2">
      <c r="A111" t="s">
        <v>77</v>
      </c>
      <c r="B111" s="23">
        <v>0.05</v>
      </c>
      <c r="C111" s="2">
        <v>0.1</v>
      </c>
      <c r="G111" s="43"/>
    </row>
    <row r="112" spans="1:7" x14ac:dyDescent="0.2">
      <c r="A112" t="s">
        <v>62</v>
      </c>
      <c r="B112" s="2">
        <v>0.1</v>
      </c>
      <c r="C112" s="2">
        <v>0.09</v>
      </c>
      <c r="G112" s="43"/>
    </row>
    <row r="113" spans="1:7" x14ac:dyDescent="0.2">
      <c r="A113" t="s">
        <v>51</v>
      </c>
      <c r="B113" s="2">
        <v>0.04</v>
      </c>
      <c r="C113" s="2">
        <v>0.03</v>
      </c>
      <c r="G113" s="43"/>
    </row>
    <row r="114" spans="1:7" x14ac:dyDescent="0.2">
      <c r="A114" s="22" t="s">
        <v>76</v>
      </c>
      <c r="G114" s="43"/>
    </row>
    <row r="115" spans="1:7" x14ac:dyDescent="0.2">
      <c r="A115" t="s">
        <v>80</v>
      </c>
      <c r="B115" s="4">
        <f>B113/B111</f>
        <v>0.79999999999999993</v>
      </c>
      <c r="C115" s="13">
        <f>C113/C111</f>
        <v>0.3</v>
      </c>
      <c r="G115" s="43"/>
    </row>
    <row r="116" spans="1:7" x14ac:dyDescent="0.2">
      <c r="A116" t="s">
        <v>79</v>
      </c>
      <c r="B116" s="8">
        <f>B110*(1-B115)/(B112-B113)</f>
        <v>300.00000000000011</v>
      </c>
      <c r="C116" s="8">
        <f>C110*(1-C115)/(C112-C113)</f>
        <v>525</v>
      </c>
      <c r="G116" s="43"/>
    </row>
    <row r="117" spans="1:7" ht="17" thickBot="1" x14ac:dyDescent="0.25">
      <c r="A117" t="s">
        <v>81</v>
      </c>
      <c r="C117">
        <v>250</v>
      </c>
      <c r="G117" s="43"/>
    </row>
    <row r="118" spans="1:7" ht="17" thickBot="1" x14ac:dyDescent="0.25">
      <c r="A118" t="s">
        <v>82</v>
      </c>
      <c r="C118" s="7">
        <f>C116+C117</f>
        <v>775</v>
      </c>
      <c r="G118" s="43"/>
    </row>
    <row r="119" spans="1:7" x14ac:dyDescent="0.2">
      <c r="G119" s="43"/>
    </row>
    <row r="120" spans="1:7" x14ac:dyDescent="0.2">
      <c r="A120" s="1" t="s">
        <v>73</v>
      </c>
      <c r="G120" s="43"/>
    </row>
    <row r="121" spans="1:7" x14ac:dyDescent="0.2">
      <c r="B121" t="s">
        <v>84</v>
      </c>
      <c r="C121" t="s">
        <v>85</v>
      </c>
      <c r="D121" t="s">
        <v>86</v>
      </c>
      <c r="G121" s="43"/>
    </row>
    <row r="122" spans="1:7" x14ac:dyDescent="0.2">
      <c r="A122" s="15" t="s">
        <v>87</v>
      </c>
      <c r="B122" s="16">
        <v>1500</v>
      </c>
      <c r="C122" s="16">
        <v>600</v>
      </c>
      <c r="D122" s="15">
        <f>B122+C122</f>
        <v>2100</v>
      </c>
      <c r="G122" s="43" t="s">
        <v>139</v>
      </c>
    </row>
    <row r="123" spans="1:7" x14ac:dyDescent="0.2">
      <c r="A123" s="15" t="s">
        <v>88</v>
      </c>
      <c r="B123" s="16">
        <v>90</v>
      </c>
      <c r="C123" s="16">
        <v>90</v>
      </c>
      <c r="D123" s="24">
        <f>((B123+C123)/(1-C127))*(1-D127)</f>
        <v>180</v>
      </c>
      <c r="G123" s="43" t="s">
        <v>140</v>
      </c>
    </row>
    <row r="124" spans="1:7" x14ac:dyDescent="0.2">
      <c r="A124" s="15" t="s">
        <v>43</v>
      </c>
      <c r="B124" s="16">
        <v>900</v>
      </c>
      <c r="C124" s="16">
        <v>450</v>
      </c>
      <c r="D124" s="15">
        <f>B124+C124</f>
        <v>1350</v>
      </c>
      <c r="G124" s="43" t="s">
        <v>141</v>
      </c>
    </row>
    <row r="125" spans="1:7" x14ac:dyDescent="0.2">
      <c r="A125" s="15" t="s">
        <v>51</v>
      </c>
      <c r="B125" s="25">
        <v>0.03</v>
      </c>
      <c r="C125" s="25">
        <v>0.03</v>
      </c>
      <c r="D125" s="32">
        <v>0.04</v>
      </c>
      <c r="G125" s="43" t="s">
        <v>142</v>
      </c>
    </row>
    <row r="126" spans="1:7" x14ac:dyDescent="0.2">
      <c r="A126" s="26" t="s">
        <v>62</v>
      </c>
      <c r="B126" s="27">
        <v>0.09</v>
      </c>
      <c r="C126" s="27">
        <v>0.09</v>
      </c>
      <c r="D126" s="25">
        <v>0.09</v>
      </c>
      <c r="G126" s="43"/>
    </row>
    <row r="127" spans="1:7" x14ac:dyDescent="0.2">
      <c r="A127" s="15" t="s">
        <v>89</v>
      </c>
      <c r="B127" s="25">
        <v>0.25</v>
      </c>
      <c r="C127" s="25">
        <v>0.25</v>
      </c>
      <c r="D127" s="25">
        <v>0.25</v>
      </c>
      <c r="G127" s="43"/>
    </row>
    <row r="128" spans="1:7" x14ac:dyDescent="0.2">
      <c r="G128" s="43"/>
    </row>
    <row r="129" spans="1:7" x14ac:dyDescent="0.2">
      <c r="A129" s="15" t="s">
        <v>35</v>
      </c>
      <c r="B129" s="29">
        <f>B123/B124</f>
        <v>0.1</v>
      </c>
      <c r="C129" s="29">
        <f>C123/C124</f>
        <v>0.2</v>
      </c>
      <c r="D129" s="33">
        <f>D123/D124</f>
        <v>0.13333333333333333</v>
      </c>
      <c r="G129" s="43"/>
    </row>
    <row r="130" spans="1:7" ht="17" thickBot="1" x14ac:dyDescent="0.25">
      <c r="A130" s="15" t="s">
        <v>90</v>
      </c>
      <c r="B130" s="30">
        <f>B125/B129</f>
        <v>0.3</v>
      </c>
      <c r="C130" s="30">
        <f>C125/C129</f>
        <v>0.15</v>
      </c>
      <c r="D130" s="30">
        <f>D125/D129</f>
        <v>0.3</v>
      </c>
      <c r="F130" t="s">
        <v>91</v>
      </c>
      <c r="G130" s="43"/>
    </row>
    <row r="131" spans="1:7" ht="17" thickBot="1" x14ac:dyDescent="0.25">
      <c r="A131" s="15" t="s">
        <v>13</v>
      </c>
      <c r="B131" s="31">
        <f>B123*(1-B130)/(B126-B125)</f>
        <v>1050</v>
      </c>
      <c r="C131" s="31">
        <f>C123*(1-C130)/(C126-C125)</f>
        <v>1275</v>
      </c>
      <c r="D131" s="31">
        <f>D123*(1-D130)/(D126-D125)</f>
        <v>2520</v>
      </c>
      <c r="F131" s="28">
        <f>D131-B131-C131</f>
        <v>195</v>
      </c>
      <c r="G131" s="43"/>
    </row>
    <row r="132" spans="1:7" x14ac:dyDescent="0.2">
      <c r="G132" s="43"/>
    </row>
    <row r="133" spans="1:7" x14ac:dyDescent="0.2">
      <c r="A133" s="1" t="s">
        <v>83</v>
      </c>
      <c r="G133" s="43"/>
    </row>
    <row r="134" spans="1:7" x14ac:dyDescent="0.2">
      <c r="B134" t="s">
        <v>100</v>
      </c>
      <c r="D134" t="s">
        <v>101</v>
      </c>
      <c r="G134" s="43"/>
    </row>
    <row r="135" spans="1:7" x14ac:dyDescent="0.2">
      <c r="A135" t="s">
        <v>93</v>
      </c>
      <c r="B135" s="34">
        <v>50</v>
      </c>
      <c r="C135" s="34"/>
      <c r="G135" s="43" t="s">
        <v>143</v>
      </c>
    </row>
    <row r="136" spans="1:7" x14ac:dyDescent="0.2">
      <c r="A136" t="s">
        <v>19</v>
      </c>
      <c r="B136" s="2">
        <v>0.09</v>
      </c>
      <c r="C136" s="2" t="s">
        <v>99</v>
      </c>
      <c r="D136" s="34">
        <v>1000</v>
      </c>
      <c r="G136" s="43" t="s">
        <v>144</v>
      </c>
    </row>
    <row r="137" spans="1:7" x14ac:dyDescent="0.2">
      <c r="A137" t="s">
        <v>103</v>
      </c>
      <c r="B137" s="19">
        <v>10</v>
      </c>
      <c r="C137" t="s">
        <v>92</v>
      </c>
      <c r="D137" s="2">
        <v>0.04</v>
      </c>
      <c r="G137" s="43" t="s">
        <v>145</v>
      </c>
    </row>
    <row r="138" spans="1:7" x14ac:dyDescent="0.2">
      <c r="B138" s="2"/>
      <c r="C138" t="s">
        <v>102</v>
      </c>
      <c r="D138">
        <v>15</v>
      </c>
      <c r="G138" s="43" t="s">
        <v>146</v>
      </c>
    </row>
    <row r="139" spans="1:7" x14ac:dyDescent="0.2">
      <c r="A139" t="s">
        <v>94</v>
      </c>
      <c r="B139">
        <v>1.0066999999999999</v>
      </c>
      <c r="C139" t="s">
        <v>95</v>
      </c>
      <c r="D139" s="18">
        <v>0.84299999999999997</v>
      </c>
      <c r="G139" s="43"/>
    </row>
    <row r="140" spans="1:7" x14ac:dyDescent="0.2">
      <c r="A140" t="s">
        <v>96</v>
      </c>
      <c r="B140">
        <v>-0.1552</v>
      </c>
      <c r="C140" t="s">
        <v>97</v>
      </c>
      <c r="D140" s="18">
        <v>0.43830000000000002</v>
      </c>
      <c r="G140" s="43"/>
    </row>
    <row r="141" spans="1:7" x14ac:dyDescent="0.2">
      <c r="G141" s="43"/>
    </row>
    <row r="142" spans="1:7" x14ac:dyDescent="0.2">
      <c r="A142" t="s">
        <v>106</v>
      </c>
      <c r="B142" s="35">
        <f>B135*(1-(1+B136)^(-B137))/B136</f>
        <v>320.8828850579506</v>
      </c>
      <c r="G142" s="43"/>
    </row>
    <row r="143" spans="1:7" x14ac:dyDescent="0.2">
      <c r="A143" t="s">
        <v>98</v>
      </c>
      <c r="B143" s="36">
        <f>B142+518</f>
        <v>838.8828850579506</v>
      </c>
      <c r="G143" s="43"/>
    </row>
    <row r="144" spans="1:7" x14ac:dyDescent="0.2">
      <c r="A144" t="s">
        <v>107</v>
      </c>
      <c r="B144" s="36">
        <f>B143-B142</f>
        <v>518</v>
      </c>
      <c r="G144" s="43"/>
    </row>
    <row r="145" spans="1:7" x14ac:dyDescent="0.2">
      <c r="G145" s="43"/>
    </row>
    <row r="146" spans="1:7" x14ac:dyDescent="0.2">
      <c r="A146" t="s">
        <v>108</v>
      </c>
      <c r="G146" s="43"/>
    </row>
    <row r="147" spans="1:7" x14ac:dyDescent="0.2">
      <c r="A147" t="s">
        <v>147</v>
      </c>
      <c r="G147" s="43"/>
    </row>
    <row r="148" spans="1:7" ht="17" thickBot="1" x14ac:dyDescent="0.25">
      <c r="A148" t="s">
        <v>104</v>
      </c>
      <c r="B148" s="36">
        <f>(B144+D136*EXP(-0.04*15)*D140)/D139</f>
        <v>899.81511281140183</v>
      </c>
      <c r="D148" s="36"/>
      <c r="G148" s="43"/>
    </row>
    <row r="149" spans="1:7" ht="17" thickBot="1" x14ac:dyDescent="0.25">
      <c r="A149" t="s">
        <v>105</v>
      </c>
      <c r="B149" s="37">
        <f>B148-D136</f>
        <v>-100.18488718859817</v>
      </c>
      <c r="G149" s="43"/>
    </row>
  </sheetData>
  <pageMargins left="0.7" right="0.7" top="0.75" bottom="0.75" header="0.3" footer="0.3"/>
  <pageSetup scale="57" fitToHeight="2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2025-05-12T22:46:20Z</cp:lastPrinted>
  <dcterms:created xsi:type="dcterms:W3CDTF">2025-04-19T19:59:37Z</dcterms:created>
  <dcterms:modified xsi:type="dcterms:W3CDTF">2025-05-15T14:53:22Z</dcterms:modified>
</cp:coreProperties>
</file>