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-75" yWindow="-105" windowWidth="12240" windowHeight="9240" tabRatio="920" activeTab="3"/>
  </bookViews>
  <sheets>
    <sheet name="InputsAssumptions" sheetId="14" r:id="rId1"/>
    <sheet name="Juran Main Model Sheet" sheetId="9" r:id="rId2"/>
    <sheet name="Zucker Main Model Sheet " sheetId="16" r:id="rId3"/>
    <sheet name="Scaling Ratings Data" sheetId="13" r:id="rId4"/>
    <sheet name="Crystal Ball Results" sheetId="11" r:id="rId5"/>
    <sheet name="Leno Average Rating Data" sheetId="8" r:id="rId6"/>
    <sheet name="NBC Average Drama Ratings Data" sheetId="7" r:id="rId7"/>
    <sheet name="2009 Raw Data" sheetId="1" r:id="rId8"/>
    <sheet name="2008 Raw Data" sheetId="2" r:id="rId9"/>
  </sheets>
  <definedNames>
    <definedName name="_xlnm._FilterDatabase" localSheetId="5" hidden="1">'Leno Average Rating Data'!$A$1:$F$41</definedName>
    <definedName name="_xlnm._FilterDatabase" localSheetId="3" hidden="1">'Scaling Ratings Data'!$A$1:$H$50</definedName>
    <definedName name="solver_adj" localSheetId="1" hidden="1">'Juran Main Model Sheet'!$C$118:$G$123</definedName>
    <definedName name="solver_adj" localSheetId="2" hidden="1">'Zucker Main Model Sheet '!$C$118:$G$123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2</definedName>
    <definedName name="solver_eng" localSheetId="2" hidden="1">2</definedName>
    <definedName name="solver_est" localSheetId="1" hidden="1">1</definedName>
    <definedName name="solver_est" localSheetId="2" hidden="1">1</definedName>
    <definedName name="solver_ibd" localSheetId="1" hidden="1">2</definedName>
    <definedName name="solver_ibd" localSheetId="2" hidden="1">2</definedName>
    <definedName name="solver_itr" localSheetId="1" hidden="1">100</definedName>
    <definedName name="solver_itr" localSheetId="2" hidden="1">100</definedName>
    <definedName name="solver_lhs1" localSheetId="1" hidden="1">'Juran Main Model Sheet'!$C$124:$G$124</definedName>
    <definedName name="solver_lhs1" localSheetId="2" hidden="1">'Zucker Main Model Sheet '!$C$124:$G$124</definedName>
    <definedName name="solver_lhs2" localSheetId="1" hidden="1">'Juran Main Model Sheet'!$H$118:$H$123</definedName>
    <definedName name="solver_lhs2" localSheetId="2" hidden="1">'Zucker Main Model Sheet '!$H$118:$H$123</definedName>
    <definedName name="solver_lhs3" localSheetId="1" hidden="1">'Juran Main Model Sheet'!$H$123</definedName>
    <definedName name="solver_lhs3" localSheetId="2" hidden="1">'Zucker Main Model Sheet '!$H$123</definedName>
    <definedName name="solver_lin" localSheetId="1" hidden="1">1</definedName>
    <definedName name="solver_lin" localSheetId="2" hidden="1">1</definedName>
    <definedName name="solver_lva" localSheetId="1" hidden="1">2</definedName>
    <definedName name="solver_lva" localSheetId="2" hidden="1">2</definedName>
    <definedName name="solver_mip" localSheetId="1" hidden="1">5000</definedName>
    <definedName name="solver_mip" localSheetId="2" hidden="1">5000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neg" localSheetId="1" hidden="1">1</definedName>
    <definedName name="solver_neg" localSheetId="2" hidden="1">1</definedName>
    <definedName name="solver_nod" localSheetId="1" hidden="1">5000</definedName>
    <definedName name="solver_nod" localSheetId="2" hidden="1">5000</definedName>
    <definedName name="solver_num" localSheetId="1" hidden="1">2</definedName>
    <definedName name="solver_num" localSheetId="2" hidden="1">2</definedName>
    <definedName name="solver_nwt" localSheetId="1" hidden="1">1</definedName>
    <definedName name="solver_nwt" localSheetId="2" hidden="1">1</definedName>
    <definedName name="solver_ofx" localSheetId="1" hidden="1">2</definedName>
    <definedName name="solver_ofx" localSheetId="2" hidden="1">2</definedName>
    <definedName name="solver_opt" localSheetId="1" hidden="1">'Juran Main Model Sheet'!$C$128</definedName>
    <definedName name="solver_opt" localSheetId="2" hidden="1">'Zucker Main Model Sheet '!$C$128</definedName>
    <definedName name="solver_piv" localSheetId="1" hidden="1">0.000001</definedName>
    <definedName name="solver_piv" localSheetId="2" hidden="1">0.000001</definedName>
    <definedName name="solver_pre" localSheetId="1" hidden="1">0.000001</definedName>
    <definedName name="solver_pre" localSheetId="2" hidden="1">0.000001</definedName>
    <definedName name="solver_pro" localSheetId="1" hidden="1">2</definedName>
    <definedName name="solver_pro" localSheetId="2" hidden="1">2</definedName>
    <definedName name="solver_rbv" localSheetId="1" hidden="1">1</definedName>
    <definedName name="solver_rbv" localSheetId="2" hidden="1">1</definedName>
    <definedName name="solver_red" localSheetId="1" hidden="1">0.000001</definedName>
    <definedName name="solver_red" localSheetId="2" hidden="1">0.000001</definedName>
    <definedName name="solver_rel1" localSheetId="1" hidden="1">2</definedName>
    <definedName name="solver_rel1" localSheetId="2" hidden="1">2</definedName>
    <definedName name="solver_rel2" localSheetId="1" hidden="1">1</definedName>
    <definedName name="solver_rel2" localSheetId="2" hidden="1">1</definedName>
    <definedName name="solver_rel3" localSheetId="1" hidden="1">1</definedName>
    <definedName name="solver_rel3" localSheetId="2" hidden="1">1</definedName>
    <definedName name="solver_reo" localSheetId="1" hidden="1">2</definedName>
    <definedName name="solver_reo" localSheetId="2" hidden="1">2</definedName>
    <definedName name="solver_rep" localSheetId="1" hidden="1">2</definedName>
    <definedName name="solver_rep" localSheetId="2" hidden="1">2</definedName>
    <definedName name="solver_rhs1" localSheetId="1" hidden="1">'Juran Main Model Sheet'!$C$126:$G$126</definedName>
    <definedName name="solver_rhs1" localSheetId="2" hidden="1">'Zucker Main Model Sheet '!$C$126:$G$126</definedName>
    <definedName name="solver_rhs2" localSheetId="1" hidden="1">'Juran Main Model Sheet'!$J$118:$J$123</definedName>
    <definedName name="solver_rhs2" localSheetId="2" hidden="1">'Zucker Main Model Sheet '!$J$118:$J$123</definedName>
    <definedName name="solver_rhs3" localSheetId="1" hidden="1">5</definedName>
    <definedName name="solver_rhs3" localSheetId="2" hidden="1">5</definedName>
    <definedName name="solver_rlx" localSheetId="1" hidden="1">2</definedName>
    <definedName name="solver_rlx" localSheetId="2" hidden="1">2</definedName>
    <definedName name="solver_scl" localSheetId="1" hidden="1">2</definedName>
    <definedName name="solver_scl" localSheetId="2" hidden="1">2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std" localSheetId="1" hidden="1">1</definedName>
    <definedName name="solver_std" localSheetId="2" hidden="1">1</definedName>
    <definedName name="solver_tim" localSheetId="1" hidden="1">100</definedName>
    <definedName name="solver_tim" localSheetId="2" hidden="1">100</definedName>
    <definedName name="solver_tol" localSheetId="1" hidden="1">0.05</definedName>
    <definedName name="solver_tol" localSheetId="2" hidden="1">0.05</definedName>
    <definedName name="solver_typ" localSheetId="1" hidden="1">1</definedName>
    <definedName name="solver_typ" localSheetId="2" hidden="1">1</definedName>
    <definedName name="solver_val" localSheetId="1" hidden="1">0</definedName>
    <definedName name="solver_val" localSheetId="2" hidden="1">0</definedName>
    <definedName name="solver_ver" localSheetId="1" hidden="1">2</definedName>
    <definedName name="solver_ver" localSheetId="2" hidden="1">2</definedName>
  </definedNames>
  <calcPr calcId="125725"/>
  <fileRecoveryPr repairLoad="1"/>
</workbook>
</file>

<file path=xl/calcChain.xml><?xml version="1.0" encoding="utf-8"?>
<calcChain xmlns="http://schemas.openxmlformats.org/spreadsheetml/2006/main">
  <c r="K20" i="2"/>
  <c r="M20"/>
  <c r="K19"/>
  <c r="M19"/>
  <c r="K18"/>
  <c r="M18"/>
  <c r="K17"/>
  <c r="M17"/>
  <c r="K16"/>
  <c r="M16"/>
  <c r="K15"/>
  <c r="M15"/>
  <c r="K14"/>
  <c r="M14"/>
  <c r="K13"/>
  <c r="M13"/>
  <c r="K12"/>
  <c r="M12"/>
  <c r="K11"/>
  <c r="M11"/>
  <c r="K10"/>
  <c r="M10"/>
  <c r="K9"/>
  <c r="M9"/>
  <c r="K8"/>
  <c r="M8"/>
  <c r="K7"/>
  <c r="M7"/>
  <c r="K6"/>
  <c r="M6"/>
  <c r="K5"/>
  <c r="M5"/>
  <c r="K4"/>
  <c r="M4"/>
  <c r="K3"/>
  <c r="M3"/>
  <c r="K2"/>
  <c r="M2"/>
  <c r="M7" i="1"/>
  <c r="N7"/>
  <c r="O7"/>
  <c r="P7"/>
  <c r="M8"/>
  <c r="O8"/>
  <c r="P8" s="1"/>
  <c r="O12"/>
  <c r="O11"/>
  <c r="O10"/>
  <c r="O9"/>
  <c r="O6"/>
  <c r="O5"/>
  <c r="O4"/>
  <c r="O3"/>
  <c r="O2"/>
  <c r="L2"/>
  <c r="M2" s="1"/>
  <c r="P2" s="1"/>
  <c r="M18"/>
  <c r="M17"/>
  <c r="M16"/>
  <c r="M15"/>
  <c r="M14"/>
  <c r="M12"/>
  <c r="P12" s="1"/>
  <c r="M11"/>
  <c r="P11" s="1"/>
  <c r="M10"/>
  <c r="M9"/>
  <c r="M5"/>
  <c r="M4"/>
  <c r="P4"/>
  <c r="M3"/>
  <c r="M6"/>
  <c r="P6" s="1"/>
  <c r="P3"/>
  <c r="P5"/>
  <c r="P9"/>
  <c r="P10"/>
  <c r="L38" i="9"/>
  <c r="G71" s="1"/>
  <c r="G104" s="1"/>
  <c r="M38"/>
  <c r="N38"/>
  <c r="O38"/>
  <c r="H66" s="1"/>
  <c r="H99" s="1"/>
  <c r="P38"/>
  <c r="Q38"/>
  <c r="L39"/>
  <c r="G67" s="1"/>
  <c r="G100" s="1"/>
  <c r="M39"/>
  <c r="N39"/>
  <c r="O39"/>
  <c r="H72" s="1"/>
  <c r="H105" s="1"/>
  <c r="P39"/>
  <c r="Q39"/>
  <c r="L40"/>
  <c r="G73" s="1"/>
  <c r="G106" s="1"/>
  <c r="M40"/>
  <c r="N40"/>
  <c r="O40"/>
  <c r="H68" s="1"/>
  <c r="H101" s="1"/>
  <c r="P40"/>
  <c r="Q40"/>
  <c r="L41"/>
  <c r="G69" s="1"/>
  <c r="G102" s="1"/>
  <c r="M41"/>
  <c r="N41"/>
  <c r="O41"/>
  <c r="P41"/>
  <c r="Q41"/>
  <c r="Q37"/>
  <c r="N37"/>
  <c r="P37"/>
  <c r="O37"/>
  <c r="H65" s="1"/>
  <c r="H98" s="1"/>
  <c r="M37"/>
  <c r="L37"/>
  <c r="G60" s="1"/>
  <c r="G93" s="1"/>
  <c r="J38"/>
  <c r="E66" s="1"/>
  <c r="E99" s="1"/>
  <c r="K38"/>
  <c r="J39"/>
  <c r="E72" s="1"/>
  <c r="E105" s="1"/>
  <c r="K39"/>
  <c r="J40"/>
  <c r="E68" s="1"/>
  <c r="E101" s="1"/>
  <c r="K40"/>
  <c r="J41"/>
  <c r="E74" s="1"/>
  <c r="E107" s="1"/>
  <c r="K41"/>
  <c r="K37"/>
  <c r="J37"/>
  <c r="E70" s="1"/>
  <c r="E103" s="1"/>
  <c r="C2"/>
  <c r="C26"/>
  <c r="C20"/>
  <c r="C14"/>
  <c r="C8"/>
  <c r="G124"/>
  <c r="F124"/>
  <c r="E124"/>
  <c r="D124"/>
  <c r="C124"/>
  <c r="H123"/>
  <c r="H122"/>
  <c r="H121"/>
  <c r="H120"/>
  <c r="H119"/>
  <c r="H118"/>
  <c r="E28"/>
  <c r="E29"/>
  <c r="F29" s="1"/>
  <c r="E30"/>
  <c r="F30" s="1"/>
  <c r="E31"/>
  <c r="F31" s="1"/>
  <c r="E27"/>
  <c r="F27" s="1"/>
  <c r="I27" s="1"/>
  <c r="H27"/>
  <c r="H18"/>
  <c r="H19"/>
  <c r="H20"/>
  <c r="H21"/>
  <c r="H7"/>
  <c r="H8"/>
  <c r="H9"/>
  <c r="H10"/>
  <c r="H11"/>
  <c r="H22"/>
  <c r="H23"/>
  <c r="H24"/>
  <c r="H25"/>
  <c r="H26"/>
  <c r="H12"/>
  <c r="H13"/>
  <c r="H14"/>
  <c r="H15"/>
  <c r="H16"/>
  <c r="H2"/>
  <c r="H3"/>
  <c r="H4"/>
  <c r="H5"/>
  <c r="H6"/>
  <c r="E2"/>
  <c r="F2" s="1"/>
  <c r="I2" s="1"/>
  <c r="E14"/>
  <c r="F14" s="1"/>
  <c r="I14" s="1"/>
  <c r="E26"/>
  <c r="E8"/>
  <c r="F8"/>
  <c r="I8" s="1"/>
  <c r="E20"/>
  <c r="F20" s="1"/>
  <c r="I20" s="1"/>
  <c r="F26"/>
  <c r="I26" s="1"/>
  <c r="F28"/>
  <c r="H17"/>
  <c r="H30"/>
  <c r="H29"/>
  <c r="H28"/>
  <c r="H31"/>
  <c r="L7" i="8"/>
  <c r="L6"/>
  <c r="L5"/>
  <c r="L4"/>
  <c r="L3"/>
  <c r="K7"/>
  <c r="K6"/>
  <c r="K5"/>
  <c r="K4"/>
  <c r="K3"/>
  <c r="I7"/>
  <c r="C31" i="9" s="1"/>
  <c r="D31" s="1"/>
  <c r="J7" i="8"/>
  <c r="I6"/>
  <c r="C30" i="9" s="1"/>
  <c r="D30" s="1"/>
  <c r="J6" i="8"/>
  <c r="I5"/>
  <c r="C29" i="9" s="1"/>
  <c r="D29" s="1"/>
  <c r="J5" i="8"/>
  <c r="I4"/>
  <c r="C28" i="9" s="1"/>
  <c r="D28" s="1"/>
  <c r="J4" i="8"/>
  <c r="I3"/>
  <c r="C27" i="9" s="1"/>
  <c r="D27" s="1"/>
  <c r="J3" i="8"/>
  <c r="I7" i="7"/>
  <c r="J7"/>
  <c r="I6"/>
  <c r="J6"/>
  <c r="I5"/>
  <c r="J5" s="1"/>
  <c r="I4"/>
  <c r="J4" s="1"/>
  <c r="I3"/>
  <c r="J3" s="1"/>
  <c r="M7"/>
  <c r="M6"/>
  <c r="M5"/>
  <c r="M4"/>
  <c r="M3"/>
  <c r="L7"/>
  <c r="L6"/>
  <c r="L5"/>
  <c r="L4"/>
  <c r="L3"/>
  <c r="K6"/>
  <c r="K7"/>
  <c r="K5"/>
  <c r="K4"/>
  <c r="K3"/>
  <c r="K51" i="13"/>
  <c r="G51"/>
  <c r="D51"/>
  <c r="L51"/>
  <c r="N7" s="1"/>
  <c r="K21"/>
  <c r="G21"/>
  <c r="D21"/>
  <c r="L21" s="1"/>
  <c r="N4" s="1"/>
  <c r="K41"/>
  <c r="G41"/>
  <c r="D41"/>
  <c r="L41" s="1"/>
  <c r="N6" s="1"/>
  <c r="K31"/>
  <c r="G31"/>
  <c r="D31"/>
  <c r="L31"/>
  <c r="N5" s="1"/>
  <c r="K11"/>
  <c r="L11" s="1"/>
  <c r="N3" s="1"/>
  <c r="G11"/>
  <c r="D11"/>
  <c r="J51"/>
  <c r="I51"/>
  <c r="H51"/>
  <c r="F51"/>
  <c r="E51"/>
  <c r="J41"/>
  <c r="I41"/>
  <c r="H41"/>
  <c r="F41"/>
  <c r="E41"/>
  <c r="J31"/>
  <c r="I31"/>
  <c r="H31"/>
  <c r="F31"/>
  <c r="E31"/>
  <c r="E21"/>
  <c r="F21"/>
  <c r="H21"/>
  <c r="I21"/>
  <c r="J21"/>
  <c r="E11"/>
  <c r="F11"/>
  <c r="H11"/>
  <c r="I11"/>
  <c r="J11"/>
  <c r="Q41" i="16"/>
  <c r="P41"/>
  <c r="O41"/>
  <c r="N41"/>
  <c r="M41"/>
  <c r="L41"/>
  <c r="G74" s="1"/>
  <c r="G107" s="1"/>
  <c r="K41"/>
  <c r="J41"/>
  <c r="E74" s="1"/>
  <c r="E107" s="1"/>
  <c r="Q40"/>
  <c r="P40"/>
  <c r="O40"/>
  <c r="H73" s="1"/>
  <c r="N40"/>
  <c r="M40"/>
  <c r="L40"/>
  <c r="G68" s="1"/>
  <c r="G101" s="1"/>
  <c r="K40"/>
  <c r="J40"/>
  <c r="E68" s="1"/>
  <c r="E101" s="1"/>
  <c r="Q39"/>
  <c r="P39"/>
  <c r="O39"/>
  <c r="H67" s="1"/>
  <c r="N39"/>
  <c r="M39"/>
  <c r="L39"/>
  <c r="G72" s="1"/>
  <c r="G105" s="1"/>
  <c r="K39"/>
  <c r="J39"/>
  <c r="E72" s="1"/>
  <c r="E105" s="1"/>
  <c r="Q38"/>
  <c r="P38"/>
  <c r="O38"/>
  <c r="H71" s="1"/>
  <c r="N38"/>
  <c r="M38"/>
  <c r="L38"/>
  <c r="G66" s="1"/>
  <c r="G99" s="1"/>
  <c r="K38"/>
  <c r="J38"/>
  <c r="E66" s="1"/>
  <c r="E99" s="1"/>
  <c r="Q37"/>
  <c r="P37"/>
  <c r="O37"/>
  <c r="H65" s="1"/>
  <c r="N37"/>
  <c r="M37"/>
  <c r="L37"/>
  <c r="G70" s="1"/>
  <c r="G103" s="1"/>
  <c r="K37"/>
  <c r="J37"/>
  <c r="E70" s="1"/>
  <c r="E103" s="1"/>
  <c r="C26"/>
  <c r="C8"/>
  <c r="G124"/>
  <c r="F124"/>
  <c r="E124"/>
  <c r="D124"/>
  <c r="C124"/>
  <c r="H123"/>
  <c r="H122"/>
  <c r="H121"/>
  <c r="H120"/>
  <c r="H119"/>
  <c r="H118"/>
  <c r="H31"/>
  <c r="E31"/>
  <c r="F31" s="1"/>
  <c r="I31" s="1"/>
  <c r="C31"/>
  <c r="D31" s="1"/>
  <c r="H30"/>
  <c r="E30"/>
  <c r="F30" s="1"/>
  <c r="I30" s="1"/>
  <c r="C30"/>
  <c r="D30" s="1"/>
  <c r="H29"/>
  <c r="E29"/>
  <c r="F29" s="1"/>
  <c r="I29" s="1"/>
  <c r="C29"/>
  <c r="D29" s="1"/>
  <c r="H28"/>
  <c r="E28"/>
  <c r="F28" s="1"/>
  <c r="I28" s="1"/>
  <c r="C28"/>
  <c r="D28" s="1"/>
  <c r="H27"/>
  <c r="E27"/>
  <c r="F27" s="1"/>
  <c r="I27" s="1"/>
  <c r="C27"/>
  <c r="D27" s="1"/>
  <c r="N27" s="1"/>
  <c r="H26"/>
  <c r="E26"/>
  <c r="F26" s="1"/>
  <c r="I26" s="1"/>
  <c r="H25"/>
  <c r="H24"/>
  <c r="H23"/>
  <c r="H22"/>
  <c r="H21"/>
  <c r="H20"/>
  <c r="E20"/>
  <c r="C20"/>
  <c r="H19"/>
  <c r="H18"/>
  <c r="H17"/>
  <c r="H16"/>
  <c r="C14"/>
  <c r="H15"/>
  <c r="H14"/>
  <c r="E14"/>
  <c r="F14" s="1"/>
  <c r="I14" s="1"/>
  <c r="H13"/>
  <c r="H12"/>
  <c r="H11"/>
  <c r="H10"/>
  <c r="H9"/>
  <c r="H8"/>
  <c r="E8"/>
  <c r="F8" s="1"/>
  <c r="I8" s="1"/>
  <c r="H7"/>
  <c r="H6"/>
  <c r="H5"/>
  <c r="H4"/>
  <c r="H3"/>
  <c r="H2"/>
  <c r="E2"/>
  <c r="F2" s="1"/>
  <c r="I2" s="1"/>
  <c r="C2"/>
  <c r="F20"/>
  <c r="I20" s="1"/>
  <c r="H104"/>
  <c r="H106"/>
  <c r="H98"/>
  <c r="H100"/>
  <c r="N29" l="1"/>
  <c r="K29"/>
  <c r="N28"/>
  <c r="K28"/>
  <c r="N31"/>
  <c r="K31"/>
  <c r="N30"/>
  <c r="K30"/>
  <c r="K27"/>
  <c r="I31" i="9"/>
  <c r="I29"/>
  <c r="I28"/>
  <c r="I30"/>
  <c r="S3" i="13"/>
  <c r="R3"/>
  <c r="T3"/>
  <c r="Q3"/>
  <c r="P3"/>
  <c r="T4"/>
  <c r="Q4"/>
  <c r="R4"/>
  <c r="S4"/>
  <c r="P4"/>
  <c r="I70" i="16"/>
  <c r="I103" s="1"/>
  <c r="I72"/>
  <c r="I105" s="1"/>
  <c r="I74"/>
  <c r="I107" s="1"/>
  <c r="S5" i="13"/>
  <c r="Q5"/>
  <c r="R5"/>
  <c r="T5"/>
  <c r="P5"/>
  <c r="T6"/>
  <c r="Q6"/>
  <c r="S6"/>
  <c r="R6"/>
  <c r="P6"/>
  <c r="T7"/>
  <c r="P7"/>
  <c r="R7"/>
  <c r="Q7"/>
  <c r="S7"/>
  <c r="M27" i="16"/>
  <c r="M28"/>
  <c r="M29"/>
  <c r="M30"/>
  <c r="M31"/>
  <c r="E45"/>
  <c r="E78" s="1"/>
  <c r="E47"/>
  <c r="E80" s="1"/>
  <c r="E49"/>
  <c r="E82" s="1"/>
  <c r="E51"/>
  <c r="E84" s="1"/>
  <c r="E53"/>
  <c r="E86" s="1"/>
  <c r="E55"/>
  <c r="E88" s="1"/>
  <c r="E57"/>
  <c r="E90" s="1"/>
  <c r="E59"/>
  <c r="E92" s="1"/>
  <c r="E61"/>
  <c r="E94" s="1"/>
  <c r="E63"/>
  <c r="E96" s="1"/>
  <c r="E65"/>
  <c r="E98" s="1"/>
  <c r="E67"/>
  <c r="E100" s="1"/>
  <c r="E69"/>
  <c r="E102" s="1"/>
  <c r="E71"/>
  <c r="E104" s="1"/>
  <c r="E73"/>
  <c r="E106" s="1"/>
  <c r="G45"/>
  <c r="G78" s="1"/>
  <c r="H46"/>
  <c r="H79" s="1"/>
  <c r="G47"/>
  <c r="G80" s="1"/>
  <c r="H48"/>
  <c r="H81" s="1"/>
  <c r="G49"/>
  <c r="G82" s="1"/>
  <c r="H50"/>
  <c r="H83" s="1"/>
  <c r="G51"/>
  <c r="G84" s="1"/>
  <c r="H52"/>
  <c r="H85" s="1"/>
  <c r="G53"/>
  <c r="G86" s="1"/>
  <c r="G55"/>
  <c r="G88" s="1"/>
  <c r="H56"/>
  <c r="H89" s="1"/>
  <c r="G57"/>
  <c r="G90" s="1"/>
  <c r="H58"/>
  <c r="H91" s="1"/>
  <c r="G59"/>
  <c r="G92" s="1"/>
  <c r="H60"/>
  <c r="H93" s="1"/>
  <c r="G61"/>
  <c r="G94" s="1"/>
  <c r="H62"/>
  <c r="H95" s="1"/>
  <c r="G63"/>
  <c r="G96" s="1"/>
  <c r="G65"/>
  <c r="G98" s="1"/>
  <c r="H66"/>
  <c r="H99" s="1"/>
  <c r="G67"/>
  <c r="G100" s="1"/>
  <c r="H68"/>
  <c r="H101" s="1"/>
  <c r="G69"/>
  <c r="G102" s="1"/>
  <c r="H70"/>
  <c r="H103" s="1"/>
  <c r="G71"/>
  <c r="G104" s="1"/>
  <c r="I71"/>
  <c r="I104" s="1"/>
  <c r="H72"/>
  <c r="H105" s="1"/>
  <c r="G73"/>
  <c r="G106" s="1"/>
  <c r="I73"/>
  <c r="I106" s="1"/>
  <c r="H74"/>
  <c r="H107" s="1"/>
  <c r="M27" i="9"/>
  <c r="N27"/>
  <c r="K27"/>
  <c r="M28"/>
  <c r="N28"/>
  <c r="K28"/>
  <c r="M29"/>
  <c r="N29"/>
  <c r="K29"/>
  <c r="M30"/>
  <c r="N30"/>
  <c r="K30"/>
  <c r="M31"/>
  <c r="N31"/>
  <c r="K31"/>
  <c r="E46" i="16"/>
  <c r="E79" s="1"/>
  <c r="E48"/>
  <c r="E81" s="1"/>
  <c r="E50"/>
  <c r="E83" s="1"/>
  <c r="E52"/>
  <c r="E85" s="1"/>
  <c r="E54"/>
  <c r="E87" s="1"/>
  <c r="E56"/>
  <c r="E89" s="1"/>
  <c r="E58"/>
  <c r="E91" s="1"/>
  <c r="E60"/>
  <c r="E93" s="1"/>
  <c r="E62"/>
  <c r="E95" s="1"/>
  <c r="E64"/>
  <c r="E97" s="1"/>
  <c r="H45"/>
  <c r="H78" s="1"/>
  <c r="G46"/>
  <c r="G79" s="1"/>
  <c r="H47"/>
  <c r="H80" s="1"/>
  <c r="G48"/>
  <c r="G81" s="1"/>
  <c r="G50"/>
  <c r="G83" s="1"/>
  <c r="H51"/>
  <c r="H84" s="1"/>
  <c r="G52"/>
  <c r="G85" s="1"/>
  <c r="H53"/>
  <c r="H86" s="1"/>
  <c r="G54"/>
  <c r="G87" s="1"/>
  <c r="H55"/>
  <c r="H88" s="1"/>
  <c r="G56"/>
  <c r="G89" s="1"/>
  <c r="H57"/>
  <c r="H90" s="1"/>
  <c r="G58"/>
  <c r="G91" s="1"/>
  <c r="G60"/>
  <c r="G93" s="1"/>
  <c r="H61"/>
  <c r="H94" s="1"/>
  <c r="G62"/>
  <c r="G95" s="1"/>
  <c r="H63"/>
  <c r="H96" s="1"/>
  <c r="G64"/>
  <c r="G97" s="1"/>
  <c r="H74" i="9"/>
  <c r="H107" s="1"/>
  <c r="I73"/>
  <c r="I106" s="1"/>
  <c r="I71"/>
  <c r="I104" s="1"/>
  <c r="E45"/>
  <c r="E78" s="1"/>
  <c r="E47"/>
  <c r="E80" s="1"/>
  <c r="E49"/>
  <c r="E82" s="1"/>
  <c r="E51"/>
  <c r="E84" s="1"/>
  <c r="E53"/>
  <c r="E86" s="1"/>
  <c r="E55"/>
  <c r="E88" s="1"/>
  <c r="E57"/>
  <c r="E90" s="1"/>
  <c r="E59"/>
  <c r="E92" s="1"/>
  <c r="E61"/>
  <c r="E94" s="1"/>
  <c r="E63"/>
  <c r="E96" s="1"/>
  <c r="E65"/>
  <c r="E98" s="1"/>
  <c r="E67"/>
  <c r="E100" s="1"/>
  <c r="E69"/>
  <c r="E102" s="1"/>
  <c r="E71"/>
  <c r="E104" s="1"/>
  <c r="E73"/>
  <c r="E106" s="1"/>
  <c r="G45"/>
  <c r="G78" s="1"/>
  <c r="G47"/>
  <c r="G80" s="1"/>
  <c r="G49"/>
  <c r="G82" s="1"/>
  <c r="H46"/>
  <c r="H79" s="1"/>
  <c r="H48"/>
  <c r="H81" s="1"/>
  <c r="H50"/>
  <c r="H83" s="1"/>
  <c r="G51"/>
  <c r="G84" s="1"/>
  <c r="H52"/>
  <c r="H85" s="1"/>
  <c r="G53"/>
  <c r="G86" s="1"/>
  <c r="G55"/>
  <c r="G88" s="1"/>
  <c r="H56"/>
  <c r="H89" s="1"/>
  <c r="G57"/>
  <c r="G90" s="1"/>
  <c r="H58"/>
  <c r="H91" s="1"/>
  <c r="G59"/>
  <c r="G92" s="1"/>
  <c r="H60"/>
  <c r="H93" s="1"/>
  <c r="G61"/>
  <c r="G94" s="1"/>
  <c r="H62"/>
  <c r="H95" s="1"/>
  <c r="G63"/>
  <c r="G96" s="1"/>
  <c r="G65"/>
  <c r="G98" s="1"/>
  <c r="G66"/>
  <c r="G99" s="1"/>
  <c r="H67"/>
  <c r="H100" s="1"/>
  <c r="G68"/>
  <c r="G101" s="1"/>
  <c r="G70"/>
  <c r="G103" s="1"/>
  <c r="I70"/>
  <c r="I103" s="1"/>
  <c r="H71"/>
  <c r="H104" s="1"/>
  <c r="G72"/>
  <c r="G105" s="1"/>
  <c r="I72"/>
  <c r="I105" s="1"/>
  <c r="H73"/>
  <c r="H106" s="1"/>
  <c r="G74"/>
  <c r="G107" s="1"/>
  <c r="I74"/>
  <c r="I107" s="1"/>
  <c r="E46"/>
  <c r="E79" s="1"/>
  <c r="E48"/>
  <c r="E81" s="1"/>
  <c r="E50"/>
  <c r="E83" s="1"/>
  <c r="E52"/>
  <c r="E85" s="1"/>
  <c r="E54"/>
  <c r="E87" s="1"/>
  <c r="E56"/>
  <c r="E89" s="1"/>
  <c r="E58"/>
  <c r="E91" s="1"/>
  <c r="E60"/>
  <c r="E93" s="1"/>
  <c r="E62"/>
  <c r="E95" s="1"/>
  <c r="E64"/>
  <c r="E97" s="1"/>
  <c r="G46"/>
  <c r="G79" s="1"/>
  <c r="G48"/>
  <c r="G81" s="1"/>
  <c r="H45"/>
  <c r="H78" s="1"/>
  <c r="H47"/>
  <c r="H80" s="1"/>
  <c r="G50"/>
  <c r="G83" s="1"/>
  <c r="H51"/>
  <c r="H84" s="1"/>
  <c r="G52"/>
  <c r="G85" s="1"/>
  <c r="H53"/>
  <c r="H86" s="1"/>
  <c r="G54"/>
  <c r="G87" s="1"/>
  <c r="H55"/>
  <c r="H88" s="1"/>
  <c r="G56"/>
  <c r="G89" s="1"/>
  <c r="H57"/>
  <c r="H90" s="1"/>
  <c r="G58"/>
  <c r="G91" s="1"/>
  <c r="H61"/>
  <c r="H94" s="1"/>
  <c r="G62"/>
  <c r="G95" s="1"/>
  <c r="H63"/>
  <c r="H96" s="1"/>
  <c r="G64"/>
  <c r="G97" s="1"/>
  <c r="H70"/>
  <c r="H103" s="1"/>
  <c r="D11" l="1"/>
  <c r="D11" i="16"/>
  <c r="D6" i="9"/>
  <c r="D6" i="16"/>
  <c r="D5" i="9"/>
  <c r="D5" i="16"/>
  <c r="D20" i="9"/>
  <c r="D20" i="16"/>
  <c r="D25" i="9"/>
  <c r="D25" i="16"/>
  <c r="D24" i="9"/>
  <c r="D24" i="16"/>
  <c r="D9" i="9"/>
  <c r="D9" i="16"/>
  <c r="D18" i="9"/>
  <c r="D18" i="16"/>
  <c r="D8" i="9"/>
  <c r="D8" i="16"/>
  <c r="D2" i="9"/>
  <c r="D2" i="16"/>
  <c r="D22" i="9"/>
  <c r="D22" i="16"/>
  <c r="D17" i="9"/>
  <c r="D17" i="16"/>
  <c r="D21" i="9"/>
  <c r="D21" i="16"/>
  <c r="D16" i="9"/>
  <c r="D16" i="16"/>
  <c r="D26" i="9"/>
  <c r="D26" i="16"/>
  <c r="D15" i="9"/>
  <c r="D15" i="16"/>
  <c r="D10" i="9"/>
  <c r="D10" i="16"/>
  <c r="D4" i="9"/>
  <c r="D4" i="16"/>
  <c r="D14" i="9"/>
  <c r="D14" i="16"/>
  <c r="D19" i="9"/>
  <c r="D19" i="16"/>
  <c r="D3" i="9"/>
  <c r="D3" i="16"/>
  <c r="D13" i="9"/>
  <c r="D13" i="16"/>
  <c r="D23" i="9"/>
  <c r="D23" i="16"/>
  <c r="D7" i="9"/>
  <c r="D7" i="16"/>
  <c r="D12" i="9"/>
  <c r="D12" i="16"/>
  <c r="N12" l="1"/>
  <c r="I55" s="1"/>
  <c r="I88" s="1"/>
  <c r="K12"/>
  <c r="M12"/>
  <c r="N7"/>
  <c r="I50" s="1"/>
  <c r="I83" s="1"/>
  <c r="M7"/>
  <c r="K7"/>
  <c r="N23"/>
  <c r="I66" s="1"/>
  <c r="I99" s="1"/>
  <c r="M23"/>
  <c r="K23"/>
  <c r="N13"/>
  <c r="I56" s="1"/>
  <c r="I89" s="1"/>
  <c r="K13"/>
  <c r="M13"/>
  <c r="N3"/>
  <c r="I46" s="1"/>
  <c r="I79" s="1"/>
  <c r="M3"/>
  <c r="K3"/>
  <c r="N19"/>
  <c r="I62" s="1"/>
  <c r="I95" s="1"/>
  <c r="M19"/>
  <c r="K19"/>
  <c r="D39"/>
  <c r="C47" s="1"/>
  <c r="C80" s="1"/>
  <c r="E39"/>
  <c r="N14"/>
  <c r="I57" s="1"/>
  <c r="I90" s="1"/>
  <c r="M14"/>
  <c r="E13"/>
  <c r="F13" s="1"/>
  <c r="I13" s="1"/>
  <c r="E16"/>
  <c r="F16" s="1"/>
  <c r="I16" s="1"/>
  <c r="K14"/>
  <c r="E12"/>
  <c r="F12" s="1"/>
  <c r="I12" s="1"/>
  <c r="E15"/>
  <c r="F15" s="1"/>
  <c r="I15" s="1"/>
  <c r="N4"/>
  <c r="I47" s="1"/>
  <c r="I80" s="1"/>
  <c r="M4"/>
  <c r="K4"/>
  <c r="N10"/>
  <c r="I53" s="1"/>
  <c r="I86" s="1"/>
  <c r="M10"/>
  <c r="K10"/>
  <c r="N15"/>
  <c r="I58" s="1"/>
  <c r="I91" s="1"/>
  <c r="M15"/>
  <c r="K15"/>
  <c r="N26"/>
  <c r="I69" s="1"/>
  <c r="I102" s="1"/>
  <c r="E22"/>
  <c r="F22" s="1"/>
  <c r="I22" s="1"/>
  <c r="E24"/>
  <c r="F24" s="1"/>
  <c r="I24" s="1"/>
  <c r="M26"/>
  <c r="H69" s="1"/>
  <c r="H102" s="1"/>
  <c r="K26"/>
  <c r="E23"/>
  <c r="F23" s="1"/>
  <c r="I23" s="1"/>
  <c r="E25"/>
  <c r="F25" s="1"/>
  <c r="I25" s="1"/>
  <c r="N16"/>
  <c r="I59" s="1"/>
  <c r="I92" s="1"/>
  <c r="M16"/>
  <c r="H59" s="1"/>
  <c r="H92" s="1"/>
  <c r="K16"/>
  <c r="N21"/>
  <c r="I64" s="1"/>
  <c r="I97" s="1"/>
  <c r="M21"/>
  <c r="H64" s="1"/>
  <c r="H97" s="1"/>
  <c r="D41"/>
  <c r="E41"/>
  <c r="K21"/>
  <c r="N17"/>
  <c r="I60" s="1"/>
  <c r="I93" s="1"/>
  <c r="M17"/>
  <c r="E37"/>
  <c r="D37"/>
  <c r="K17"/>
  <c r="N22"/>
  <c r="I65" s="1"/>
  <c r="I98" s="1"/>
  <c r="M22"/>
  <c r="K22"/>
  <c r="N2"/>
  <c r="I45" s="1"/>
  <c r="I78" s="1"/>
  <c r="M2"/>
  <c r="E6"/>
  <c r="F6" s="1"/>
  <c r="I6" s="1"/>
  <c r="E3"/>
  <c r="F3" s="1"/>
  <c r="I3" s="1"/>
  <c r="E4"/>
  <c r="F4" s="1"/>
  <c r="I4" s="1"/>
  <c r="K2"/>
  <c r="E5"/>
  <c r="F5" s="1"/>
  <c r="I5" s="1"/>
  <c r="N8"/>
  <c r="I51" s="1"/>
  <c r="I84" s="1"/>
  <c r="E7"/>
  <c r="F7" s="1"/>
  <c r="I7" s="1"/>
  <c r="M8"/>
  <c r="E11"/>
  <c r="F11" s="1"/>
  <c r="I11" s="1"/>
  <c r="K8"/>
  <c r="E9"/>
  <c r="F9" s="1"/>
  <c r="I9" s="1"/>
  <c r="E10"/>
  <c r="F10" s="1"/>
  <c r="I10" s="1"/>
  <c r="N18"/>
  <c r="I61" s="1"/>
  <c r="I94" s="1"/>
  <c r="M18"/>
  <c r="D38"/>
  <c r="K18"/>
  <c r="E38"/>
  <c r="N9"/>
  <c r="I52" s="1"/>
  <c r="I85" s="1"/>
  <c r="M9"/>
  <c r="K9"/>
  <c r="C52"/>
  <c r="C85" s="1"/>
  <c r="N24"/>
  <c r="I67" s="1"/>
  <c r="I100" s="1"/>
  <c r="M24"/>
  <c r="K24"/>
  <c r="C67"/>
  <c r="C100" s="1"/>
  <c r="N25"/>
  <c r="I68" s="1"/>
  <c r="I101" s="1"/>
  <c r="M25"/>
  <c r="K25"/>
  <c r="N20"/>
  <c r="I63" s="1"/>
  <c r="I96" s="1"/>
  <c r="M20"/>
  <c r="E19"/>
  <c r="F19" s="1"/>
  <c r="I19" s="1"/>
  <c r="E17"/>
  <c r="F17" s="1"/>
  <c r="I17" s="1"/>
  <c r="E21"/>
  <c r="F21" s="1"/>
  <c r="I21" s="1"/>
  <c r="D40"/>
  <c r="E40"/>
  <c r="K20"/>
  <c r="E18"/>
  <c r="F18" s="1"/>
  <c r="I18" s="1"/>
  <c r="N5"/>
  <c r="I48" s="1"/>
  <c r="I81" s="1"/>
  <c r="M5"/>
  <c r="K5"/>
  <c r="N6"/>
  <c r="I49" s="1"/>
  <c r="I82" s="1"/>
  <c r="M6"/>
  <c r="H49" s="1"/>
  <c r="H82" s="1"/>
  <c r="K6"/>
  <c r="C49"/>
  <c r="C82" s="1"/>
  <c r="N11"/>
  <c r="I54" s="1"/>
  <c r="I87" s="1"/>
  <c r="M11"/>
  <c r="H54" s="1"/>
  <c r="H87" s="1"/>
  <c r="C54"/>
  <c r="C87" s="1"/>
  <c r="K11"/>
  <c r="M12" i="9"/>
  <c r="N12"/>
  <c r="I55" s="1"/>
  <c r="I88" s="1"/>
  <c r="K12"/>
  <c r="M7"/>
  <c r="N7"/>
  <c r="I50" s="1"/>
  <c r="I83" s="1"/>
  <c r="K7"/>
  <c r="N23"/>
  <c r="I66" s="1"/>
  <c r="I99" s="1"/>
  <c r="K23"/>
  <c r="M23"/>
  <c r="N13"/>
  <c r="I56" s="1"/>
  <c r="I89" s="1"/>
  <c r="M13"/>
  <c r="K13"/>
  <c r="M3"/>
  <c r="K3"/>
  <c r="N3"/>
  <c r="I46" s="1"/>
  <c r="I79" s="1"/>
  <c r="M19"/>
  <c r="E39"/>
  <c r="K19"/>
  <c r="N19"/>
  <c r="I62" s="1"/>
  <c r="I95" s="1"/>
  <c r="D39"/>
  <c r="M14"/>
  <c r="E12"/>
  <c r="F12" s="1"/>
  <c r="I12" s="1"/>
  <c r="E13"/>
  <c r="F13" s="1"/>
  <c r="I13" s="1"/>
  <c r="E15"/>
  <c r="F15" s="1"/>
  <c r="I15" s="1"/>
  <c r="N14"/>
  <c r="I57" s="1"/>
  <c r="I90" s="1"/>
  <c r="E16"/>
  <c r="F16" s="1"/>
  <c r="I16" s="1"/>
  <c r="K14"/>
  <c r="N4"/>
  <c r="I47" s="1"/>
  <c r="I80" s="1"/>
  <c r="K4"/>
  <c r="M4"/>
  <c r="N10"/>
  <c r="I53" s="1"/>
  <c r="I86" s="1"/>
  <c r="M10"/>
  <c r="K10"/>
  <c r="N15"/>
  <c r="I58" s="1"/>
  <c r="I91" s="1"/>
  <c r="M15"/>
  <c r="K15"/>
  <c r="M26"/>
  <c r="H69" s="1"/>
  <c r="H102" s="1"/>
  <c r="K26"/>
  <c r="N26"/>
  <c r="I69" s="1"/>
  <c r="I102" s="1"/>
  <c r="E22"/>
  <c r="F22" s="1"/>
  <c r="I22" s="1"/>
  <c r="E23"/>
  <c r="F23" s="1"/>
  <c r="I23" s="1"/>
  <c r="E24"/>
  <c r="F24" s="1"/>
  <c r="I24" s="1"/>
  <c r="E25"/>
  <c r="F25" s="1"/>
  <c r="I25" s="1"/>
  <c r="M16"/>
  <c r="H59" s="1"/>
  <c r="H92" s="1"/>
  <c r="N16"/>
  <c r="I59" s="1"/>
  <c r="I92" s="1"/>
  <c r="K16"/>
  <c r="M21"/>
  <c r="H64" s="1"/>
  <c r="H97" s="1"/>
  <c r="K21"/>
  <c r="N21"/>
  <c r="I64" s="1"/>
  <c r="I97" s="1"/>
  <c r="D41"/>
  <c r="E41"/>
  <c r="C64" s="1"/>
  <c r="C97" s="1"/>
  <c r="M17"/>
  <c r="K17"/>
  <c r="N17"/>
  <c r="I60" s="1"/>
  <c r="I93" s="1"/>
  <c r="D37"/>
  <c r="C45" s="1"/>
  <c r="E37"/>
  <c r="M22"/>
  <c r="K22"/>
  <c r="N22"/>
  <c r="I65" s="1"/>
  <c r="I98" s="1"/>
  <c r="M2"/>
  <c r="E4"/>
  <c r="F4" s="1"/>
  <c r="I4" s="1"/>
  <c r="E6"/>
  <c r="F6" s="1"/>
  <c r="I6" s="1"/>
  <c r="K2"/>
  <c r="N2"/>
  <c r="I45" s="1"/>
  <c r="I78" s="1"/>
  <c r="E3"/>
  <c r="F3" s="1"/>
  <c r="I3" s="1"/>
  <c r="E5"/>
  <c r="F5" s="1"/>
  <c r="I5" s="1"/>
  <c r="N8"/>
  <c r="I51" s="1"/>
  <c r="I84" s="1"/>
  <c r="E7"/>
  <c r="F7" s="1"/>
  <c r="I7" s="1"/>
  <c r="E9"/>
  <c r="F9" s="1"/>
  <c r="I9" s="1"/>
  <c r="E10"/>
  <c r="F10" s="1"/>
  <c r="I10" s="1"/>
  <c r="E11"/>
  <c r="F11" s="1"/>
  <c r="I11" s="1"/>
  <c r="M8"/>
  <c r="K8"/>
  <c r="N18"/>
  <c r="I61" s="1"/>
  <c r="I94" s="1"/>
  <c r="D38"/>
  <c r="E38"/>
  <c r="K18"/>
  <c r="M18"/>
  <c r="M9"/>
  <c r="N9"/>
  <c r="I52" s="1"/>
  <c r="I85" s="1"/>
  <c r="K9"/>
  <c r="M24"/>
  <c r="K24"/>
  <c r="N24"/>
  <c r="I67" s="1"/>
  <c r="I100" s="1"/>
  <c r="N25"/>
  <c r="I68" s="1"/>
  <c r="I101" s="1"/>
  <c r="K25"/>
  <c r="M25"/>
  <c r="N20"/>
  <c r="I63" s="1"/>
  <c r="I96" s="1"/>
  <c r="D40"/>
  <c r="E40"/>
  <c r="E18"/>
  <c r="F18" s="1"/>
  <c r="I18" s="1"/>
  <c r="K20"/>
  <c r="M20"/>
  <c r="E17"/>
  <c r="F17" s="1"/>
  <c r="I17" s="1"/>
  <c r="E19"/>
  <c r="F19" s="1"/>
  <c r="I19" s="1"/>
  <c r="E21"/>
  <c r="F21" s="1"/>
  <c r="I21" s="1"/>
  <c r="M5"/>
  <c r="K5"/>
  <c r="N5"/>
  <c r="I48" s="1"/>
  <c r="I81" s="1"/>
  <c r="N6"/>
  <c r="I49" s="1"/>
  <c r="I82" s="1"/>
  <c r="K6"/>
  <c r="M6"/>
  <c r="H49" s="1"/>
  <c r="H82" s="1"/>
  <c r="M11"/>
  <c r="H54" s="1"/>
  <c r="H87" s="1"/>
  <c r="N11"/>
  <c r="I54" s="1"/>
  <c r="I87" s="1"/>
  <c r="K11"/>
  <c r="C72" l="1"/>
  <c r="C105" s="1"/>
  <c r="C73" i="16"/>
  <c r="C106" s="1"/>
  <c r="C70"/>
  <c r="C103" s="1"/>
  <c r="C72"/>
  <c r="C105" s="1"/>
  <c r="C63" i="9"/>
  <c r="C96" s="1"/>
  <c r="C61"/>
  <c r="C94" s="1"/>
  <c r="C60"/>
  <c r="C93" s="1"/>
  <c r="C74" i="16"/>
  <c r="C107" s="1"/>
  <c r="F41" i="9"/>
  <c r="G41"/>
  <c r="D64" s="1"/>
  <c r="D97" s="1"/>
  <c r="I40"/>
  <c r="H40"/>
  <c r="H39"/>
  <c r="I39"/>
  <c r="H40" i="16"/>
  <c r="I40"/>
  <c r="F48" s="1"/>
  <c r="F81" s="1"/>
  <c r="F41"/>
  <c r="G41"/>
  <c r="G39"/>
  <c r="F39"/>
  <c r="D52" s="1"/>
  <c r="D85" s="1"/>
  <c r="H41"/>
  <c r="I41"/>
  <c r="F69" s="1"/>
  <c r="F102" s="1"/>
  <c r="C68"/>
  <c r="C101" s="1"/>
  <c r="C71"/>
  <c r="C104" s="1"/>
  <c r="D49"/>
  <c r="D82" s="1"/>
  <c r="F58"/>
  <c r="F91" s="1"/>
  <c r="C53"/>
  <c r="C86" s="1"/>
  <c r="C62"/>
  <c r="C95" s="1"/>
  <c r="F37" i="9"/>
  <c r="D60"/>
  <c r="D93" s="1"/>
  <c r="G37"/>
  <c r="F39"/>
  <c r="G39"/>
  <c r="D62"/>
  <c r="D95" s="1"/>
  <c r="G38"/>
  <c r="F38"/>
  <c r="D66" s="1"/>
  <c r="D99" s="1"/>
  <c r="I38"/>
  <c r="H38"/>
  <c r="F40"/>
  <c r="G40"/>
  <c r="I37"/>
  <c r="H37"/>
  <c r="F60" s="1"/>
  <c r="F93" s="1"/>
  <c r="H41"/>
  <c r="F59" s="1"/>
  <c r="F92" s="1"/>
  <c r="I41"/>
  <c r="F38" i="16"/>
  <c r="G38"/>
  <c r="F37"/>
  <c r="D60" s="1"/>
  <c r="D93" s="1"/>
  <c r="G37"/>
  <c r="H38"/>
  <c r="I38"/>
  <c r="G40"/>
  <c r="F40"/>
  <c r="D53" s="1"/>
  <c r="D86" s="1"/>
  <c r="H37"/>
  <c r="I37"/>
  <c r="H39"/>
  <c r="I39"/>
  <c r="F62" s="1"/>
  <c r="F95" s="1"/>
  <c r="F52" i="9"/>
  <c r="F85" s="1"/>
  <c r="D54"/>
  <c r="D87" s="1"/>
  <c r="F53"/>
  <c r="F86" s="1"/>
  <c r="D56"/>
  <c r="D89" s="1"/>
  <c r="C54"/>
  <c r="C87" s="1"/>
  <c r="C49"/>
  <c r="C82" s="1"/>
  <c r="C48"/>
  <c r="C81" s="1"/>
  <c r="C73"/>
  <c r="C106" s="1"/>
  <c r="C68"/>
  <c r="C101" s="1"/>
  <c r="F68"/>
  <c r="F101" s="1"/>
  <c r="C67"/>
  <c r="C100" s="1"/>
  <c r="F67"/>
  <c r="F100" s="1"/>
  <c r="C52"/>
  <c r="C85" s="1"/>
  <c r="C71"/>
  <c r="C104" s="1"/>
  <c r="C51"/>
  <c r="C84" s="1"/>
  <c r="D50"/>
  <c r="D83" s="1"/>
  <c r="C78"/>
  <c r="D46"/>
  <c r="D79" s="1"/>
  <c r="D47"/>
  <c r="D80" s="1"/>
  <c r="C65"/>
  <c r="C98" s="1"/>
  <c r="F65"/>
  <c r="F98" s="1"/>
  <c r="C70"/>
  <c r="C103" s="1"/>
  <c r="C74"/>
  <c r="C107" s="1"/>
  <c r="C59"/>
  <c r="C92" s="1"/>
  <c r="C69"/>
  <c r="C102" s="1"/>
  <c r="D65"/>
  <c r="D98" s="1"/>
  <c r="C58"/>
  <c r="C91" s="1"/>
  <c r="C53"/>
  <c r="C86" s="1"/>
  <c r="C47"/>
  <c r="C80" s="1"/>
  <c r="C57"/>
  <c r="C90" s="1"/>
  <c r="D58"/>
  <c r="D91" s="1"/>
  <c r="D55"/>
  <c r="D88" s="1"/>
  <c r="C62"/>
  <c r="C95" s="1"/>
  <c r="C46"/>
  <c r="C79" s="1"/>
  <c r="F46"/>
  <c r="F79" s="1"/>
  <c r="C56"/>
  <c r="C89" s="1"/>
  <c r="C66"/>
  <c r="C99" s="1"/>
  <c r="C50"/>
  <c r="C83" s="1"/>
  <c r="C55"/>
  <c r="C88" s="1"/>
  <c r="F54" i="16"/>
  <c r="F87" s="1"/>
  <c r="C48"/>
  <c r="C81" s="1"/>
  <c r="C63"/>
  <c r="C96" s="1"/>
  <c r="F68"/>
  <c r="F101" s="1"/>
  <c r="C61"/>
  <c r="C94" s="1"/>
  <c r="C51"/>
  <c r="C84" s="1"/>
  <c r="D50"/>
  <c r="D83" s="1"/>
  <c r="C45"/>
  <c r="C78" s="1"/>
  <c r="F45"/>
  <c r="F78" s="1"/>
  <c r="C65"/>
  <c r="C98" s="1"/>
  <c r="C60"/>
  <c r="C93" s="1"/>
  <c r="C64"/>
  <c r="C97" s="1"/>
  <c r="C59"/>
  <c r="C92" s="1"/>
  <c r="D68"/>
  <c r="D101" s="1"/>
  <c r="C69"/>
  <c r="C102" s="1"/>
  <c r="D65"/>
  <c r="D98" s="1"/>
  <c r="C58"/>
  <c r="C91" s="1"/>
  <c r="F53"/>
  <c r="F86" s="1"/>
  <c r="D58"/>
  <c r="D91" s="1"/>
  <c r="C57"/>
  <c r="C90" s="1"/>
  <c r="D59"/>
  <c r="D92" s="1"/>
  <c r="C46"/>
  <c r="C79" s="1"/>
  <c r="C56"/>
  <c r="C89" s="1"/>
  <c r="C66"/>
  <c r="C99" s="1"/>
  <c r="C50"/>
  <c r="C83" s="1"/>
  <c r="C55"/>
  <c r="C88" s="1"/>
  <c r="F71" l="1"/>
  <c r="F104" s="1"/>
  <c r="F64" i="9"/>
  <c r="F97" s="1"/>
  <c r="F45"/>
  <c r="F78" s="1"/>
  <c r="F51"/>
  <c r="F84" s="1"/>
  <c r="F59" i="16"/>
  <c r="F92" s="1"/>
  <c r="G112" s="1"/>
  <c r="F63"/>
  <c r="F96" s="1"/>
  <c r="D61" i="9"/>
  <c r="D94" s="1"/>
  <c r="C113"/>
  <c r="D48" i="16"/>
  <c r="D81" s="1"/>
  <c r="F110" s="1"/>
  <c r="F70"/>
  <c r="F103" s="1"/>
  <c r="D47"/>
  <c r="D80" s="1"/>
  <c r="F73" i="9"/>
  <c r="F106" s="1"/>
  <c r="G113"/>
  <c r="D51" i="16"/>
  <c r="D84" s="1"/>
  <c r="D71"/>
  <c r="D104" s="1"/>
  <c r="D115" s="1"/>
  <c r="D73" i="9"/>
  <c r="D106" s="1"/>
  <c r="D63"/>
  <c r="D96" s="1"/>
  <c r="F60" i="16"/>
  <c r="F93" s="1"/>
  <c r="C113" s="1"/>
  <c r="F61" i="9"/>
  <c r="F94" s="1"/>
  <c r="D113" s="1"/>
  <c r="D57"/>
  <c r="D90" s="1"/>
  <c r="D72"/>
  <c r="D105" s="1"/>
  <c r="D74" i="16"/>
  <c r="D107" s="1"/>
  <c r="D69"/>
  <c r="D102" s="1"/>
  <c r="D69" i="9"/>
  <c r="D102" s="1"/>
  <c r="D74"/>
  <c r="D107" s="1"/>
  <c r="D73" i="16"/>
  <c r="D106" s="1"/>
  <c r="D63"/>
  <c r="D96" s="1"/>
  <c r="F113" s="1"/>
  <c r="D70"/>
  <c r="D103" s="1"/>
  <c r="C115" s="1"/>
  <c r="D45"/>
  <c r="D78" s="1"/>
  <c r="C110" s="1"/>
  <c r="D51" i="9"/>
  <c r="D84" s="1"/>
  <c r="D111" s="1"/>
  <c r="D71"/>
  <c r="D104" s="1"/>
  <c r="D70"/>
  <c r="D103" s="1"/>
  <c r="D45"/>
  <c r="D78" s="1"/>
  <c r="C110" s="1"/>
  <c r="D57" i="16"/>
  <c r="D90" s="1"/>
  <c r="D72"/>
  <c r="D105" s="1"/>
  <c r="F115" i="9"/>
  <c r="F61" i="16"/>
  <c r="F94" s="1"/>
  <c r="F50"/>
  <c r="F83" s="1"/>
  <c r="F46"/>
  <c r="F79" s="1"/>
  <c r="F57"/>
  <c r="F90" s="1"/>
  <c r="F52"/>
  <c r="F85" s="1"/>
  <c r="E111" s="1"/>
  <c r="F114"/>
  <c r="F50" i="9"/>
  <c r="F83" s="1"/>
  <c r="C111" s="1"/>
  <c r="D48"/>
  <c r="D81" s="1"/>
  <c r="F74" i="16"/>
  <c r="F107" s="1"/>
  <c r="F72" i="9"/>
  <c r="F105" s="1"/>
  <c r="F55" i="16"/>
  <c r="F88" s="1"/>
  <c r="C111"/>
  <c r="F56"/>
  <c r="F89" s="1"/>
  <c r="E112"/>
  <c r="F47"/>
  <c r="F80" s="1"/>
  <c r="E110" s="1"/>
  <c r="F112"/>
  <c r="G114"/>
  <c r="D46"/>
  <c r="D79" s="1"/>
  <c r="D110" s="1"/>
  <c r="D54"/>
  <c r="D87" s="1"/>
  <c r="G111" s="1"/>
  <c r="F66" i="9"/>
  <c r="F99" s="1"/>
  <c r="D114" s="1"/>
  <c r="D110"/>
  <c r="D59"/>
  <c r="D92" s="1"/>
  <c r="G112" s="1"/>
  <c r="F47"/>
  <c r="F80" s="1"/>
  <c r="E110" s="1"/>
  <c r="F69"/>
  <c r="F102" s="1"/>
  <c r="D67"/>
  <c r="D100" s="1"/>
  <c r="E114" s="1"/>
  <c r="C114"/>
  <c r="F48"/>
  <c r="F81" s="1"/>
  <c r="F49"/>
  <c r="F82" s="1"/>
  <c r="F57"/>
  <c r="F90" s="1"/>
  <c r="D68"/>
  <c r="D101" s="1"/>
  <c r="F114" s="1"/>
  <c r="D52"/>
  <c r="D85" s="1"/>
  <c r="E111" s="1"/>
  <c r="F72" i="16"/>
  <c r="F105" s="1"/>
  <c r="D61"/>
  <c r="D94" s="1"/>
  <c r="D113" s="1"/>
  <c r="F74" i="9"/>
  <c r="F107" s="1"/>
  <c r="F70"/>
  <c r="F103" s="1"/>
  <c r="D53"/>
  <c r="D86" s="1"/>
  <c r="F111" s="1"/>
  <c r="F71"/>
  <c r="F104" s="1"/>
  <c r="D115" s="1"/>
  <c r="F66" i="16"/>
  <c r="F99" s="1"/>
  <c r="D56"/>
  <c r="D89" s="1"/>
  <c r="D112" s="1"/>
  <c r="D55"/>
  <c r="D88" s="1"/>
  <c r="F111"/>
  <c r="D67"/>
  <c r="D100" s="1"/>
  <c r="D66"/>
  <c r="D99" s="1"/>
  <c r="F65"/>
  <c r="F98" s="1"/>
  <c r="C114" s="1"/>
  <c r="F51"/>
  <c r="F84" s="1"/>
  <c r="F67"/>
  <c r="F100" s="1"/>
  <c r="F49"/>
  <c r="F82" s="1"/>
  <c r="G110" s="1"/>
  <c r="F55" i="9"/>
  <c r="F88" s="1"/>
  <c r="C112" s="1"/>
  <c r="F56"/>
  <c r="F89" s="1"/>
  <c r="D112" s="1"/>
  <c r="F58"/>
  <c r="F91" s="1"/>
  <c r="F112" s="1"/>
  <c r="D49"/>
  <c r="D82" s="1"/>
  <c r="G110" s="1"/>
  <c r="F54"/>
  <c r="F87" s="1"/>
  <c r="G111" s="1"/>
  <c r="F64" i="16"/>
  <c r="F97" s="1"/>
  <c r="D62"/>
  <c r="D95" s="1"/>
  <c r="E113" s="1"/>
  <c r="D64"/>
  <c r="D97" s="1"/>
  <c r="F73"/>
  <c r="F106" s="1"/>
  <c r="F62" i="9"/>
  <c r="F95" s="1"/>
  <c r="E113" s="1"/>
  <c r="F63"/>
  <c r="F96" s="1"/>
  <c r="E114" i="16" l="1"/>
  <c r="C112"/>
  <c r="G113"/>
  <c r="D114"/>
  <c r="D111"/>
  <c r="C115" i="9"/>
  <c r="F110"/>
  <c r="G114"/>
  <c r="E112"/>
  <c r="G115"/>
  <c r="E115" i="16"/>
  <c r="E115" i="9"/>
  <c r="F115" i="16"/>
  <c r="G115"/>
  <c r="F113" i="9"/>
  <c r="C128" i="16" l="1"/>
  <c r="H115"/>
  <c r="C128" i="9"/>
</calcChain>
</file>

<file path=xl/sharedStrings.xml><?xml version="1.0" encoding="utf-8"?>
<sst xmlns="http://schemas.openxmlformats.org/spreadsheetml/2006/main" count="1655" uniqueCount="398">
  <si>
    <t>Pasted Values</t>
    <phoneticPr fontId="8" type="noConversion"/>
  </si>
  <si>
    <t>Mean Appeal</t>
    <phoneticPr fontId="8" type="noConversion"/>
  </si>
  <si>
    <t>StdDev Appeal</t>
    <phoneticPr fontId="8" type="noConversion"/>
  </si>
  <si>
    <t>Mean Int Buyers</t>
    <phoneticPr fontId="8" type="noConversion"/>
  </si>
  <si>
    <t>StdDev Int Buyers</t>
    <phoneticPr fontId="8" type="noConversion"/>
  </si>
  <si>
    <t>Mean 1st</t>
    <phoneticPr fontId="8" type="noConversion"/>
  </si>
  <si>
    <t>StdDev 1st</t>
    <phoneticPr fontId="8" type="noConversion"/>
  </si>
  <si>
    <t>Mean 2nd</t>
    <phoneticPr fontId="8" type="noConversion"/>
  </si>
  <si>
    <t>StdDev 2nd</t>
    <phoneticPr fontId="8" type="noConversion"/>
  </si>
  <si>
    <r>
      <t>** Affiliate revenue as</t>
    </r>
    <r>
      <rPr>
        <b/>
        <sz val="11"/>
        <color indexed="8"/>
        <rFont val="Calibri"/>
        <family val="2"/>
      </rPr>
      <t>s</t>
    </r>
    <r>
      <rPr>
        <b/>
        <sz val="11"/>
        <color theme="1"/>
        <rFont val="Calibri"/>
        <family val="2"/>
        <scheme val="minor"/>
      </rPr>
      <t>umes that is a show is rated 4 or higher there are no imposed cost, if a show is rated below 4 but above 3 there is a $10k imposed cost and any show rated below a 3 imposes a 430k cost</t>
    </r>
    <phoneticPr fontId="8" type="noConversion"/>
  </si>
  <si>
    <t>Day of the Week</t>
  </si>
  <si>
    <t xml:space="preserve">Monday </t>
  </si>
  <si>
    <t>Outliers</t>
  </si>
  <si>
    <t>11.5/19</t>
  </si>
  <si>
    <t>7.1/12</t>
  </si>
  <si>
    <t>8.5/15</t>
  </si>
  <si>
    <t>5/9</t>
  </si>
  <si>
    <t>3.6/7</t>
  </si>
  <si>
    <t>3/5</t>
  </si>
  <si>
    <t>4/7</t>
  </si>
  <si>
    <t>3.8/7</t>
  </si>
  <si>
    <t>4.1/8</t>
  </si>
  <si>
    <t>3.2/5</t>
  </si>
  <si>
    <t>3.1/6</t>
  </si>
  <si>
    <t>The Jay Leno Show</t>
  </si>
  <si>
    <t>The Jay Leno Show [p]</t>
  </si>
  <si>
    <t>The Jay Leno Show (Monday)</t>
  </si>
  <si>
    <t>The Jay Leno Show (Tuesday)</t>
  </si>
  <si>
    <t>The Jay Leno Show (Wednesday)</t>
  </si>
  <si>
    <t>The Jay Leno Show (Thursday)</t>
  </si>
  <si>
    <t>The Jay Leno Show (Friday)</t>
  </si>
  <si>
    <t>Ratings were sourced from [Kelly to insert]</t>
  </si>
  <si>
    <t>Average Commercials per minute sourced from Hulu and other sites</t>
  </si>
  <si>
    <t>Cost per Ad Spot sourced from Adage.com</t>
  </si>
  <si>
    <t>Leno *</t>
  </si>
  <si>
    <t>* Leno is based on average of his ad spot prices over the week.</t>
  </si>
  <si>
    <t>Production costs for Leno sourced from Forbes.com</t>
  </si>
  <si>
    <t>Prodcution costs for all other dramas based on the average for the industry</t>
  </si>
  <si>
    <t>Marketing costs for all other dramas based on the average for the industry</t>
  </si>
  <si>
    <t>20/20 adjusted downward due to the nature of the production</t>
  </si>
  <si>
    <t>Data Sources/Assumptions:</t>
  </si>
  <si>
    <t xml:space="preserve">Inputs for Crystal Ball </t>
  </si>
  <si>
    <t>Average</t>
  </si>
  <si>
    <t>Total</t>
  </si>
  <si>
    <t>Reflects actual day show is broadcasted</t>
  </si>
  <si>
    <t>Ad Rev per Show*</t>
  </si>
  <si>
    <t>* Spot Revenue multiplied by 32 becase there are on average 16 minutes of commercials per hour; spot rates based on 30 seond ads</t>
  </si>
  <si>
    <t>30 Sec Spot Av Ad Revenue</t>
  </si>
  <si>
    <t>Profit per Show</t>
  </si>
  <si>
    <t>Marketing Cost per Show</t>
  </si>
  <si>
    <t xml:space="preserve"> Production cost per Show</t>
  </si>
  <si>
    <t>Input</t>
  </si>
  <si>
    <t>Will get 2nd?</t>
  </si>
  <si>
    <t>Affliate Rev?**</t>
  </si>
  <si>
    <t>Scaled Criteria</t>
  </si>
  <si>
    <t>StdDev Rating</t>
  </si>
  <si>
    <t>Mean Profit</t>
  </si>
  <si>
    <t>StdDev Profit</t>
  </si>
  <si>
    <t>Mean Aff Rev</t>
  </si>
  <si>
    <t>StdDev Aff Rev</t>
  </si>
  <si>
    <t>Rank based on scaled importance from 10 to 1 (10 being most and 1 being least)</t>
  </si>
  <si>
    <t>Perceived Value of Weekly Lineup</t>
  </si>
  <si>
    <t>Weighted Score</t>
  </si>
  <si>
    <t xml:space="preserve"> 5.5/9</t>
  </si>
  <si>
    <t>Life on Mars</t>
  </si>
  <si>
    <t xml:space="preserve"> 5.9/10</t>
  </si>
  <si>
    <t xml:space="preserve">Election Coverage </t>
  </si>
  <si>
    <t>7.8/11</t>
  </si>
  <si>
    <t>4.9/7</t>
  </si>
  <si>
    <t>7.9/13</t>
  </si>
  <si>
    <t xml:space="preserve">Law &amp; Order [p] </t>
  </si>
  <si>
    <t>10.2/16</t>
  </si>
  <si>
    <t>9.3/16</t>
  </si>
  <si>
    <t>Commercial Min per Hr</t>
  </si>
  <si>
    <t>Cost per spot</t>
  </si>
  <si>
    <t>Cost per Spot</t>
  </si>
  <si>
    <t>Day</t>
  </si>
  <si>
    <t>Mean Rating</t>
  </si>
  <si>
    <t>SHARE</t>
  </si>
  <si>
    <t>Program</t>
  </si>
  <si>
    <t>Average Rating</t>
  </si>
  <si>
    <t>Average Revenue per rating</t>
  </si>
  <si>
    <t>Lipstick Jungle</t>
  </si>
  <si>
    <t>SVU</t>
  </si>
  <si>
    <t>Min</t>
  </si>
  <si>
    <t>Max</t>
  </si>
  <si>
    <t>Std Dev</t>
  </si>
  <si>
    <t>=</t>
  </si>
  <si>
    <t>Rating(r )</t>
  </si>
  <si>
    <t>Monday</t>
  </si>
  <si>
    <t>Tuesday</t>
  </si>
  <si>
    <t>Wednesday</t>
  </si>
  <si>
    <t>Friday</t>
  </si>
  <si>
    <t>Medical Drama (ER)</t>
  </si>
  <si>
    <t>Law &amp; Order (SVU)</t>
  </si>
  <si>
    <t>Family Drama (Life)</t>
  </si>
  <si>
    <t>Thriller Drama (My Own Worst Enemy)</t>
  </si>
  <si>
    <t>Female Drama (Lipstick Jungle)</t>
  </si>
  <si>
    <r>
      <t>Show (</t>
    </r>
    <r>
      <rPr>
        <b/>
        <i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)</t>
    </r>
  </si>
  <si>
    <t>Affliate Rev?</t>
  </si>
  <si>
    <t>Interested Buyers?</t>
  </si>
  <si>
    <t>Will it Win?</t>
  </si>
  <si>
    <t>Appeal to Adults 18-34?</t>
  </si>
  <si>
    <t>ABC Share</t>
  </si>
  <si>
    <t>CBS Share</t>
  </si>
  <si>
    <t>ABC</t>
  </si>
  <si>
    <t>CBS</t>
  </si>
  <si>
    <t>Thursday</t>
  </si>
  <si>
    <t>Medical Drama (ER) Mon</t>
  </si>
  <si>
    <t>Medical Drama (ER) Tues</t>
  </si>
  <si>
    <t>Medical Drama (ER) Wed</t>
  </si>
  <si>
    <t>Medical Drama (ER) Thurs</t>
  </si>
  <si>
    <t>Medical Drama (ER) Fri</t>
  </si>
  <si>
    <t>Scaled Rating</t>
  </si>
  <si>
    <t>Law &amp; Order (SVU) Mon</t>
  </si>
  <si>
    <t>Law &amp; Order (SVU) Tues</t>
  </si>
  <si>
    <t>Law &amp; Order (SVU) Wed</t>
  </si>
  <si>
    <t>Law &amp; Order (SVU) Thurs</t>
  </si>
  <si>
    <t>Law &amp; Order (SVU) Fri</t>
  </si>
  <si>
    <t>Family Drama (Life) Mon</t>
  </si>
  <si>
    <t>Family Drama (Life) Tues</t>
  </si>
  <si>
    <t>Family Drama (Life) Wed</t>
  </si>
  <si>
    <t>Family Drama (Life) Thurs</t>
  </si>
  <si>
    <t>Family Drama (Life) Fri</t>
  </si>
  <si>
    <t>Thriller Drama (My Own Worst Enemy) Mon</t>
  </si>
  <si>
    <t>Thriller Drama (My Own Worst Enemy) Tues</t>
  </si>
  <si>
    <t>Thriller Drama (My Own Worst Enemy) Wed</t>
  </si>
  <si>
    <t>Thriller Drama (My Own Worst Enemy) Thurs</t>
  </si>
  <si>
    <t>Thriller Drama (My Own Worst Enemy) Fri</t>
  </si>
  <si>
    <t>Female Drama (Lipstick Jungle) Mon</t>
  </si>
  <si>
    <t>Female Drama (Lipstick Jungle) Tues</t>
  </si>
  <si>
    <t>Female Drama (Lipstick Jungle) Wed</t>
  </si>
  <si>
    <t>Female Drama (Lipstick Jungle) Thurs</t>
  </si>
  <si>
    <t>Female Drama (Lipstick Jungle) Fri</t>
  </si>
  <si>
    <t>Adverage Ad Revenue per Week</t>
  </si>
  <si>
    <t>Std. Dev.</t>
  </si>
  <si>
    <t>Leno Monday</t>
  </si>
  <si>
    <t>Leno Tuesday</t>
  </si>
  <si>
    <t>Leno Wednesday</t>
  </si>
  <si>
    <t>Leno Thursday</t>
  </si>
  <si>
    <t>Leno Friday</t>
  </si>
  <si>
    <t>Show (i)</t>
  </si>
  <si>
    <t xml:space="preserve">Life on Mars </t>
  </si>
  <si>
    <t>5.3/9</t>
  </si>
  <si>
    <t xml:space="preserve">ER </t>
  </si>
  <si>
    <t xml:space="preserve">David Blaine: Dive of Death </t>
  </si>
  <si>
    <t>4.6/7</t>
  </si>
  <si>
    <t xml:space="preserve">Lipstick Jungle [p]    </t>
  </si>
  <si>
    <t xml:space="preserve">4.4/7   </t>
  </si>
  <si>
    <t xml:space="preserve"> 5.2/9</t>
  </si>
  <si>
    <t xml:space="preserve">Prison Break </t>
  </si>
  <si>
    <t>10 pm Shows</t>
  </si>
  <si>
    <t xml:space="preserve">Without a Trace </t>
  </si>
  <si>
    <t xml:space="preserve">Weight Loss Challenge </t>
  </si>
  <si>
    <t xml:space="preserve">Law &amp; Order: SVU </t>
  </si>
  <si>
    <t>7.0/12</t>
  </si>
  <si>
    <t>9.6/16</t>
  </si>
  <si>
    <t xml:space="preserve">Lipstick Jungle </t>
  </si>
  <si>
    <t xml:space="preserve"> 3.9/7     </t>
  </si>
  <si>
    <t xml:space="preserve">Dirty Sexy Money [p] </t>
  </si>
  <si>
    <t xml:space="preserve">Til Death </t>
  </si>
  <si>
    <t>2.3/4</t>
  </si>
  <si>
    <t>5.2/8</t>
  </si>
  <si>
    <t xml:space="preserve">Debate Analysis    </t>
  </si>
  <si>
    <t xml:space="preserve">6.2/10   </t>
  </si>
  <si>
    <t xml:space="preserve"> 4.7/9</t>
  </si>
  <si>
    <t>2.8/5</t>
  </si>
  <si>
    <t xml:space="preserve">Life </t>
  </si>
  <si>
    <t>3.7/7</t>
  </si>
  <si>
    <t>3.7/6</t>
  </si>
  <si>
    <t>Debate Analysis</t>
  </si>
  <si>
    <t xml:space="preserve"> 6.5/10</t>
  </si>
  <si>
    <t>5.1/8</t>
  </si>
  <si>
    <t xml:space="preserve">5.4/9 </t>
  </si>
  <si>
    <t xml:space="preserve">Dirty Sexy Money </t>
  </si>
  <si>
    <t xml:space="preserve">3.4/6  </t>
  </si>
  <si>
    <t>10.4/18</t>
  </si>
  <si>
    <t>6.0/10</t>
  </si>
  <si>
    <t>3.2/6</t>
  </si>
  <si>
    <t xml:space="preserve">Eleventh Hour [p] </t>
  </si>
  <si>
    <t>7.2/12</t>
  </si>
  <si>
    <t xml:space="preserve">Life on Mars [p] </t>
  </si>
  <si>
    <t>7.5/13</t>
  </si>
  <si>
    <t>ER</t>
  </si>
  <si>
    <t xml:space="preserve"> 6.0/10</t>
  </si>
  <si>
    <t>Life</t>
  </si>
  <si>
    <t xml:space="preserve"> 3.2/6</t>
  </si>
  <si>
    <t>5.4/9</t>
  </si>
  <si>
    <t xml:space="preserve">My Own Worst Enemy [p] </t>
  </si>
  <si>
    <t xml:space="preserve">Debate Analysis   </t>
  </si>
  <si>
    <t xml:space="preserve">5.8/9   </t>
  </si>
  <si>
    <t>7.8/13</t>
  </si>
  <si>
    <t xml:space="preserve">My Own Worst Enemy </t>
  </si>
  <si>
    <t>8.9/15</t>
  </si>
  <si>
    <t xml:space="preserve">Eli Stone </t>
  </si>
  <si>
    <t>6.3/11</t>
  </si>
  <si>
    <t>3.9/6</t>
  </si>
  <si>
    <t xml:space="preserve">3.2/5 </t>
  </si>
  <si>
    <t>Eleventh Hour</t>
  </si>
  <si>
    <t xml:space="preserve"> 7.8/13</t>
  </si>
  <si>
    <t>5.8/10</t>
  </si>
  <si>
    <t>5.6/9</t>
  </si>
  <si>
    <t>8.2/12</t>
  </si>
  <si>
    <t>7.0/11</t>
  </si>
  <si>
    <t>8.1/13</t>
  </si>
  <si>
    <t xml:space="preserve">3.5/6 </t>
  </si>
  <si>
    <t>6.9/13</t>
  </si>
  <si>
    <t>4.6/9</t>
  </si>
  <si>
    <t xml:space="preserve">SNL Presidential Bash '08 </t>
  </si>
  <si>
    <t>8.7/13</t>
  </si>
  <si>
    <t>5.9/11</t>
  </si>
  <si>
    <t>Barbara Walters Special</t>
  </si>
  <si>
    <t xml:space="preserve"> 5.5/10</t>
  </si>
  <si>
    <t>Boston Legal</t>
  </si>
  <si>
    <t xml:space="preserve"> 5.7/9</t>
  </si>
  <si>
    <t>9.0/15</t>
  </si>
  <si>
    <t>My Own Worst Enemy</t>
  </si>
  <si>
    <t xml:space="preserve"> 2.7/4</t>
  </si>
  <si>
    <t xml:space="preserve">Numb3rs [r] </t>
  </si>
  <si>
    <t>3.0/6</t>
  </si>
  <si>
    <t xml:space="preserve">Castle [p] </t>
  </si>
  <si>
    <t>CSI: Miami [p]</t>
  </si>
  <si>
    <t xml:space="preserve"> 9.0/15</t>
  </si>
  <si>
    <t xml:space="preserve">Dateline NBC </t>
  </si>
  <si>
    <t>MOTW Batman Begins</t>
  </si>
  <si>
    <t>Without a Trace [r]</t>
  </si>
  <si>
    <t xml:space="preserve"> 4.4/8</t>
  </si>
  <si>
    <t xml:space="preserve">Law &amp; Order: SVU [r] </t>
  </si>
  <si>
    <t>Primetime: UFO's</t>
  </si>
  <si>
    <t xml:space="preserve"> 3.7/6</t>
  </si>
  <si>
    <t xml:space="preserve">Law &amp; Order: CI [r] </t>
  </si>
  <si>
    <t>4.8/8      </t>
  </si>
  <si>
    <t>5.5/10</t>
  </si>
  <si>
    <t xml:space="preserve">20/20: Royal Family [r] </t>
  </si>
  <si>
    <t>Flashpoint</t>
  </si>
  <si>
    <t xml:space="preserve"> 6.6/11</t>
  </si>
  <si>
    <t>Grey's Anatomy [r]</t>
  </si>
  <si>
    <t xml:space="preserve"> 4.1/7</t>
  </si>
  <si>
    <t xml:space="preserve">ER [r] </t>
  </si>
  <si>
    <t xml:space="preserve">4.3/8 </t>
  </si>
  <si>
    <t xml:space="preserve">20/20 [p] </t>
  </si>
  <si>
    <t xml:space="preserve">Dateline Friday </t>
  </si>
  <si>
    <t xml:space="preserve">Boston Legal [p] </t>
  </si>
  <si>
    <t xml:space="preserve">CSI: Miami [p] </t>
  </si>
  <si>
    <t>11.1/18</t>
  </si>
  <si>
    <t xml:space="preserve">Heroes [p] </t>
  </si>
  <si>
    <t>5.9/9</t>
  </si>
  <si>
    <t>11.9/18</t>
  </si>
  <si>
    <t xml:space="preserve">CSI [r] </t>
  </si>
  <si>
    <t xml:space="preserve">ER [p] </t>
  </si>
  <si>
    <t>5.2/8  </t>
  </si>
  <si>
    <t>7.3/12</t>
  </si>
  <si>
    <t>Eli Stone [p]</t>
  </si>
  <si>
    <t>Date</t>
  </si>
  <si>
    <t>3.3/6</t>
  </si>
  <si>
    <t>ABC Rating</t>
  </si>
  <si>
    <t>CBS Rating</t>
  </si>
  <si>
    <t>8.7/15</t>
  </si>
  <si>
    <t>4.9/9</t>
  </si>
  <si>
    <t>ABC Show</t>
  </si>
  <si>
    <t>CBS Show</t>
  </si>
  <si>
    <t>The Good Wife</t>
  </si>
  <si>
    <t>The Forgotten</t>
  </si>
  <si>
    <t xml:space="preserve"> 5.8/10</t>
  </si>
  <si>
    <t>7.1/13</t>
  </si>
  <si>
    <t xml:space="preserve">CMA Awards </t>
  </si>
  <si>
    <t>9.6/15</t>
  </si>
  <si>
    <t>7.6/12</t>
  </si>
  <si>
    <t xml:space="preserve">Law &amp; Order </t>
  </si>
  <si>
    <t xml:space="preserve">In the Spotlight </t>
  </si>
  <si>
    <t xml:space="preserve">Castle </t>
  </si>
  <si>
    <t>6.5/11</t>
  </si>
  <si>
    <t xml:space="preserve">CSI: Miami </t>
  </si>
  <si>
    <t>8.5/14</t>
  </si>
  <si>
    <t>3.4/6</t>
  </si>
  <si>
    <t xml:space="preserve">Numb3rs </t>
  </si>
  <si>
    <t>5.1/9</t>
  </si>
  <si>
    <t xml:space="preserve">20/20 </t>
  </si>
  <si>
    <t>3.1/5</t>
  </si>
  <si>
    <t>4.5/7</t>
  </si>
  <si>
    <t>3.6/6</t>
  </si>
  <si>
    <t xml:space="preserve"> 6.7/11</t>
  </si>
  <si>
    <t xml:space="preserve">The Forgotten </t>
  </si>
  <si>
    <t>4.8/8</t>
  </si>
  <si>
    <t xml:space="preserve"> 8.8/15</t>
  </si>
  <si>
    <t xml:space="preserve">CSI: NY </t>
  </si>
  <si>
    <t>8.4/14</t>
  </si>
  <si>
    <t>3.5/6</t>
  </si>
  <si>
    <t xml:space="preserve">Eastwick </t>
  </si>
  <si>
    <t>5.2/9</t>
  </si>
  <si>
    <t>20/20</t>
  </si>
  <si>
    <t xml:space="preserve"> 3.9/7</t>
  </si>
  <si>
    <t xml:space="preserve"> 3.2/5</t>
  </si>
  <si>
    <t>6.8/11</t>
  </si>
  <si>
    <t xml:space="preserve">CSI: Miami [r] </t>
  </si>
  <si>
    <t>7.6/13</t>
  </si>
  <si>
    <t>3.8/6</t>
  </si>
  <si>
    <t>Private Practice</t>
  </si>
  <si>
    <t xml:space="preserve">The Mentalist [r] </t>
  </si>
  <si>
    <t>4.4/7</t>
  </si>
  <si>
    <t xml:space="preserve">The Good Wife </t>
  </si>
  <si>
    <t xml:space="preserve"> 4.9/9</t>
  </si>
  <si>
    <t>Castle</t>
  </si>
  <si>
    <t>8.8/15</t>
  </si>
  <si>
    <t>4.0/7</t>
  </si>
  <si>
    <t xml:space="preserve">The Mentalist </t>
  </si>
  <si>
    <t>9.7/16</t>
  </si>
  <si>
    <t xml:space="preserve"> 6.8/12</t>
  </si>
  <si>
    <t xml:space="preserve">Fringe </t>
  </si>
  <si>
    <t xml:space="preserve">The Good Wife [r] </t>
  </si>
  <si>
    <t>6.4/11</t>
  </si>
  <si>
    <t>5.5/9</t>
  </si>
  <si>
    <t>3.9/7</t>
  </si>
  <si>
    <t xml:space="preserve">CSI: NY [r] </t>
  </si>
  <si>
    <t>6.3/10</t>
  </si>
  <si>
    <t>The Mentalist</t>
  </si>
  <si>
    <t xml:space="preserve"> 9.7/16</t>
  </si>
  <si>
    <t xml:space="preserve">Private Practice </t>
  </si>
  <si>
    <t>6.1/10</t>
  </si>
  <si>
    <t>9.1/16</t>
  </si>
  <si>
    <t>5.0/9</t>
  </si>
  <si>
    <t>4.4/8</t>
  </si>
  <si>
    <t xml:space="preserve"> 6.2/10</t>
  </si>
  <si>
    <t>9.1/15</t>
  </si>
  <si>
    <t>CSI: NY</t>
  </si>
  <si>
    <t xml:space="preserve"> 8.6/15</t>
  </si>
  <si>
    <t>4.1/7</t>
  </si>
  <si>
    <t>10.1/17</t>
  </si>
  <si>
    <t xml:space="preserve">Private Practice [p] </t>
  </si>
  <si>
    <t>Numb3rs</t>
  </si>
  <si>
    <t xml:space="preserve"> 5.1/9</t>
  </si>
  <si>
    <t>4.5/8</t>
  </si>
  <si>
    <t xml:space="preserve"> 6.1/10</t>
  </si>
  <si>
    <t>8.7/14</t>
  </si>
  <si>
    <t>4.7/7</t>
  </si>
  <si>
    <t xml:space="preserve"> 8.9/15</t>
  </si>
  <si>
    <t>8.2/14</t>
  </si>
  <si>
    <t>9.4/16</t>
  </si>
  <si>
    <t xml:space="preserve"> 6.2/11</t>
  </si>
  <si>
    <t>3.5/7</t>
  </si>
  <si>
    <t>4.6/8</t>
  </si>
  <si>
    <t>Ad Revenue</t>
  </si>
  <si>
    <t>Production Cost</t>
  </si>
  <si>
    <t>Profit</t>
  </si>
  <si>
    <t>8.0/13</t>
  </si>
  <si>
    <t>2.6/4</t>
  </si>
  <si>
    <t>4.7/8</t>
  </si>
  <si>
    <t>7.7/13</t>
  </si>
  <si>
    <t xml:space="preserve"> Eastwick </t>
  </si>
  <si>
    <t>3.4/5</t>
  </si>
  <si>
    <t xml:space="preserve">MOW: Dreamgirls </t>
  </si>
  <si>
    <t>Big Brother 11 [f]</t>
  </si>
  <si>
    <t xml:space="preserve"> 4.8/8</t>
  </si>
  <si>
    <t xml:space="preserve">Barbara Walters Special </t>
  </si>
  <si>
    <t>2.7/4</t>
  </si>
  <si>
    <t>4.3/7</t>
  </si>
  <si>
    <t xml:space="preserve">Primetime: Family Secrets </t>
  </si>
  <si>
    <t>2.7/5</t>
  </si>
  <si>
    <t>6.2/11</t>
  </si>
  <si>
    <t>5.7/10</t>
  </si>
  <si>
    <t xml:space="preserve">Private Practice [r] </t>
  </si>
  <si>
    <t>2.4/4</t>
  </si>
  <si>
    <t>The Good Wife [p]</t>
  </si>
  <si>
    <t xml:space="preserve"> 9.2/16</t>
  </si>
  <si>
    <t>The Forgotten [p]</t>
  </si>
  <si>
    <t xml:space="preserve"> 6.3/11</t>
  </si>
  <si>
    <t xml:space="preserve">CSI: NY [p] </t>
  </si>
  <si>
    <t>9.2/16</t>
  </si>
  <si>
    <t xml:space="preserve">Eastwick [p] </t>
  </si>
  <si>
    <t>5.6/10</t>
  </si>
  <si>
    <t xml:space="preserve">Grey's Anatomy [p] </t>
  </si>
  <si>
    <t>10.9/18</t>
  </si>
  <si>
    <t xml:space="preserve">The Mentalist [p] </t>
  </si>
  <si>
    <t>9.5/16</t>
  </si>
  <si>
    <t xml:space="preserve">Numb3rs [p] </t>
  </si>
  <si>
    <t>5.3/10</t>
  </si>
  <si>
    <t xml:space="preserve">10pm Time Slot </t>
  </si>
  <si>
    <t>Marketing Cost</t>
  </si>
  <si>
    <t>NBC Show</t>
  </si>
  <si>
    <t>NBC Rating</t>
  </si>
  <si>
    <t>Without a Trace [p]</t>
  </si>
  <si>
    <t xml:space="preserve"> 7.4/12</t>
  </si>
  <si>
    <t xml:space="preserve">Dancing with the Stars </t>
  </si>
  <si>
    <t>11.7/18</t>
  </si>
  <si>
    <t>5.8/9</t>
  </si>
  <si>
    <t xml:space="preserve">Law &amp; Order: SVU [p] </t>
  </si>
  <si>
    <t>6.4/10</t>
  </si>
  <si>
    <t xml:space="preserve">Eleventh Hour </t>
  </si>
  <si>
    <t>&lt; =</t>
  </si>
  <si>
    <t xml:space="preserve">Juran </t>
  </si>
  <si>
    <t>Zucker</t>
  </si>
  <si>
    <t xml:space="preserve"> Vote '08: Debate Analysis</t>
  </si>
  <si>
    <t xml:space="preserve">Debate Analysis </t>
  </si>
  <si>
    <t xml:space="preserve">Boston Legal </t>
  </si>
  <si>
    <t>5.7/9</t>
  </si>
  <si>
    <t>9.2/15</t>
  </si>
  <si>
    <t xml:space="preserve">Life [p] </t>
  </si>
  <si>
    <t>Affliate Cost?</t>
  </si>
</sst>
</file>

<file path=xl/styles.xml><?xml version="1.0" encoding="utf-8"?>
<styleSheet xmlns="http://schemas.openxmlformats.org/spreadsheetml/2006/main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&quot;$&quot;* #,##0_);_(&quot;$&quot;* \(#,##0\);_(&quot;$&quot;* &quot;-&quot;??_);_(@_)"/>
    <numFmt numFmtId="166" formatCode="&quot;$&quot;#,##0.00"/>
    <numFmt numFmtId="167" formatCode="0.0000"/>
    <numFmt numFmtId="168" formatCode="0.000"/>
    <numFmt numFmtId="169" formatCode="0_);\(0\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Verdana"/>
    </font>
    <font>
      <b/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60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16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16" fontId="0" fillId="0" borderId="0" xfId="0" applyNumberFormat="1" applyFont="1" applyAlignment="1">
      <alignment horizontal="right"/>
    </xf>
    <xf numFmtId="16" fontId="0" fillId="0" borderId="0" xfId="0" applyNumberFormat="1" applyAlignment="1">
      <alignment horizontal="center"/>
    </xf>
    <xf numFmtId="16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" fontId="0" fillId="0" borderId="0" xfId="0" applyNumberFormat="1" applyFont="1" applyFill="1" applyAlignment="1">
      <alignment horizontal="right"/>
    </xf>
    <xf numFmtId="16" fontId="0" fillId="0" borderId="0" xfId="0" applyNumberFormat="1" applyFill="1" applyAlignment="1">
      <alignment horizontal="right"/>
    </xf>
    <xf numFmtId="16" fontId="0" fillId="0" borderId="0" xfId="0" applyNumberFormat="1" applyFill="1"/>
    <xf numFmtId="2" fontId="0" fillId="0" borderId="0" xfId="0" applyNumberFormat="1" applyFill="1" applyAlignment="1">
      <alignment horizontal="center"/>
    </xf>
    <xf numFmtId="43" fontId="0" fillId="0" borderId="0" xfId="2" applyFont="1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4" fillId="0" borderId="0" xfId="0" applyFont="1" applyAlignment="1">
      <alignment horizontal="center" readingOrder="1"/>
    </xf>
    <xf numFmtId="2" fontId="0" fillId="0" borderId="0" xfId="0" applyNumberFormat="1" applyFill="1"/>
    <xf numFmtId="43" fontId="0" fillId="0" borderId="0" xfId="0" applyNumberFormat="1"/>
    <xf numFmtId="0" fontId="0" fillId="0" borderId="0" xfId="0" applyBorder="1"/>
    <xf numFmtId="0" fontId="0" fillId="0" borderId="1" xfId="0" applyBorder="1"/>
    <xf numFmtId="0" fontId="0" fillId="0" borderId="2" xfId="0" applyFill="1" applyBorder="1"/>
    <xf numFmtId="165" fontId="0" fillId="0" borderId="0" xfId="1" applyNumberFormat="1" applyFont="1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6" xfId="0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2" fontId="0" fillId="0" borderId="0" xfId="0" applyNumberFormat="1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0" fontId="0" fillId="0" borderId="0" xfId="0" quotePrefix="1" applyBorder="1"/>
    <xf numFmtId="43" fontId="0" fillId="0" borderId="1" xfId="2" applyFont="1" applyBorder="1"/>
    <xf numFmtId="0" fontId="0" fillId="2" borderId="1" xfId="0" applyFill="1" applyBorder="1" applyAlignment="1">
      <alignment horizontal="right"/>
    </xf>
    <xf numFmtId="2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wrapText="1"/>
    </xf>
    <xf numFmtId="166" fontId="0" fillId="0" borderId="0" xfId="0" applyNumberFormat="1" applyFill="1"/>
    <xf numFmtId="0" fontId="6" fillId="0" borderId="5" xfId="0" applyFont="1" applyFill="1" applyBorder="1" applyAlignment="1">
      <alignment horizontal="center" wrapText="1"/>
    </xf>
    <xf numFmtId="0" fontId="0" fillId="0" borderId="5" xfId="0" applyFill="1" applyBorder="1"/>
    <xf numFmtId="166" fontId="0" fillId="0" borderId="5" xfId="0" applyNumberFormat="1" applyFill="1" applyBorder="1"/>
    <xf numFmtId="0" fontId="3" fillId="0" borderId="0" xfId="0" applyFont="1" applyFill="1" applyAlignment="1">
      <alignment horizontal="center"/>
    </xf>
    <xf numFmtId="0" fontId="0" fillId="0" borderId="0" xfId="0" quotePrefix="1" applyFill="1" applyAlignment="1">
      <alignment horizontal="center"/>
    </xf>
    <xf numFmtId="0" fontId="0" fillId="0" borderId="0" xfId="0" applyFill="1" applyAlignment="1">
      <alignment wrapText="1"/>
    </xf>
    <xf numFmtId="0" fontId="6" fillId="0" borderId="5" xfId="0" applyFont="1" applyFill="1" applyBorder="1" applyAlignment="1">
      <alignment wrapText="1"/>
    </xf>
    <xf numFmtId="165" fontId="0" fillId="0" borderId="0" xfId="1" applyNumberFormat="1" applyFont="1" applyFill="1" applyAlignment="1">
      <alignment horizontal="center"/>
    </xf>
    <xf numFmtId="165" fontId="0" fillId="0" borderId="0" xfId="1" quotePrefix="1" applyNumberFormat="1" applyFont="1" applyFill="1" applyAlignment="1">
      <alignment horizontal="center"/>
    </xf>
    <xf numFmtId="16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/>
    <xf numFmtId="0" fontId="3" fillId="4" borderId="0" xfId="0" applyFont="1" applyFill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0" xfId="0" applyFill="1" applyBorder="1"/>
    <xf numFmtId="0" fontId="0" fillId="0" borderId="9" xfId="0" applyFill="1" applyBorder="1"/>
    <xf numFmtId="0" fontId="0" fillId="0" borderId="8" xfId="0" applyFill="1" applyBorder="1"/>
    <xf numFmtId="0" fontId="0" fillId="0" borderId="10" xfId="0" applyFill="1" applyBorder="1" applyAlignment="1">
      <alignment horizontal="left"/>
    </xf>
    <xf numFmtId="0" fontId="0" fillId="0" borderId="11" xfId="0" applyFill="1" applyBorder="1"/>
    <xf numFmtId="0" fontId="0" fillId="0" borderId="12" xfId="0" applyFill="1" applyBorder="1"/>
    <xf numFmtId="0" fontId="7" fillId="0" borderId="0" xfId="0" applyFont="1" applyAlignment="1">
      <alignment horizontal="left"/>
    </xf>
    <xf numFmtId="165" fontId="0" fillId="0" borderId="0" xfId="1" applyNumberFormat="1" applyFon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16" fontId="0" fillId="0" borderId="0" xfId="0" applyNumberFormat="1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Fill="1" applyBorder="1" applyAlignment="1">
      <alignment horizontal="left"/>
    </xf>
    <xf numFmtId="0" fontId="0" fillId="0" borderId="13" xfId="0" applyFill="1" applyBorder="1"/>
    <xf numFmtId="0" fontId="0" fillId="0" borderId="14" xfId="0" applyFill="1" applyBorder="1"/>
    <xf numFmtId="0" fontId="1" fillId="0" borderId="0" xfId="0" applyFont="1" applyAlignment="1">
      <alignment horizontal="center" wrapText="1"/>
    </xf>
    <xf numFmtId="0" fontId="1" fillId="4" borderId="6" xfId="0" applyFont="1" applyFill="1" applyBorder="1"/>
    <xf numFmtId="0" fontId="1" fillId="4" borderId="15" xfId="0" applyFont="1" applyFill="1" applyBorder="1"/>
    <xf numFmtId="0" fontId="1" fillId="4" borderId="16" xfId="0" applyFont="1" applyFill="1" applyBorder="1"/>
    <xf numFmtId="165" fontId="0" fillId="0" borderId="0" xfId="1" applyNumberFormat="1" applyFont="1" applyFill="1"/>
    <xf numFmtId="167" fontId="0" fillId="0" borderId="0" xfId="0" applyNumberFormat="1" applyFill="1"/>
    <xf numFmtId="165" fontId="0" fillId="0" borderId="0" xfId="1" applyNumberFormat="1" applyFont="1"/>
    <xf numFmtId="0" fontId="0" fillId="0" borderId="5" xfId="0" applyBorder="1"/>
    <xf numFmtId="43" fontId="0" fillId="0" borderId="0" xfId="2" applyFont="1"/>
    <xf numFmtId="0" fontId="1" fillId="0" borderId="0" xfId="0" applyFont="1"/>
    <xf numFmtId="16" fontId="1" fillId="0" borderId="0" xfId="0" applyNumberFormat="1" applyFont="1"/>
    <xf numFmtId="168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167" fontId="1" fillId="0" borderId="0" xfId="0" applyNumberFormat="1" applyFont="1"/>
    <xf numFmtId="43" fontId="0" fillId="5" borderId="0" xfId="2" applyFont="1" applyFill="1"/>
    <xf numFmtId="43" fontId="0" fillId="0" borderId="1" xfId="0" applyNumberFormat="1" applyBorder="1"/>
    <xf numFmtId="0" fontId="0" fillId="2" borderId="1" xfId="0" applyFill="1" applyBorder="1"/>
    <xf numFmtId="0" fontId="0" fillId="2" borderId="0" xfId="0" applyFill="1" applyBorder="1" applyAlignment="1">
      <alignment horizontal="right"/>
    </xf>
    <xf numFmtId="0" fontId="1" fillId="2" borderId="0" xfId="0" applyFont="1" applyFill="1"/>
    <xf numFmtId="2" fontId="0" fillId="0" borderId="1" xfId="0" applyNumberFormat="1" applyFill="1" applyBorder="1"/>
    <xf numFmtId="0" fontId="0" fillId="0" borderId="3" xfId="0" applyFill="1" applyBorder="1"/>
    <xf numFmtId="166" fontId="0" fillId="0" borderId="3" xfId="0" applyNumberFormat="1" applyFill="1" applyBorder="1"/>
    <xf numFmtId="166" fontId="0" fillId="0" borderId="0" xfId="0" applyNumberFormat="1" applyFill="1" applyBorder="1"/>
    <xf numFmtId="0" fontId="1" fillId="0" borderId="0" xfId="0" applyFont="1" applyFill="1"/>
    <xf numFmtId="0" fontId="0" fillId="0" borderId="0" xfId="0" applyFill="1" applyBorder="1" applyAlignment="1">
      <alignment horizontal="right"/>
    </xf>
    <xf numFmtId="165" fontId="0" fillId="0" borderId="1" xfId="1" applyNumberFormat="1" applyFont="1" applyBorder="1"/>
    <xf numFmtId="165" fontId="0" fillId="0" borderId="1" xfId="1" applyNumberFormat="1" applyFont="1" applyFill="1" applyBorder="1"/>
    <xf numFmtId="165" fontId="0" fillId="0" borderId="1" xfId="1" applyNumberFormat="1" applyFont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 applyFill="1" applyBorder="1" applyAlignment="1"/>
    <xf numFmtId="0" fontId="0" fillId="0" borderId="0" xfId="0" applyFont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Border="1" applyAlignment="1">
      <alignment horizontal="center" vertical="top"/>
    </xf>
    <xf numFmtId="0" fontId="0" fillId="0" borderId="0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left" vertical="top"/>
    </xf>
    <xf numFmtId="0" fontId="0" fillId="0" borderId="20" xfId="0" applyBorder="1"/>
    <xf numFmtId="0" fontId="1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 wrapText="1"/>
    </xf>
    <xf numFmtId="0" fontId="1" fillId="0" borderId="20" xfId="0" applyFont="1" applyFill="1" applyBorder="1" applyAlignment="1">
      <alignment wrapText="1"/>
    </xf>
    <xf numFmtId="0" fontId="1" fillId="4" borderId="17" xfId="0" applyFont="1" applyFill="1" applyBorder="1" applyAlignment="1">
      <alignment horizontal="centerContinuous"/>
    </xf>
    <xf numFmtId="0" fontId="0" fillId="4" borderId="18" xfId="0" applyFill="1" applyBorder="1" applyAlignment="1">
      <alignment horizontal="centerContinuous"/>
    </xf>
    <xf numFmtId="0" fontId="0" fillId="4" borderId="19" xfId="0" applyFill="1" applyBorder="1" applyAlignment="1">
      <alignment horizontal="centerContinuous"/>
    </xf>
    <xf numFmtId="0" fontId="1" fillId="0" borderId="4" xfId="0" applyFont="1" applyFill="1" applyBorder="1" applyAlignment="1">
      <alignment horizontal="center" wrapText="1"/>
    </xf>
    <xf numFmtId="1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2" fontId="0" fillId="0" borderId="0" xfId="0" applyNumberFormat="1" applyFill="1" applyBorder="1"/>
    <xf numFmtId="0" fontId="1" fillId="0" borderId="25" xfId="0" applyFont="1" applyBorder="1" applyAlignment="1">
      <alignment horizontal="right"/>
    </xf>
    <xf numFmtId="1" fontId="0" fillId="0" borderId="0" xfId="0" applyNumberFormat="1" applyFill="1" applyBorder="1" applyAlignment="1">
      <alignment horizontal="center"/>
    </xf>
    <xf numFmtId="0" fontId="1" fillId="0" borderId="25" xfId="0" applyFont="1" applyFill="1" applyBorder="1" applyAlignment="1">
      <alignment horizontal="right"/>
    </xf>
    <xf numFmtId="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quotePrefix="1" applyNumberFormat="1" applyFill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0" fillId="0" borderId="0" xfId="0" applyNumberFormat="1" applyBorder="1"/>
    <xf numFmtId="169" fontId="0" fillId="0" borderId="6" xfId="0" applyNumberFormat="1" applyBorder="1" applyAlignment="1">
      <alignment horizontal="right"/>
    </xf>
    <xf numFmtId="169" fontId="0" fillId="0" borderId="1" xfId="0" applyNumberFormat="1" applyBorder="1" applyAlignment="1">
      <alignment horizontal="right"/>
    </xf>
    <xf numFmtId="2" fontId="0" fillId="0" borderId="0" xfId="1" applyNumberFormat="1" applyFont="1" applyBorder="1"/>
    <xf numFmtId="39" fontId="0" fillId="0" borderId="1" xfId="2" applyNumberFormat="1" applyFont="1" applyBorder="1"/>
    <xf numFmtId="2" fontId="0" fillId="0" borderId="1" xfId="0" applyNumberFormat="1" applyBorder="1"/>
    <xf numFmtId="2" fontId="0" fillId="0" borderId="1" xfId="2" applyNumberFormat="1" applyFont="1" applyBorder="1"/>
    <xf numFmtId="2" fontId="0" fillId="0" borderId="1" xfId="0" applyNumberFormat="1" applyBorder="1" applyAlignment="1">
      <alignment horizontal="right"/>
    </xf>
    <xf numFmtId="0" fontId="0" fillId="0" borderId="29" xfId="0" applyNumberFormat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Viewership day-over-day</a:t>
            </a:r>
          </a:p>
        </c:rich>
      </c:tx>
      <c:layout>
        <c:manualLayout>
          <c:xMode val="edge"/>
          <c:yMode val="edge"/>
          <c:x val="0.35251066605456144"/>
          <c:y val="2.5760248476301296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v>Viewership</c:v>
          </c:tx>
          <c:dLbls>
            <c:showVal val="1"/>
          </c:dLbls>
          <c:cat>
            <c:strRef>
              <c:f>'Scaling Ratings Data'!$O$3:$O$7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'Scaling Ratings Data'!$N$3:$N$7</c:f>
              <c:numCache>
                <c:formatCode>0.0</c:formatCode>
                <c:ptCount val="5"/>
                <c:pt idx="0">
                  <c:v>17.130555555555556</c:v>
                </c:pt>
                <c:pt idx="1">
                  <c:v>17.345833333333331</c:v>
                </c:pt>
                <c:pt idx="2">
                  <c:v>16.100000000000001</c:v>
                </c:pt>
                <c:pt idx="3">
                  <c:v>19.059722222222224</c:v>
                </c:pt>
                <c:pt idx="4">
                  <c:v>13.133333333333333</c:v>
                </c:pt>
              </c:numCache>
            </c:numRef>
          </c:val>
        </c:ser>
        <c:axId val="75598080"/>
        <c:axId val="75603968"/>
      </c:barChart>
      <c:catAx>
        <c:axId val="75598080"/>
        <c:scaling>
          <c:orientation val="minMax"/>
        </c:scaling>
        <c:axPos val="b"/>
        <c:tickLblPos val="nextTo"/>
        <c:crossAx val="75603968"/>
        <c:crosses val="autoZero"/>
        <c:auto val="1"/>
        <c:lblAlgn val="ctr"/>
        <c:lblOffset val="100"/>
      </c:catAx>
      <c:valAx>
        <c:axId val="756039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Daily Network Ratings</a:t>
                </a:r>
              </a:p>
            </c:rich>
          </c:tx>
          <c:layout/>
        </c:title>
        <c:numFmt formatCode="0.0" sourceLinked="1"/>
        <c:tickLblPos val="nextTo"/>
        <c:crossAx val="75598080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27214</xdr:colOff>
      <xdr:row>8</xdr:row>
      <xdr:rowOff>68036</xdr:rowOff>
    </xdr:from>
    <xdr:to>
      <xdr:col>26</xdr:col>
      <xdr:colOff>13606</xdr:colOff>
      <xdr:row>32</xdr:row>
      <xdr:rowOff>149679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"/>
  <sheetViews>
    <sheetView workbookViewId="0">
      <selection activeCell="E7" sqref="E7:F7"/>
    </sheetView>
  </sheetViews>
  <sheetFormatPr defaultColWidth="8.85546875" defaultRowHeight="15"/>
  <cols>
    <col min="1" max="1" width="22.28515625" style="115" bestFit="1" customWidth="1"/>
    <col min="2" max="2" width="30" style="113" customWidth="1"/>
    <col min="3" max="16384" width="8.85546875" style="113"/>
  </cols>
  <sheetData>
    <row r="1" spans="1:10" s="117" customFormat="1" ht="45">
      <c r="A1" s="119" t="s">
        <v>51</v>
      </c>
      <c r="B1" s="120" t="s">
        <v>60</v>
      </c>
      <c r="I1" s="118"/>
      <c r="J1" s="118"/>
    </row>
    <row r="2" spans="1:10" s="117" customFormat="1">
      <c r="A2" s="148"/>
      <c r="B2" s="149" t="s">
        <v>389</v>
      </c>
      <c r="C2" s="150" t="s">
        <v>390</v>
      </c>
      <c r="I2" s="118"/>
      <c r="J2" s="118"/>
    </row>
    <row r="3" spans="1:10" s="117" customFormat="1">
      <c r="A3" s="121" t="s">
        <v>113</v>
      </c>
      <c r="B3" s="113">
        <v>10</v>
      </c>
      <c r="C3" s="113">
        <v>1</v>
      </c>
      <c r="I3" s="118"/>
      <c r="J3" s="118"/>
    </row>
    <row r="4" spans="1:10">
      <c r="A4" s="115" t="s">
        <v>343</v>
      </c>
      <c r="B4" s="113">
        <v>7</v>
      </c>
      <c r="C4" s="113">
        <v>9</v>
      </c>
    </row>
    <row r="5" spans="1:10">
      <c r="A5" s="115" t="s">
        <v>102</v>
      </c>
      <c r="B5" s="113">
        <v>10</v>
      </c>
      <c r="C5" s="113">
        <v>1</v>
      </c>
    </row>
    <row r="6" spans="1:10">
      <c r="A6" s="36" t="s">
        <v>397</v>
      </c>
      <c r="B6" s="113">
        <v>5</v>
      </c>
      <c r="C6" s="113">
        <v>0</v>
      </c>
    </row>
    <row r="7" spans="1:10">
      <c r="A7" s="115" t="s">
        <v>100</v>
      </c>
      <c r="B7" s="114">
        <v>9</v>
      </c>
      <c r="C7" s="114">
        <v>0</v>
      </c>
    </row>
    <row r="8" spans="1:10">
      <c r="A8" s="116" t="s">
        <v>101</v>
      </c>
      <c r="B8" s="114">
        <v>8</v>
      </c>
      <c r="C8" s="114">
        <v>1</v>
      </c>
    </row>
    <row r="9" spans="1:10">
      <c r="A9" s="65" t="s">
        <v>52</v>
      </c>
      <c r="B9" s="114">
        <v>6</v>
      </c>
      <c r="C9" s="114">
        <v>1</v>
      </c>
    </row>
  </sheetData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X229"/>
  <sheetViews>
    <sheetView zoomScale="60" zoomScaleNormal="60" zoomScalePageLayoutView="90" workbookViewId="0">
      <pane ySplit="1" topLeftCell="A2" activePane="bottomLeft" state="frozen"/>
      <selection activeCell="B1" sqref="B1"/>
      <selection pane="bottomLeft" activeCell="H135" sqref="H135"/>
    </sheetView>
  </sheetViews>
  <sheetFormatPr defaultColWidth="8.85546875" defaultRowHeight="15"/>
  <cols>
    <col min="1" max="1" width="9.140625" customWidth="1"/>
    <col min="2" max="2" width="38.85546875" customWidth="1"/>
    <col min="3" max="4" width="13.7109375" customWidth="1"/>
    <col min="5" max="6" width="14.85546875" customWidth="1"/>
    <col min="7" max="7" width="15" customWidth="1"/>
    <col min="8" max="8" width="13.7109375" customWidth="1"/>
    <col min="9" max="9" width="11.85546875" customWidth="1"/>
    <col min="10" max="10" width="16" customWidth="1"/>
    <col min="11" max="11" width="17.85546875" customWidth="1"/>
    <col min="12" max="12" width="13" bestFit="1" customWidth="1"/>
    <col min="13" max="13" width="13.42578125" bestFit="1" customWidth="1"/>
    <col min="14" max="14" width="10.42578125" customWidth="1"/>
    <col min="15" max="15" width="12.140625" customWidth="1"/>
    <col min="16" max="16" width="10.42578125" customWidth="1"/>
    <col min="17" max="17" width="7.7109375" customWidth="1"/>
  </cols>
  <sheetData>
    <row r="1" spans="1:24" s="4" customFormat="1" ht="30">
      <c r="A1" s="32" t="s">
        <v>76</v>
      </c>
      <c r="B1" s="32" t="s">
        <v>98</v>
      </c>
      <c r="C1" s="44" t="s">
        <v>88</v>
      </c>
      <c r="D1" s="44" t="s">
        <v>113</v>
      </c>
      <c r="E1" s="44" t="s">
        <v>47</v>
      </c>
      <c r="F1" s="44" t="s">
        <v>45</v>
      </c>
      <c r="G1" s="44" t="s">
        <v>50</v>
      </c>
      <c r="H1" s="44" t="s">
        <v>49</v>
      </c>
      <c r="I1" s="44" t="s">
        <v>48</v>
      </c>
      <c r="J1" s="44" t="s">
        <v>102</v>
      </c>
      <c r="K1" s="44" t="s">
        <v>53</v>
      </c>
      <c r="L1" s="45" t="s">
        <v>100</v>
      </c>
      <c r="M1" s="46" t="s">
        <v>101</v>
      </c>
      <c r="N1" s="46" t="s">
        <v>52</v>
      </c>
      <c r="O1" s="47" t="s">
        <v>105</v>
      </c>
      <c r="P1" s="44" t="s">
        <v>106</v>
      </c>
      <c r="Q1" s="33"/>
      <c r="R1" s="46" t="s">
        <v>101</v>
      </c>
      <c r="S1" s="46" t="s">
        <v>52</v>
      </c>
      <c r="T1" s="46" t="s">
        <v>0</v>
      </c>
      <c r="U1" s="33"/>
      <c r="V1" s="33"/>
      <c r="W1" s="33"/>
      <c r="X1" s="33"/>
    </row>
    <row r="2" spans="1:24">
      <c r="A2" s="101" t="s">
        <v>89</v>
      </c>
      <c r="B2" s="42" t="s">
        <v>124</v>
      </c>
      <c r="C2" s="101">
        <f>4.14</f>
        <v>4.1399999999999997</v>
      </c>
      <c r="D2" s="43">
        <f>'Scaling Ratings Data'!P3*'Juran Main Model Sheet'!$C$2</f>
        <v>4.1399999999999997</v>
      </c>
      <c r="E2" s="110">
        <f>'Crystal Ball Results'!B2</f>
        <v>101802.64</v>
      </c>
      <c r="F2" s="110">
        <f t="shared" ref="F2:F17" si="0">E2*32</f>
        <v>3257684.48</v>
      </c>
      <c r="G2" s="110">
        <v>3000000</v>
      </c>
      <c r="H2" s="110">
        <f t="shared" ref="H2:H26" si="1">15000000/24</f>
        <v>625000</v>
      </c>
      <c r="I2" s="110">
        <f t="shared" ref="I2:I17" si="2">F2-(G2+H2)</f>
        <v>-367315.52</v>
      </c>
      <c r="J2" s="34">
        <v>1</v>
      </c>
      <c r="K2" s="110">
        <f>IF(D2&lt;3,-30000,IF(D2&lt;4,-10000,0))</f>
        <v>0</v>
      </c>
      <c r="L2" s="152">
        <v>1</v>
      </c>
      <c r="M2" s="153" t="str">
        <f t="shared" ref="M2:M31" si="3">IF(D2&lt;MAX(O2:P2),"0","1")</f>
        <v>0</v>
      </c>
      <c r="N2" s="153" t="str">
        <f t="shared" ref="N2:N31" si="4">IF(D2&gt;MIN(O2:P2),"1","0")</f>
        <v>0</v>
      </c>
      <c r="O2" s="38">
        <v>5.9444444444444438</v>
      </c>
      <c r="P2" s="38">
        <v>8.0111111111111111</v>
      </c>
      <c r="Q2" s="24"/>
      <c r="R2" s="151">
        <v>0</v>
      </c>
      <c r="S2" s="151">
        <v>0</v>
      </c>
      <c r="T2" s="24"/>
      <c r="U2" s="24"/>
      <c r="V2" s="24"/>
      <c r="W2" s="24"/>
      <c r="X2" s="24"/>
    </row>
    <row r="3" spans="1:24">
      <c r="A3" s="25" t="s">
        <v>90</v>
      </c>
      <c r="B3" s="34" t="s">
        <v>125</v>
      </c>
      <c r="C3" s="25"/>
      <c r="D3" s="43">
        <f>'Scaling Ratings Data'!P4*'Juran Main Model Sheet'!$C$2</f>
        <v>4.1920269174639202</v>
      </c>
      <c r="E3" s="110">
        <f>($E$2/$D$2)*D3</f>
        <v>103081.98240311333</v>
      </c>
      <c r="F3" s="110">
        <f t="shared" si="0"/>
        <v>3298623.4368996266</v>
      </c>
      <c r="G3" s="110">
        <v>3000000</v>
      </c>
      <c r="H3" s="110">
        <f t="shared" si="1"/>
        <v>625000</v>
      </c>
      <c r="I3" s="110">
        <f t="shared" si="2"/>
        <v>-326376.56310037337</v>
      </c>
      <c r="J3" s="34">
        <v>1</v>
      </c>
      <c r="K3" s="110">
        <f t="shared" ref="K3:K31" si="5">IF(D3&lt;3,-30000,IF(D3&lt;4,-10000,0))</f>
        <v>0</v>
      </c>
      <c r="L3" s="152">
        <v>1</v>
      </c>
      <c r="M3" s="153" t="str">
        <f t="shared" si="3"/>
        <v>0</v>
      </c>
      <c r="N3" s="153" t="str">
        <f t="shared" si="4"/>
        <v>0</v>
      </c>
      <c r="O3" s="38">
        <v>6.822222222222222</v>
      </c>
      <c r="P3" s="38">
        <v>6.5111111111111102</v>
      </c>
      <c r="Q3" s="24"/>
      <c r="R3" s="151">
        <v>0</v>
      </c>
      <c r="S3" s="151">
        <v>0</v>
      </c>
      <c r="T3" s="24"/>
      <c r="U3" s="24"/>
      <c r="V3" s="24"/>
      <c r="W3" s="24"/>
      <c r="X3" s="24"/>
    </row>
    <row r="4" spans="1:24">
      <c r="A4" s="25" t="s">
        <v>91</v>
      </c>
      <c r="B4" s="34" t="s">
        <v>126</v>
      </c>
      <c r="C4" s="25"/>
      <c r="D4" s="43">
        <f>'Scaling Ratings Data'!P5*'Juran Main Model Sheet'!$C$2</f>
        <v>3.8909421112372304</v>
      </c>
      <c r="E4" s="110">
        <f>($E$2/$D$2)*D4</f>
        <v>95678.304108967088</v>
      </c>
      <c r="F4" s="110">
        <f t="shared" si="0"/>
        <v>3061705.7314869468</v>
      </c>
      <c r="G4" s="110">
        <v>3000000</v>
      </c>
      <c r="H4" s="110">
        <f t="shared" si="1"/>
        <v>625000</v>
      </c>
      <c r="I4" s="110">
        <f t="shared" si="2"/>
        <v>-563294.26851305319</v>
      </c>
      <c r="J4" s="34">
        <v>1</v>
      </c>
      <c r="K4" s="110">
        <f t="shared" si="5"/>
        <v>-10000</v>
      </c>
      <c r="L4" s="152">
        <v>1</v>
      </c>
      <c r="M4" s="153" t="str">
        <f t="shared" si="3"/>
        <v>0</v>
      </c>
      <c r="N4" s="153" t="str">
        <f t="shared" si="4"/>
        <v>0</v>
      </c>
      <c r="O4" s="38">
        <v>4.4333333333333336</v>
      </c>
      <c r="P4" s="39">
        <v>7.9666666666666668</v>
      </c>
      <c r="Q4" s="24"/>
      <c r="R4" s="151">
        <v>0</v>
      </c>
      <c r="S4" s="151">
        <v>0</v>
      </c>
      <c r="T4" s="24"/>
      <c r="U4" s="24"/>
      <c r="V4" s="24"/>
      <c r="W4" s="24"/>
      <c r="X4" s="24"/>
    </row>
    <row r="5" spans="1:24">
      <c r="A5" s="25" t="s">
        <v>107</v>
      </c>
      <c r="B5" s="34" t="s">
        <v>127</v>
      </c>
      <c r="C5" s="25"/>
      <c r="D5" s="43">
        <f>'Scaling Ratings Data'!P6*'Juran Main Model Sheet'!$C$2</f>
        <v>4.606228311983136</v>
      </c>
      <c r="E5" s="110">
        <f>($E$2/$D$2)*D5</f>
        <v>113267.19869628669</v>
      </c>
      <c r="F5" s="110">
        <f t="shared" si="0"/>
        <v>3624550.3582811742</v>
      </c>
      <c r="G5" s="110">
        <v>3000000</v>
      </c>
      <c r="H5" s="110">
        <f t="shared" si="1"/>
        <v>625000</v>
      </c>
      <c r="I5" s="110">
        <f t="shared" si="2"/>
        <v>-449.64171882579103</v>
      </c>
      <c r="J5" s="34">
        <v>1</v>
      </c>
      <c r="K5" s="110">
        <f t="shared" si="5"/>
        <v>0</v>
      </c>
      <c r="L5" s="152">
        <v>1</v>
      </c>
      <c r="M5" s="153" t="str">
        <f t="shared" si="3"/>
        <v>0</v>
      </c>
      <c r="N5" s="153" t="str">
        <f t="shared" si="4"/>
        <v>0</v>
      </c>
      <c r="O5" s="38">
        <v>6.6000000000000005</v>
      </c>
      <c r="P5" s="38">
        <v>9.2222222222222214</v>
      </c>
      <c r="Q5" s="24"/>
      <c r="R5" s="151">
        <v>0</v>
      </c>
      <c r="S5" s="151">
        <v>0</v>
      </c>
      <c r="T5" s="24"/>
      <c r="U5" s="24"/>
      <c r="V5" s="24"/>
      <c r="W5" s="24"/>
      <c r="X5" s="24"/>
    </row>
    <row r="6" spans="1:24">
      <c r="A6" s="25" t="s">
        <v>92</v>
      </c>
      <c r="B6" s="34" t="s">
        <v>128</v>
      </c>
      <c r="C6" s="25"/>
      <c r="D6" s="43">
        <f>'Scaling Ratings Data'!P7*'Juran Main Model Sheet'!$C$2</f>
        <v>3.173977622831198</v>
      </c>
      <c r="E6" s="110">
        <f>($E$2/$D$2)*D6</f>
        <v>78048.140411869623</v>
      </c>
      <c r="F6" s="110">
        <f t="shared" si="0"/>
        <v>2497540.4931798279</v>
      </c>
      <c r="G6" s="110">
        <v>3000000</v>
      </c>
      <c r="H6" s="110">
        <f t="shared" si="1"/>
        <v>625000</v>
      </c>
      <c r="I6" s="110">
        <f t="shared" si="2"/>
        <v>-1127459.5068201721</v>
      </c>
      <c r="J6" s="34">
        <v>1</v>
      </c>
      <c r="K6" s="110">
        <f t="shared" si="5"/>
        <v>-10000</v>
      </c>
      <c r="L6" s="152">
        <v>1</v>
      </c>
      <c r="M6" s="153" t="str">
        <f t="shared" si="3"/>
        <v>0</v>
      </c>
      <c r="N6" s="153" t="str">
        <f t="shared" si="4"/>
        <v>0</v>
      </c>
      <c r="O6" s="38">
        <v>4.7333333333333334</v>
      </c>
      <c r="P6" s="38">
        <v>4.8999999999999995</v>
      </c>
      <c r="Q6" s="24"/>
      <c r="R6" s="151">
        <v>0</v>
      </c>
      <c r="S6" s="151">
        <v>0</v>
      </c>
      <c r="T6" s="24"/>
      <c r="U6" s="24"/>
      <c r="V6" s="24"/>
      <c r="W6" s="24"/>
      <c r="X6" s="24"/>
    </row>
    <row r="7" spans="1:24">
      <c r="A7" s="25" t="s">
        <v>89</v>
      </c>
      <c r="B7" s="34" t="s">
        <v>114</v>
      </c>
      <c r="C7" s="25"/>
      <c r="D7" s="104">
        <f>'Scaling Ratings Data'!Q3*'Juran Main Model Sheet'!$C$8</f>
        <v>6.5674673712867335</v>
      </c>
      <c r="E7" s="111">
        <f>($E$8/$D$8)*D7</f>
        <v>149390.34818480266</v>
      </c>
      <c r="F7" s="110">
        <f t="shared" si="0"/>
        <v>4780491.141913685</v>
      </c>
      <c r="G7" s="110">
        <v>3000000</v>
      </c>
      <c r="H7" s="110">
        <f t="shared" si="1"/>
        <v>625000</v>
      </c>
      <c r="I7" s="110">
        <f t="shared" si="2"/>
        <v>1155491.141913685</v>
      </c>
      <c r="J7" s="34">
        <v>0</v>
      </c>
      <c r="K7" s="110">
        <f t="shared" si="5"/>
        <v>0</v>
      </c>
      <c r="L7" s="152">
        <v>1</v>
      </c>
      <c r="M7" s="153" t="str">
        <f t="shared" si="3"/>
        <v>0</v>
      </c>
      <c r="N7" s="153" t="str">
        <f t="shared" si="4"/>
        <v>1</v>
      </c>
      <c r="O7" s="38">
        <v>5.9444444444444438</v>
      </c>
      <c r="P7" s="38">
        <v>8.0111111111111111</v>
      </c>
      <c r="Q7" s="24"/>
      <c r="R7" s="151">
        <v>0</v>
      </c>
      <c r="S7" s="151">
        <v>1</v>
      </c>
      <c r="T7" s="24"/>
      <c r="U7" s="24"/>
      <c r="V7" s="24"/>
      <c r="W7" s="24"/>
      <c r="X7" s="24"/>
    </row>
    <row r="8" spans="1:24">
      <c r="A8" s="101" t="s">
        <v>90</v>
      </c>
      <c r="B8" s="42" t="s">
        <v>115</v>
      </c>
      <c r="C8" s="101">
        <f>6.65</f>
        <v>6.65</v>
      </c>
      <c r="D8" s="104">
        <f>'Scaling Ratings Data'!Q4*'Juran Main Model Sheet'!$C$8</f>
        <v>6.65</v>
      </c>
      <c r="E8" s="110">
        <f>'Crystal Ball Results'!B3</f>
        <v>151267.72</v>
      </c>
      <c r="F8" s="110">
        <f t="shared" si="0"/>
        <v>4840567.04</v>
      </c>
      <c r="G8" s="110">
        <v>3000000</v>
      </c>
      <c r="H8" s="110">
        <f t="shared" si="1"/>
        <v>625000</v>
      </c>
      <c r="I8" s="110">
        <f t="shared" si="2"/>
        <v>1215567.04</v>
      </c>
      <c r="J8" s="34">
        <v>0</v>
      </c>
      <c r="K8" s="110">
        <f t="shared" si="5"/>
        <v>0</v>
      </c>
      <c r="L8" s="152">
        <v>1</v>
      </c>
      <c r="M8" s="153" t="str">
        <f t="shared" si="3"/>
        <v>0</v>
      </c>
      <c r="N8" s="153" t="str">
        <f t="shared" si="4"/>
        <v>1</v>
      </c>
      <c r="O8" s="38">
        <v>6.822222222222222</v>
      </c>
      <c r="P8" s="38">
        <v>6.5111111111111102</v>
      </c>
      <c r="Q8" s="24"/>
      <c r="R8" s="151">
        <v>0</v>
      </c>
      <c r="S8" s="151">
        <v>1</v>
      </c>
      <c r="T8" s="24"/>
      <c r="U8" s="24"/>
      <c r="V8" s="24"/>
      <c r="W8" s="24"/>
      <c r="X8" s="24"/>
    </row>
    <row r="9" spans="1:24">
      <c r="A9" s="25" t="s">
        <v>91</v>
      </c>
      <c r="B9" s="34" t="s">
        <v>116</v>
      </c>
      <c r="C9" s="25"/>
      <c r="D9" s="104">
        <f>'Scaling Ratings Data'!Q5*'Juran Main Model Sheet'!$C$8</f>
        <v>6.1723756906077361</v>
      </c>
      <c r="E9" s="111">
        <f>($E$8/$D$8)*D9</f>
        <v>140403.18762430942</v>
      </c>
      <c r="F9" s="110">
        <f t="shared" si="0"/>
        <v>4492902.0039779013</v>
      </c>
      <c r="G9" s="110">
        <v>3000000</v>
      </c>
      <c r="H9" s="110">
        <f t="shared" si="1"/>
        <v>625000</v>
      </c>
      <c r="I9" s="110">
        <f t="shared" si="2"/>
        <v>867902.0039779013</v>
      </c>
      <c r="J9" s="34">
        <v>0</v>
      </c>
      <c r="K9" s="110">
        <f t="shared" si="5"/>
        <v>0</v>
      </c>
      <c r="L9" s="152">
        <v>1</v>
      </c>
      <c r="M9" s="153" t="str">
        <f t="shared" si="3"/>
        <v>0</v>
      </c>
      <c r="N9" s="153" t="str">
        <f t="shared" si="4"/>
        <v>1</v>
      </c>
      <c r="O9" s="38">
        <v>4.4333333333333336</v>
      </c>
      <c r="P9" s="39">
        <v>7.9666666666666668</v>
      </c>
      <c r="Q9" s="24"/>
      <c r="R9" s="151">
        <v>0</v>
      </c>
      <c r="S9" s="151">
        <v>1</v>
      </c>
      <c r="T9" s="24"/>
      <c r="U9" s="24"/>
      <c r="V9" s="24"/>
      <c r="W9" s="24"/>
      <c r="X9" s="24"/>
    </row>
    <row r="10" spans="1:24">
      <c r="A10" s="25" t="s">
        <v>107</v>
      </c>
      <c r="B10" s="34" t="s">
        <v>117</v>
      </c>
      <c r="C10" s="25"/>
      <c r="D10" s="104">
        <f>'Scaling Ratings Data'!Q6*'Juran Main Model Sheet'!$C$8</f>
        <v>7.3070662182720811</v>
      </c>
      <c r="E10" s="111">
        <f>($E$8/$D$8)*D10</f>
        <v>166214.02206421655</v>
      </c>
      <c r="F10" s="110">
        <f t="shared" si="0"/>
        <v>5318848.7060549296</v>
      </c>
      <c r="G10" s="110">
        <v>3000000</v>
      </c>
      <c r="H10" s="110">
        <f t="shared" si="1"/>
        <v>625000</v>
      </c>
      <c r="I10" s="110">
        <f t="shared" si="2"/>
        <v>1693848.7060549296</v>
      </c>
      <c r="J10" s="34">
        <v>0</v>
      </c>
      <c r="K10" s="110">
        <f t="shared" si="5"/>
        <v>0</v>
      </c>
      <c r="L10" s="152">
        <v>1</v>
      </c>
      <c r="M10" s="153" t="str">
        <f t="shared" si="3"/>
        <v>0</v>
      </c>
      <c r="N10" s="153" t="str">
        <f t="shared" si="4"/>
        <v>1</v>
      </c>
      <c r="O10" s="38">
        <v>6.6000000000000005</v>
      </c>
      <c r="P10" s="38">
        <v>9.2222222222222214</v>
      </c>
      <c r="Q10" s="24"/>
      <c r="R10" s="151">
        <v>0</v>
      </c>
      <c r="S10" s="151">
        <v>1</v>
      </c>
      <c r="T10" s="24"/>
      <c r="U10" s="24"/>
      <c r="V10" s="24"/>
      <c r="W10" s="24"/>
      <c r="X10" s="24"/>
    </row>
    <row r="11" spans="1:24">
      <c r="A11" s="25" t="s">
        <v>92</v>
      </c>
      <c r="B11" s="34" t="s">
        <v>118</v>
      </c>
      <c r="C11" s="25"/>
      <c r="D11" s="104">
        <f>'Scaling Ratings Data'!Q7*'Juran Main Model Sheet'!$C$8</f>
        <v>5.0350228200816725</v>
      </c>
      <c r="E11" s="111">
        <f>($E$8/$D$8)*D11</f>
        <v>114531.79280326689</v>
      </c>
      <c r="F11" s="110">
        <f t="shared" si="0"/>
        <v>3665017.3697045404</v>
      </c>
      <c r="G11" s="110">
        <v>3000000</v>
      </c>
      <c r="H11" s="110">
        <f t="shared" si="1"/>
        <v>625000</v>
      </c>
      <c r="I11" s="110">
        <f t="shared" si="2"/>
        <v>40017.369704540353</v>
      </c>
      <c r="J11" s="34">
        <v>0</v>
      </c>
      <c r="K11" s="110">
        <f t="shared" si="5"/>
        <v>0</v>
      </c>
      <c r="L11" s="152">
        <v>1</v>
      </c>
      <c r="M11" s="153" t="str">
        <f t="shared" si="3"/>
        <v>1</v>
      </c>
      <c r="N11" s="153" t="str">
        <f t="shared" si="4"/>
        <v>1</v>
      </c>
      <c r="O11" s="38">
        <v>4.7333333333333334</v>
      </c>
      <c r="P11" s="38">
        <v>4.8999999999999995</v>
      </c>
      <c r="Q11" s="24"/>
      <c r="R11" s="151">
        <v>1</v>
      </c>
      <c r="S11" s="151">
        <v>1</v>
      </c>
      <c r="T11" s="24"/>
      <c r="U11" s="24"/>
      <c r="V11" s="24"/>
      <c r="W11" s="24"/>
      <c r="X11" s="24"/>
    </row>
    <row r="12" spans="1:24">
      <c r="A12" s="25" t="s">
        <v>89</v>
      </c>
      <c r="B12" s="34" t="s">
        <v>129</v>
      </c>
      <c r="C12" s="25"/>
      <c r="D12" s="43">
        <f>'Scaling Ratings Data'!R3*'Juran Main Model Sheet'!$C$14</f>
        <v>3.1813888888888893</v>
      </c>
      <c r="E12" s="111">
        <f>($E$14/$D$14)*D12</f>
        <v>87421.193756038658</v>
      </c>
      <c r="F12" s="110">
        <f t="shared" si="0"/>
        <v>2797478.200193237</v>
      </c>
      <c r="G12" s="110">
        <v>3000000</v>
      </c>
      <c r="H12" s="110">
        <f t="shared" si="1"/>
        <v>625000</v>
      </c>
      <c r="I12" s="110">
        <f t="shared" si="2"/>
        <v>-827521.79980676295</v>
      </c>
      <c r="J12" s="34">
        <v>1</v>
      </c>
      <c r="K12" s="110">
        <f t="shared" si="5"/>
        <v>-10000</v>
      </c>
      <c r="L12" s="152">
        <v>1</v>
      </c>
      <c r="M12" s="153" t="str">
        <f t="shared" si="3"/>
        <v>0</v>
      </c>
      <c r="N12" s="153" t="str">
        <f t="shared" si="4"/>
        <v>0</v>
      </c>
      <c r="O12" s="38">
        <v>5.9444444444444438</v>
      </c>
      <c r="P12" s="38">
        <v>8.0111111111111111</v>
      </c>
      <c r="Q12" s="24"/>
      <c r="R12" s="151">
        <v>0</v>
      </c>
      <c r="S12" s="151">
        <v>0</v>
      </c>
      <c r="T12" s="24"/>
      <c r="U12" s="24"/>
      <c r="V12" s="24"/>
      <c r="W12" s="24"/>
      <c r="X12" s="24"/>
    </row>
    <row r="13" spans="1:24">
      <c r="A13" s="25" t="s">
        <v>90</v>
      </c>
      <c r="B13" s="34" t="s">
        <v>130</v>
      </c>
      <c r="C13" s="25"/>
      <c r="D13" s="43">
        <f>'Scaling Ratings Data'!R4*'Juran Main Model Sheet'!$C$14</f>
        <v>3.2213690476190471</v>
      </c>
      <c r="E13" s="111">
        <f>($E$14/$D$14)*D13</f>
        <v>88519.806130952362</v>
      </c>
      <c r="F13" s="110">
        <f t="shared" si="0"/>
        <v>2832633.7961904756</v>
      </c>
      <c r="G13" s="110">
        <v>3000000</v>
      </c>
      <c r="H13" s="110">
        <f t="shared" si="1"/>
        <v>625000</v>
      </c>
      <c r="I13" s="110">
        <f t="shared" si="2"/>
        <v>-792366.20380952442</v>
      </c>
      <c r="J13" s="34">
        <v>1</v>
      </c>
      <c r="K13" s="110">
        <f t="shared" si="5"/>
        <v>-10000</v>
      </c>
      <c r="L13" s="152">
        <v>1</v>
      </c>
      <c r="M13" s="153" t="str">
        <f t="shared" si="3"/>
        <v>0</v>
      </c>
      <c r="N13" s="153" t="str">
        <f t="shared" si="4"/>
        <v>0</v>
      </c>
      <c r="O13" s="38">
        <v>6.822222222222222</v>
      </c>
      <c r="P13" s="38">
        <v>6.5111111111111102</v>
      </c>
      <c r="Q13" s="24"/>
      <c r="R13" s="151">
        <v>0</v>
      </c>
      <c r="S13" s="151">
        <v>0</v>
      </c>
      <c r="T13" s="24"/>
      <c r="U13" s="24"/>
      <c r="V13" s="24"/>
      <c r="W13" s="24"/>
      <c r="X13" s="24"/>
    </row>
    <row r="14" spans="1:24">
      <c r="A14" s="101" t="s">
        <v>91</v>
      </c>
      <c r="B14" s="42" t="s">
        <v>131</v>
      </c>
      <c r="C14" s="101">
        <f>2.99</f>
        <v>2.99</v>
      </c>
      <c r="D14" s="43">
        <f>'Scaling Ratings Data'!R5*'Juran Main Model Sheet'!$C$14</f>
        <v>2.99</v>
      </c>
      <c r="E14" s="110">
        <f>'Crystal Ball Results'!B4</f>
        <v>82162.03</v>
      </c>
      <c r="F14" s="110">
        <f t="shared" si="0"/>
        <v>2629184.96</v>
      </c>
      <c r="G14" s="110">
        <v>3000000</v>
      </c>
      <c r="H14" s="110">
        <f t="shared" si="1"/>
        <v>625000</v>
      </c>
      <c r="I14" s="110">
        <f t="shared" si="2"/>
        <v>-995815.04</v>
      </c>
      <c r="J14" s="34">
        <v>1</v>
      </c>
      <c r="K14" s="110">
        <f t="shared" si="5"/>
        <v>-30000</v>
      </c>
      <c r="L14" s="152">
        <v>1</v>
      </c>
      <c r="M14" s="153" t="str">
        <f t="shared" si="3"/>
        <v>0</v>
      </c>
      <c r="N14" s="153" t="str">
        <f t="shared" si="4"/>
        <v>0</v>
      </c>
      <c r="O14" s="38">
        <v>4.4333333333333336</v>
      </c>
      <c r="P14" s="39">
        <v>7.9666666666666668</v>
      </c>
      <c r="Q14" s="24"/>
      <c r="R14" s="151">
        <v>0</v>
      </c>
      <c r="S14" s="151">
        <v>0</v>
      </c>
      <c r="T14" s="24"/>
      <c r="U14" s="24"/>
      <c r="V14" s="24"/>
      <c r="W14" s="24"/>
      <c r="X14" s="24"/>
    </row>
    <row r="15" spans="1:24">
      <c r="A15" s="25" t="s">
        <v>107</v>
      </c>
      <c r="B15" s="34" t="s">
        <v>132</v>
      </c>
      <c r="C15" s="25"/>
      <c r="D15" s="43">
        <f>'Scaling Ratings Data'!R6*'Juran Main Model Sheet'!$C$14</f>
        <v>3.5396626984126991</v>
      </c>
      <c r="E15" s="111">
        <f>($E$14/$D$14)*D15</f>
        <v>97266.178199620452</v>
      </c>
      <c r="F15" s="110">
        <f t="shared" si="0"/>
        <v>3112517.7023878545</v>
      </c>
      <c r="G15" s="110">
        <v>3000000</v>
      </c>
      <c r="H15" s="110">
        <f t="shared" si="1"/>
        <v>625000</v>
      </c>
      <c r="I15" s="110">
        <f t="shared" si="2"/>
        <v>-512482.29761214554</v>
      </c>
      <c r="J15" s="34">
        <v>1</v>
      </c>
      <c r="K15" s="110">
        <f t="shared" si="5"/>
        <v>-10000</v>
      </c>
      <c r="L15" s="152">
        <v>1</v>
      </c>
      <c r="M15" s="153" t="str">
        <f t="shared" si="3"/>
        <v>0</v>
      </c>
      <c r="N15" s="153" t="str">
        <f t="shared" si="4"/>
        <v>0</v>
      </c>
      <c r="O15" s="38">
        <v>6.6000000000000005</v>
      </c>
      <c r="P15" s="38">
        <v>9.2222222222222214</v>
      </c>
      <c r="Q15" s="24"/>
      <c r="R15" s="151">
        <v>0</v>
      </c>
      <c r="S15" s="151">
        <v>0</v>
      </c>
      <c r="T15" s="24"/>
      <c r="U15" s="24"/>
      <c r="V15" s="24"/>
      <c r="W15" s="24"/>
      <c r="X15" s="24"/>
    </row>
    <row r="16" spans="1:24">
      <c r="A16" s="25" t="s">
        <v>92</v>
      </c>
      <c r="B16" s="34" t="s">
        <v>133</v>
      </c>
      <c r="C16" s="25"/>
      <c r="D16" s="43">
        <f>'Scaling Ratings Data'!R7*'Juran Main Model Sheet'!$C$14</f>
        <v>2.4390476190476189</v>
      </c>
      <c r="E16" s="111">
        <f>($E$14/$D$14)*D16</f>
        <v>67022.442691511387</v>
      </c>
      <c r="F16" s="110">
        <f t="shared" si="0"/>
        <v>2144718.1661283644</v>
      </c>
      <c r="G16" s="110">
        <v>3000000</v>
      </c>
      <c r="H16" s="110">
        <f t="shared" si="1"/>
        <v>625000</v>
      </c>
      <c r="I16" s="110">
        <f t="shared" si="2"/>
        <v>-1480281.8338716356</v>
      </c>
      <c r="J16" s="34">
        <v>1</v>
      </c>
      <c r="K16" s="110">
        <f t="shared" si="5"/>
        <v>-30000</v>
      </c>
      <c r="L16" s="152">
        <v>1</v>
      </c>
      <c r="M16" s="153" t="str">
        <f t="shared" si="3"/>
        <v>0</v>
      </c>
      <c r="N16" s="153" t="str">
        <f t="shared" si="4"/>
        <v>0</v>
      </c>
      <c r="O16" s="38">
        <v>4.7333333333333334</v>
      </c>
      <c r="P16" s="38">
        <v>4.8999999999999995</v>
      </c>
      <c r="Q16" s="24"/>
      <c r="R16" s="151">
        <v>0</v>
      </c>
      <c r="S16" s="151">
        <v>0</v>
      </c>
      <c r="T16" s="24"/>
      <c r="U16" s="24"/>
      <c r="V16" s="24"/>
      <c r="W16" s="24"/>
      <c r="X16" s="24"/>
    </row>
    <row r="17" spans="1:24">
      <c r="A17" s="25" t="s">
        <v>89</v>
      </c>
      <c r="B17" s="34" t="s">
        <v>108</v>
      </c>
      <c r="C17" s="25"/>
      <c r="D17" s="43">
        <f>'Scaling Ratings Data'!S3*'Juran Main Model Sheet'!$C$20</f>
        <v>5.2578809298258395</v>
      </c>
      <c r="E17" s="110">
        <f>($E$20/$D$20)*D17</f>
        <v>98550.250846024908</v>
      </c>
      <c r="F17" s="110">
        <f t="shared" si="0"/>
        <v>3153608.0270727971</v>
      </c>
      <c r="G17" s="110">
        <v>3000000</v>
      </c>
      <c r="H17" s="110">
        <f>15000000/24</f>
        <v>625000</v>
      </c>
      <c r="I17" s="110">
        <f t="shared" si="2"/>
        <v>-471391.97292720294</v>
      </c>
      <c r="J17" s="34">
        <v>1</v>
      </c>
      <c r="K17" s="110">
        <f t="shared" si="5"/>
        <v>0</v>
      </c>
      <c r="L17" s="152">
        <v>1</v>
      </c>
      <c r="M17" s="153" t="str">
        <f t="shared" si="3"/>
        <v>0</v>
      </c>
      <c r="N17" s="153" t="str">
        <f t="shared" si="4"/>
        <v>0</v>
      </c>
      <c r="O17" s="38">
        <v>5.9444444444444438</v>
      </c>
      <c r="P17" s="38">
        <v>8.0111111111111111</v>
      </c>
      <c r="Q17" s="24"/>
      <c r="R17" s="151">
        <v>0</v>
      </c>
      <c r="S17" s="151">
        <v>0</v>
      </c>
      <c r="T17" s="24"/>
      <c r="U17" s="24"/>
      <c r="V17" s="24"/>
      <c r="W17" s="24"/>
      <c r="X17" s="24"/>
    </row>
    <row r="18" spans="1:24">
      <c r="A18" s="25" t="s">
        <v>90</v>
      </c>
      <c r="B18" s="34" t="s">
        <v>109</v>
      </c>
      <c r="C18" s="25"/>
      <c r="D18" s="43">
        <f>'Scaling Ratings Data'!S4*'Juran Main Model Sheet'!$C$20</f>
        <v>5.3239561320410971</v>
      </c>
      <c r="E18" s="110">
        <f>($E$20/$D$20)*D18</f>
        <v>99788.720838009147</v>
      </c>
      <c r="F18" s="110">
        <f t="shared" ref="F18:F31" si="6">E18*32</f>
        <v>3193239.0668162927</v>
      </c>
      <c r="G18" s="110">
        <v>3000000</v>
      </c>
      <c r="H18" s="110">
        <f t="shared" si="1"/>
        <v>625000</v>
      </c>
      <c r="I18" s="110">
        <f>F18-(G18+H18)</f>
        <v>-431760.9331837073</v>
      </c>
      <c r="J18" s="34">
        <v>1</v>
      </c>
      <c r="K18" s="110">
        <f t="shared" si="5"/>
        <v>0</v>
      </c>
      <c r="L18" s="152">
        <v>1</v>
      </c>
      <c r="M18" s="153" t="str">
        <f t="shared" si="3"/>
        <v>0</v>
      </c>
      <c r="N18" s="153" t="str">
        <f t="shared" si="4"/>
        <v>0</v>
      </c>
      <c r="O18" s="38">
        <v>6.822222222222222</v>
      </c>
      <c r="P18" s="38">
        <v>6.5111111111111102</v>
      </c>
      <c r="Q18" s="24"/>
      <c r="R18" s="151">
        <v>0</v>
      </c>
      <c r="S18" s="151">
        <v>0</v>
      </c>
      <c r="T18" s="24"/>
      <c r="U18" s="24"/>
      <c r="V18" s="24"/>
      <c r="W18" s="24"/>
      <c r="X18" s="24"/>
    </row>
    <row r="19" spans="1:24">
      <c r="A19" s="25" t="s">
        <v>91</v>
      </c>
      <c r="B19" s="34" t="s">
        <v>110</v>
      </c>
      <c r="C19" s="25"/>
      <c r="D19" s="43">
        <f>'Scaling Ratings Data'!S5*'Juran Main Model Sheet'!$C$20</f>
        <v>4.9415725424469867</v>
      </c>
      <c r="E19" s="110">
        <f>($E$20/$D$20)*D19</f>
        <v>92621.575142461559</v>
      </c>
      <c r="F19" s="110">
        <f t="shared" si="6"/>
        <v>2963890.4045587699</v>
      </c>
      <c r="G19" s="110">
        <v>3000000</v>
      </c>
      <c r="H19" s="110">
        <f t="shared" si="1"/>
        <v>625000</v>
      </c>
      <c r="I19" s="110">
        <f>F19-(G19+H19)</f>
        <v>-661109.59544123011</v>
      </c>
      <c r="J19" s="34">
        <v>1</v>
      </c>
      <c r="K19" s="110">
        <f t="shared" si="5"/>
        <v>0</v>
      </c>
      <c r="L19" s="152">
        <v>1</v>
      </c>
      <c r="M19" s="153" t="str">
        <f t="shared" si="3"/>
        <v>0</v>
      </c>
      <c r="N19" s="153" t="str">
        <f t="shared" si="4"/>
        <v>1</v>
      </c>
      <c r="O19" s="38">
        <v>4.4333333333333336</v>
      </c>
      <c r="P19" s="39">
        <v>7.9666666666666668</v>
      </c>
      <c r="Q19" s="24"/>
      <c r="R19" s="151">
        <v>0</v>
      </c>
      <c r="S19" s="151">
        <v>1</v>
      </c>
      <c r="T19" s="24"/>
      <c r="U19" s="24"/>
      <c r="V19" s="24"/>
      <c r="W19" s="24"/>
      <c r="X19" s="24"/>
    </row>
    <row r="20" spans="1:24">
      <c r="A20" s="101" t="s">
        <v>107</v>
      </c>
      <c r="B20" s="42" t="s">
        <v>111</v>
      </c>
      <c r="C20" s="101">
        <f>5.85</f>
        <v>5.85</v>
      </c>
      <c r="D20" s="43">
        <f>'Scaling Ratings Data'!S6*'Juran Main Model Sheet'!$C$20</f>
        <v>5.85</v>
      </c>
      <c r="E20" s="110">
        <f>'Crystal Ball Results'!B5</f>
        <v>109648.54</v>
      </c>
      <c r="F20" s="110">
        <f t="shared" si="6"/>
        <v>3508753.28</v>
      </c>
      <c r="G20" s="110">
        <v>3000000</v>
      </c>
      <c r="H20" s="110">
        <f t="shared" si="1"/>
        <v>625000</v>
      </c>
      <c r="I20" s="110">
        <f>F20-(G20+H20)</f>
        <v>-116246.7200000002</v>
      </c>
      <c r="J20" s="34">
        <v>1</v>
      </c>
      <c r="K20" s="110">
        <f t="shared" si="5"/>
        <v>0</v>
      </c>
      <c r="L20" s="152">
        <v>1</v>
      </c>
      <c r="M20" s="153" t="str">
        <f t="shared" si="3"/>
        <v>0</v>
      </c>
      <c r="N20" s="153" t="str">
        <f t="shared" si="4"/>
        <v>0</v>
      </c>
      <c r="O20" s="38">
        <v>6.6000000000000005</v>
      </c>
      <c r="P20" s="38">
        <v>9.2222222222222214</v>
      </c>
      <c r="Q20" s="24"/>
      <c r="R20" s="151">
        <v>0</v>
      </c>
      <c r="S20" s="151">
        <v>0</v>
      </c>
      <c r="T20" s="24"/>
      <c r="U20" s="24"/>
      <c r="V20" s="24"/>
      <c r="W20" s="24"/>
      <c r="X20" s="24"/>
    </row>
    <row r="21" spans="1:24">
      <c r="A21" s="25" t="s">
        <v>92</v>
      </c>
      <c r="B21" s="34" t="s">
        <v>112</v>
      </c>
      <c r="C21" s="25"/>
      <c r="D21" s="43">
        <f>'Scaling Ratings Data'!S7*'Juran Main Model Sheet'!$C$20</f>
        <v>4.0310136267579972</v>
      </c>
      <c r="E21" s="110">
        <f>($E$20/$D$20)*D21</f>
        <v>75554.6596400204</v>
      </c>
      <c r="F21" s="110">
        <f t="shared" si="6"/>
        <v>2417749.1084806528</v>
      </c>
      <c r="G21" s="110">
        <v>3000000</v>
      </c>
      <c r="H21" s="110">
        <f t="shared" si="1"/>
        <v>625000</v>
      </c>
      <c r="I21" s="110">
        <f>F21-(G21+H21)</f>
        <v>-1207250.8915193472</v>
      </c>
      <c r="J21" s="34">
        <v>1</v>
      </c>
      <c r="K21" s="110">
        <f t="shared" si="5"/>
        <v>0</v>
      </c>
      <c r="L21" s="152">
        <v>1</v>
      </c>
      <c r="M21" s="153" t="str">
        <f t="shared" si="3"/>
        <v>0</v>
      </c>
      <c r="N21" s="153" t="str">
        <f t="shared" si="4"/>
        <v>0</v>
      </c>
      <c r="O21" s="38">
        <v>4.7333333333333334</v>
      </c>
      <c r="P21" s="38">
        <v>4.8999999999999995</v>
      </c>
      <c r="Q21" s="24"/>
      <c r="R21" s="151">
        <v>0</v>
      </c>
      <c r="S21" s="151">
        <v>0</v>
      </c>
      <c r="T21" s="24"/>
      <c r="U21" s="24"/>
      <c r="V21" s="24"/>
      <c r="W21" s="24"/>
      <c r="X21" s="24"/>
    </row>
    <row r="22" spans="1:24">
      <c r="A22" s="25" t="s">
        <v>89</v>
      </c>
      <c r="B22" s="34" t="s">
        <v>119</v>
      </c>
      <c r="C22" s="25"/>
      <c r="D22" s="43">
        <f>'Scaling Ratings Data'!T3*'Juran Main Model Sheet'!$C$26</f>
        <v>5.0869923857868029</v>
      </c>
      <c r="E22" s="110">
        <f>($E$26/$D$26)*D22</f>
        <v>117058.06005922168</v>
      </c>
      <c r="F22" s="110">
        <f t="shared" si="6"/>
        <v>3745857.9218950938</v>
      </c>
      <c r="G22" s="110">
        <v>3000000</v>
      </c>
      <c r="H22" s="110">
        <f t="shared" si="1"/>
        <v>625000</v>
      </c>
      <c r="I22" s="110">
        <f t="shared" ref="I22:I31" si="7">F22-(G22+H22)</f>
        <v>120857.92189509375</v>
      </c>
      <c r="J22" s="34">
        <v>1</v>
      </c>
      <c r="K22" s="110">
        <f t="shared" si="5"/>
        <v>0</v>
      </c>
      <c r="L22" s="152">
        <v>1</v>
      </c>
      <c r="M22" s="153" t="str">
        <f t="shared" si="3"/>
        <v>0</v>
      </c>
      <c r="N22" s="153" t="str">
        <f t="shared" si="4"/>
        <v>0</v>
      </c>
      <c r="O22" s="38">
        <v>5.9444444444444438</v>
      </c>
      <c r="P22" s="38">
        <v>8.0111111111111111</v>
      </c>
      <c r="Q22" s="24"/>
      <c r="R22" s="151">
        <v>0</v>
      </c>
      <c r="S22" s="151">
        <v>0</v>
      </c>
      <c r="T22" s="24"/>
      <c r="U22" s="24"/>
      <c r="V22" s="24"/>
      <c r="W22" s="24"/>
      <c r="X22" s="24"/>
    </row>
    <row r="23" spans="1:24">
      <c r="A23" s="25" t="s">
        <v>90</v>
      </c>
      <c r="B23" s="34" t="s">
        <v>120</v>
      </c>
      <c r="C23" s="25"/>
      <c r="D23" s="43">
        <f>'Scaling Ratings Data'!T4*'Juran Main Model Sheet'!$C$26</f>
        <v>5.150920050761421</v>
      </c>
      <c r="E23" s="110">
        <f>($E$26/$D$26)*D23</f>
        <v>118529.1156218274</v>
      </c>
      <c r="F23" s="110">
        <f t="shared" si="6"/>
        <v>3792931.6998984767</v>
      </c>
      <c r="G23" s="110">
        <v>3000000</v>
      </c>
      <c r="H23" s="110">
        <f t="shared" si="1"/>
        <v>625000</v>
      </c>
      <c r="I23" s="110">
        <f t="shared" si="7"/>
        <v>167931.69989847671</v>
      </c>
      <c r="J23" s="34">
        <v>1</v>
      </c>
      <c r="K23" s="110">
        <f t="shared" si="5"/>
        <v>0</v>
      </c>
      <c r="L23" s="152">
        <v>1</v>
      </c>
      <c r="M23" s="153" t="str">
        <f t="shared" si="3"/>
        <v>0</v>
      </c>
      <c r="N23" s="153" t="str">
        <f t="shared" si="4"/>
        <v>0</v>
      </c>
      <c r="O23" s="38">
        <v>6.822222222222222</v>
      </c>
      <c r="P23" s="38">
        <v>6.5111111111111102</v>
      </c>
      <c r="Q23" s="24"/>
      <c r="R23" s="151">
        <v>0</v>
      </c>
      <c r="S23" s="151">
        <v>0</v>
      </c>
      <c r="T23" s="24"/>
      <c r="U23" s="24"/>
      <c r="V23" s="24"/>
      <c r="W23" s="24"/>
      <c r="X23" s="24"/>
    </row>
    <row r="24" spans="1:24">
      <c r="A24" s="25" t="s">
        <v>91</v>
      </c>
      <c r="B24" s="34" t="s">
        <v>121</v>
      </c>
      <c r="C24" s="25"/>
      <c r="D24" s="43">
        <f>'Scaling Ratings Data'!T5*'Juran Main Model Sheet'!$C$26</f>
        <v>4.7809644670050764</v>
      </c>
      <c r="E24" s="110">
        <f>($E$26/$D$26)*D24</f>
        <v>110015.97472081218</v>
      </c>
      <c r="F24" s="110">
        <f t="shared" si="6"/>
        <v>3520511.1910659899</v>
      </c>
      <c r="G24" s="110">
        <v>3000000</v>
      </c>
      <c r="H24" s="110">
        <f t="shared" si="1"/>
        <v>625000</v>
      </c>
      <c r="I24" s="110">
        <f t="shared" si="7"/>
        <v>-104488.8089340101</v>
      </c>
      <c r="J24" s="34">
        <v>1</v>
      </c>
      <c r="K24" s="110">
        <f t="shared" si="5"/>
        <v>0</v>
      </c>
      <c r="L24" s="152">
        <v>1</v>
      </c>
      <c r="M24" s="153" t="str">
        <f t="shared" si="3"/>
        <v>0</v>
      </c>
      <c r="N24" s="153" t="str">
        <f t="shared" si="4"/>
        <v>1</v>
      </c>
      <c r="O24" s="38">
        <v>4.4333333333333336</v>
      </c>
      <c r="P24" s="39">
        <v>7.9666666666666668</v>
      </c>
      <c r="Q24" s="24"/>
      <c r="R24" s="151">
        <v>0</v>
      </c>
      <c r="S24" s="151">
        <v>1</v>
      </c>
      <c r="T24" s="24"/>
      <c r="U24" s="24"/>
      <c r="V24" s="24"/>
      <c r="W24" s="24"/>
      <c r="X24" s="24"/>
    </row>
    <row r="25" spans="1:24">
      <c r="A25" s="25" t="s">
        <v>107</v>
      </c>
      <c r="B25" s="34" t="s">
        <v>122</v>
      </c>
      <c r="C25" s="25"/>
      <c r="D25" s="43">
        <f>'Scaling Ratings Data'!T6*'Juran Main Model Sheet'!$C$26</f>
        <v>5.6598667512690355</v>
      </c>
      <c r="E25" s="110">
        <f>($E$26/$D$26)*D25</f>
        <v>130240.61603637901</v>
      </c>
      <c r="F25" s="110">
        <f t="shared" si="6"/>
        <v>4167699.7131641284</v>
      </c>
      <c r="G25" s="110">
        <v>3000000</v>
      </c>
      <c r="H25" s="110">
        <f t="shared" si="1"/>
        <v>625000</v>
      </c>
      <c r="I25" s="110">
        <f t="shared" si="7"/>
        <v>542699.71316412836</v>
      </c>
      <c r="J25" s="34">
        <v>1</v>
      </c>
      <c r="K25" s="110">
        <f t="shared" si="5"/>
        <v>0</v>
      </c>
      <c r="L25" s="152">
        <v>1</v>
      </c>
      <c r="M25" s="153" t="str">
        <f t="shared" si="3"/>
        <v>0</v>
      </c>
      <c r="N25" s="153" t="str">
        <f t="shared" si="4"/>
        <v>0</v>
      </c>
      <c r="O25" s="38">
        <v>6.6000000000000005</v>
      </c>
      <c r="P25" s="38">
        <v>9.2222222222222214</v>
      </c>
      <c r="Q25" s="24"/>
      <c r="R25" s="151">
        <v>0</v>
      </c>
      <c r="S25" s="151">
        <v>0</v>
      </c>
      <c r="T25" s="24"/>
      <c r="U25" s="24"/>
      <c r="V25" s="24"/>
      <c r="W25" s="24"/>
      <c r="X25" s="24"/>
    </row>
    <row r="26" spans="1:24">
      <c r="A26" s="101" t="s">
        <v>92</v>
      </c>
      <c r="B26" s="42" t="s">
        <v>123</v>
      </c>
      <c r="C26" s="101">
        <f>3.9</f>
        <v>3.9</v>
      </c>
      <c r="D26" s="43">
        <f>'Scaling Ratings Data'!T7*'Juran Main Model Sheet'!$C$26</f>
        <v>3.9</v>
      </c>
      <c r="E26" s="110">
        <f>'Crystal Ball Results'!B6</f>
        <v>89743.88</v>
      </c>
      <c r="F26" s="110">
        <f t="shared" si="6"/>
        <v>2871804.16</v>
      </c>
      <c r="G26" s="110">
        <v>3000000</v>
      </c>
      <c r="H26" s="110">
        <f t="shared" si="1"/>
        <v>625000</v>
      </c>
      <c r="I26" s="110">
        <f t="shared" si="7"/>
        <v>-753195.83999999985</v>
      </c>
      <c r="J26" s="34">
        <v>1</v>
      </c>
      <c r="K26" s="110">
        <f t="shared" si="5"/>
        <v>-10000</v>
      </c>
      <c r="L26" s="152">
        <v>1</v>
      </c>
      <c r="M26" s="153" t="str">
        <f t="shared" si="3"/>
        <v>0</v>
      </c>
      <c r="N26" s="153" t="str">
        <f t="shared" si="4"/>
        <v>0</v>
      </c>
      <c r="O26" s="38">
        <v>4.7333333333333334</v>
      </c>
      <c r="P26" s="38">
        <v>4.8999999999999995</v>
      </c>
      <c r="Q26" s="24"/>
      <c r="R26" s="151">
        <v>0</v>
      </c>
      <c r="S26" s="151">
        <v>0</v>
      </c>
      <c r="T26" s="24"/>
      <c r="U26" s="24"/>
      <c r="V26" s="24"/>
      <c r="W26" s="24"/>
      <c r="X26" s="24"/>
    </row>
    <row r="27" spans="1:24">
      <c r="A27" s="25" t="s">
        <v>89</v>
      </c>
      <c r="B27" s="34" t="s">
        <v>26</v>
      </c>
      <c r="C27" s="100">
        <f>'Leno Average Rating Data'!I3</f>
        <v>3.1750000000000003</v>
      </c>
      <c r="D27" s="43">
        <f>C27</f>
        <v>3.1750000000000003</v>
      </c>
      <c r="E27" s="110">
        <f>'Crystal Ball Results'!B7</f>
        <v>55081.440000000002</v>
      </c>
      <c r="F27" s="110">
        <f t="shared" si="6"/>
        <v>1762606.0800000001</v>
      </c>
      <c r="G27" s="75">
        <v>535000</v>
      </c>
      <c r="H27" s="110">
        <f>(10000000/230)</f>
        <v>43478.260869565216</v>
      </c>
      <c r="I27" s="110">
        <f t="shared" si="7"/>
        <v>1184127.8191304349</v>
      </c>
      <c r="J27" s="34">
        <v>0</v>
      </c>
      <c r="K27" s="110">
        <f t="shared" si="5"/>
        <v>-10000</v>
      </c>
      <c r="L27" s="152">
        <v>0</v>
      </c>
      <c r="M27" s="153" t="str">
        <f t="shared" si="3"/>
        <v>0</v>
      </c>
      <c r="N27" s="153" t="str">
        <f t="shared" si="4"/>
        <v>0</v>
      </c>
      <c r="O27" s="38">
        <v>5.9444444444444438</v>
      </c>
      <c r="P27" s="38">
        <v>8.0111111111111111</v>
      </c>
      <c r="Q27" s="24"/>
      <c r="R27" s="151">
        <v>0</v>
      </c>
      <c r="S27" s="151">
        <v>0</v>
      </c>
      <c r="T27" s="24"/>
      <c r="U27" s="24"/>
      <c r="V27" s="24"/>
      <c r="W27" s="24"/>
      <c r="X27" s="24"/>
    </row>
    <row r="28" spans="1:24" s="24" customFormat="1" ht="14.25" customHeight="1">
      <c r="A28" s="25" t="s">
        <v>90</v>
      </c>
      <c r="B28" s="34" t="s">
        <v>27</v>
      </c>
      <c r="C28" s="100">
        <f>'Leno Average Rating Data'!I4</f>
        <v>4.0125000000000002</v>
      </c>
      <c r="D28" s="43">
        <f>C28</f>
        <v>4.0125000000000002</v>
      </c>
      <c r="E28" s="110">
        <f>'Crystal Ball Results'!B8</f>
        <v>67128.17</v>
      </c>
      <c r="F28" s="110">
        <f t="shared" si="6"/>
        <v>2148101.44</v>
      </c>
      <c r="G28" s="110">
        <v>535000</v>
      </c>
      <c r="H28" s="110">
        <f>(10000000/230)</f>
        <v>43478.260869565216</v>
      </c>
      <c r="I28" s="110">
        <f t="shared" si="7"/>
        <v>1569623.1791304348</v>
      </c>
      <c r="J28" s="34">
        <v>0</v>
      </c>
      <c r="K28" s="110">
        <f t="shared" si="5"/>
        <v>0</v>
      </c>
      <c r="L28" s="152">
        <v>0</v>
      </c>
      <c r="M28" s="153" t="str">
        <f t="shared" si="3"/>
        <v>0</v>
      </c>
      <c r="N28" s="153" t="str">
        <f t="shared" si="4"/>
        <v>0</v>
      </c>
      <c r="O28" s="38">
        <v>6.822222222222222</v>
      </c>
      <c r="P28" s="38">
        <v>6.5111111111111102</v>
      </c>
      <c r="R28" s="151">
        <v>0</v>
      </c>
      <c r="S28" s="151">
        <v>0</v>
      </c>
    </row>
    <row r="29" spans="1:24" s="24" customFormat="1">
      <c r="A29" s="25" t="s">
        <v>91</v>
      </c>
      <c r="B29" s="34" t="s">
        <v>28</v>
      </c>
      <c r="C29" s="100">
        <f>'Leno Average Rating Data'!I5</f>
        <v>3.6999999999999997</v>
      </c>
      <c r="D29" s="43">
        <f>C29</f>
        <v>3.6999999999999997</v>
      </c>
      <c r="E29" s="110">
        <f>'Crystal Ball Results'!B9</f>
        <v>62935.63</v>
      </c>
      <c r="F29" s="110">
        <f t="shared" si="6"/>
        <v>2013940.16</v>
      </c>
      <c r="G29" s="110">
        <v>535000</v>
      </c>
      <c r="H29" s="110">
        <f>(10000000/230)</f>
        <v>43478.260869565216</v>
      </c>
      <c r="I29" s="110">
        <f t="shared" si="7"/>
        <v>1435461.8991304347</v>
      </c>
      <c r="J29" s="34">
        <v>0</v>
      </c>
      <c r="K29" s="110">
        <f t="shared" si="5"/>
        <v>-10000</v>
      </c>
      <c r="L29" s="152">
        <v>0</v>
      </c>
      <c r="M29" s="153" t="str">
        <f t="shared" si="3"/>
        <v>0</v>
      </c>
      <c r="N29" s="153" t="str">
        <f t="shared" si="4"/>
        <v>0</v>
      </c>
      <c r="O29" s="38">
        <v>4.4333333333333336</v>
      </c>
      <c r="P29" s="39">
        <v>7.9666666666666668</v>
      </c>
      <c r="R29" s="151">
        <v>0</v>
      </c>
      <c r="S29" s="151">
        <v>0</v>
      </c>
    </row>
    <row r="30" spans="1:24" s="24" customFormat="1">
      <c r="A30" s="25" t="s">
        <v>107</v>
      </c>
      <c r="B30" s="34" t="s">
        <v>29</v>
      </c>
      <c r="C30" s="100">
        <f>'Leno Average Rating Data'!I6</f>
        <v>3.2375000000000003</v>
      </c>
      <c r="D30" s="43">
        <f>C30</f>
        <v>3.2375000000000003</v>
      </c>
      <c r="E30" s="110">
        <f>'Crystal Ball Results'!B10</f>
        <v>57577.37</v>
      </c>
      <c r="F30" s="110">
        <f t="shared" si="6"/>
        <v>1842475.84</v>
      </c>
      <c r="G30" s="110">
        <v>535000</v>
      </c>
      <c r="H30" s="110">
        <f>(10000000/230)</f>
        <v>43478.260869565216</v>
      </c>
      <c r="I30" s="110">
        <f t="shared" si="7"/>
        <v>1263997.5791304349</v>
      </c>
      <c r="J30" s="34">
        <v>0</v>
      </c>
      <c r="K30" s="110">
        <f t="shared" si="5"/>
        <v>-10000</v>
      </c>
      <c r="L30" s="152">
        <v>0</v>
      </c>
      <c r="M30" s="153" t="str">
        <f t="shared" si="3"/>
        <v>0</v>
      </c>
      <c r="N30" s="153" t="str">
        <f t="shared" si="4"/>
        <v>0</v>
      </c>
      <c r="O30" s="38">
        <v>6.6000000000000005</v>
      </c>
      <c r="P30" s="38">
        <v>9.2222222222222214</v>
      </c>
      <c r="R30" s="151">
        <v>0</v>
      </c>
      <c r="S30" s="151">
        <v>0</v>
      </c>
    </row>
    <row r="31" spans="1:24" s="24" customFormat="1">
      <c r="A31" s="25" t="s">
        <v>92</v>
      </c>
      <c r="B31" s="34" t="s">
        <v>30</v>
      </c>
      <c r="C31" s="100">
        <f>'Leno Average Rating Data'!I7</f>
        <v>3.5</v>
      </c>
      <c r="D31" s="43">
        <f>C31</f>
        <v>3.5</v>
      </c>
      <c r="E31" s="110">
        <f>'Crystal Ball Results'!B11</f>
        <v>49540.99</v>
      </c>
      <c r="F31" s="110">
        <f t="shared" si="6"/>
        <v>1585311.68</v>
      </c>
      <c r="G31" s="110">
        <v>535000</v>
      </c>
      <c r="H31" s="112">
        <f>(10000000/230)</f>
        <v>43478.260869565216</v>
      </c>
      <c r="I31" s="110">
        <f t="shared" si="7"/>
        <v>1006833.4191304347</v>
      </c>
      <c r="J31" s="34">
        <v>0</v>
      </c>
      <c r="K31" s="110">
        <f t="shared" si="5"/>
        <v>-10000</v>
      </c>
      <c r="L31" s="152">
        <v>0</v>
      </c>
      <c r="M31" s="153" t="str">
        <f t="shared" si="3"/>
        <v>0</v>
      </c>
      <c r="N31" s="153" t="str">
        <f t="shared" si="4"/>
        <v>0</v>
      </c>
      <c r="O31" s="38">
        <v>4.7333333333333334</v>
      </c>
      <c r="P31" s="38">
        <v>4.8999999999999995</v>
      </c>
      <c r="R31" s="151">
        <v>0</v>
      </c>
      <c r="S31" s="151">
        <v>0</v>
      </c>
    </row>
    <row r="32" spans="1:24">
      <c r="A32" s="103" t="s">
        <v>44</v>
      </c>
      <c r="B32" s="102"/>
      <c r="C32" s="35"/>
      <c r="D32" s="40"/>
      <c r="E32" s="24"/>
      <c r="F32" s="24"/>
      <c r="G32" s="26"/>
      <c r="H32" s="24"/>
      <c r="I32" s="24"/>
      <c r="J32" s="24"/>
      <c r="K32" s="30"/>
      <c r="L32" s="30"/>
      <c r="M32" s="30"/>
      <c r="N32" s="24"/>
      <c r="O32" s="24"/>
      <c r="P32" s="24"/>
      <c r="Q32" s="24"/>
      <c r="R32" s="24"/>
      <c r="S32" s="24"/>
      <c r="T32" s="24"/>
      <c r="U32" s="24"/>
    </row>
    <row r="33" spans="1:21">
      <c r="A33" s="108" t="s">
        <v>46</v>
      </c>
      <c r="B33" s="109"/>
      <c r="C33" s="35"/>
      <c r="D33" s="40"/>
      <c r="E33" s="24"/>
      <c r="F33" s="24"/>
      <c r="G33" s="30"/>
      <c r="H33" s="24"/>
      <c r="I33" s="24"/>
      <c r="J33" s="24"/>
      <c r="K33" s="30"/>
      <c r="L33" s="30"/>
      <c r="M33" s="30"/>
      <c r="N33" s="24"/>
      <c r="O33" s="24"/>
      <c r="P33" s="24"/>
      <c r="Q33" s="24"/>
      <c r="R33" s="24"/>
      <c r="S33" s="24"/>
      <c r="T33" s="24"/>
      <c r="U33" s="24"/>
    </row>
    <row r="34" spans="1:21">
      <c r="A34" s="108" t="s">
        <v>9</v>
      </c>
      <c r="B34" s="109"/>
      <c r="C34" s="35"/>
      <c r="D34" s="40"/>
      <c r="E34" s="24"/>
      <c r="F34" s="24"/>
      <c r="G34" s="30"/>
      <c r="H34" s="24"/>
      <c r="I34" s="24"/>
      <c r="J34" s="24"/>
      <c r="K34" s="30"/>
      <c r="L34" s="30"/>
      <c r="M34" s="30"/>
      <c r="N34" s="24"/>
      <c r="O34" s="24"/>
      <c r="P34" s="24"/>
      <c r="Q34" s="24"/>
      <c r="R34" s="24"/>
      <c r="S34" s="24"/>
      <c r="T34" s="24"/>
      <c r="U34" s="24"/>
    </row>
    <row r="35" spans="1:21">
      <c r="A35" s="108"/>
      <c r="B35" s="109"/>
      <c r="C35" s="35"/>
      <c r="D35" s="40"/>
      <c r="E35" s="24"/>
      <c r="F35" s="24"/>
      <c r="G35" s="30"/>
      <c r="H35" s="24"/>
      <c r="I35" s="24"/>
      <c r="J35" s="24"/>
      <c r="K35" s="30"/>
      <c r="L35" s="30"/>
      <c r="M35" s="30"/>
      <c r="N35" s="24"/>
      <c r="O35" s="24"/>
      <c r="P35" s="24"/>
      <c r="Q35" s="24"/>
      <c r="R35" s="24"/>
      <c r="S35" s="24"/>
      <c r="T35" s="24"/>
      <c r="U35" s="24"/>
    </row>
    <row r="36" spans="1:21">
      <c r="A36" s="108"/>
      <c r="B36" s="109"/>
      <c r="C36" s="35"/>
      <c r="D36" s="24" t="s">
        <v>77</v>
      </c>
      <c r="E36" s="24" t="s">
        <v>55</v>
      </c>
      <c r="F36" s="24" t="s">
        <v>56</v>
      </c>
      <c r="G36" s="24" t="s">
        <v>57</v>
      </c>
      <c r="H36" s="24" t="s">
        <v>58</v>
      </c>
      <c r="I36" s="24" t="s">
        <v>59</v>
      </c>
      <c r="J36" s="24" t="s">
        <v>1</v>
      </c>
      <c r="K36" s="24" t="s">
        <v>2</v>
      </c>
      <c r="L36" s="24" t="s">
        <v>3</v>
      </c>
      <c r="M36" s="24" t="s">
        <v>4</v>
      </c>
      <c r="N36" s="24" t="s">
        <v>5</v>
      </c>
      <c r="O36" s="24" t="s">
        <v>6</v>
      </c>
      <c r="P36" s="24" t="s">
        <v>7</v>
      </c>
      <c r="Q36" s="24" t="s">
        <v>8</v>
      </c>
      <c r="R36" s="24"/>
      <c r="S36" s="24"/>
      <c r="T36" s="24"/>
      <c r="U36" s="24"/>
    </row>
    <row r="37" spans="1:21" s="24" customFormat="1" ht="15.75" customHeight="1">
      <c r="A37"/>
      <c r="C37" s="28" t="s">
        <v>89</v>
      </c>
      <c r="D37" s="37">
        <f>AVERAGE(D17,D7,D22,D12,D2,D27)</f>
        <v>4.568121595964711</v>
      </c>
      <c r="E37" s="24">
        <f>STDEV(D17,D7,D22,D12,D2,D27)</f>
        <v>1.3258568435110647</v>
      </c>
      <c r="F37" s="27">
        <f>AVERAGE(I17,I7,I22,I12,I2,I27)</f>
        <v>132374.5983675413</v>
      </c>
      <c r="G37" s="27">
        <f>STDEV(I17,I7,I22,I12,I2,I27)</f>
        <v>858919.12484646426</v>
      </c>
      <c r="H37" s="27">
        <f>AVERAGE(K17,K7,K22,K12,K2,K27)</f>
        <v>-3333.3333333333335</v>
      </c>
      <c r="I37" s="27">
        <f>STDEV(K17,K7,K22,K12,K2,K27)</f>
        <v>5163.9777949432228</v>
      </c>
      <c r="J37" s="154">
        <f>AVERAGE(J17,J7,J22,J12,J2,J27)</f>
        <v>0.66666666666666663</v>
      </c>
      <c r="K37" s="154">
        <f>STDEV(J17,J7,J22,J12,J2,J27)</f>
        <v>0.51639777949432231</v>
      </c>
      <c r="L37" s="154">
        <f>AVERAGE(L17,L7,L22,L12,L2,L27)</f>
        <v>0.83333333333333337</v>
      </c>
      <c r="M37" s="154">
        <f>STDEV(L17,L7,L22,L12,L2,L27)</f>
        <v>0.40824829046386296</v>
      </c>
      <c r="N37" s="154">
        <f>AVERAGE(R17,R7,R22,R12,R2,R27)</f>
        <v>0</v>
      </c>
      <c r="O37" s="154">
        <f>STDEV(R17,R7,R22,R12,R2,R27)</f>
        <v>0</v>
      </c>
      <c r="P37" s="154">
        <f>AVERAGE(S17,S7,S22,S12,S2,S27)</f>
        <v>0.16666666666666666</v>
      </c>
      <c r="Q37" s="154">
        <f>STDEV(S17,S7,S22,S12,S2,S27)</f>
        <v>0.40824829046386302</v>
      </c>
    </row>
    <row r="38" spans="1:21" s="24" customFormat="1" ht="15.75" customHeight="1">
      <c r="A38"/>
      <c r="C38" s="28" t="s">
        <v>90</v>
      </c>
      <c r="D38" s="37">
        <f>AVERAGE(D18,D8,D23,D13,D3,D28)</f>
        <v>4.7584620246475806</v>
      </c>
      <c r="E38" s="24">
        <f>STDEV(D18,D8,D23,D13,D3,D28)</f>
        <v>1.2076163043661861</v>
      </c>
      <c r="F38" s="27">
        <f>AVERAGE(I18,I8,I23,I13,I3,I28)</f>
        <v>233769.7031558844</v>
      </c>
      <c r="G38" s="27">
        <f>STDEV(I18,I8,I23,I13,I3,I28)</f>
        <v>955239.75311452965</v>
      </c>
      <c r="H38" s="27">
        <f>AVERAGE(K18,K8,K23,K13,K3,K28)</f>
        <v>-1666.6666666666667</v>
      </c>
      <c r="I38" s="27">
        <f>STDEV(K18,K8,K23,K13,K3,K28)</f>
        <v>4082.4829046386299</v>
      </c>
      <c r="J38" s="154">
        <f>AVERAGE(J18,J8,J23,J13,J3,J28)</f>
        <v>0.66666666666666663</v>
      </c>
      <c r="K38" s="154">
        <f>STDEV(J18,J8,J23,J13,J3,J28)</f>
        <v>0.51639777949432231</v>
      </c>
      <c r="L38" s="154">
        <f>AVERAGE(L18,L8,L23,L13,L3,L28)</f>
        <v>0.83333333333333337</v>
      </c>
      <c r="M38" s="154">
        <f>STDEV(L18,L8,L23,L13,L3,L28)</f>
        <v>0.40824829046386296</v>
      </c>
      <c r="N38" s="154">
        <f>AVERAGE(R18,R8,R23,R13,R3,R28)</f>
        <v>0</v>
      </c>
      <c r="O38" s="154">
        <f>STDEV(R18,R8,R23,R13,R3,R28)</f>
        <v>0</v>
      </c>
      <c r="P38" s="154">
        <f>AVERAGE(S18,S8,S23,S13,S3,S28)</f>
        <v>0.16666666666666666</v>
      </c>
      <c r="Q38" s="154">
        <f>STDEV(S18,S8,S23,S13,S3,S28)</f>
        <v>0.40824829046386302</v>
      </c>
    </row>
    <row r="39" spans="1:21" s="24" customFormat="1" ht="15.75" customHeight="1">
      <c r="A39"/>
      <c r="C39" s="28" t="s">
        <v>91</v>
      </c>
      <c r="D39" s="37">
        <f>AVERAGE(D19,D9,D24,D14,D4,D29)</f>
        <v>4.4126424685495049</v>
      </c>
      <c r="E39" s="24">
        <f>STDEV(D19,D9,D24,D14,D4,D29)</f>
        <v>1.1239244880823316</v>
      </c>
      <c r="F39" s="27">
        <f>AVERAGE(I19,I9,I24,I14,I4,I29)</f>
        <v>-3557.3016299929004</v>
      </c>
      <c r="G39" s="27">
        <f>STDEV(I19,I9,I24,I14,I4,I29)</f>
        <v>956102.57412073342</v>
      </c>
      <c r="H39" s="27">
        <f>AVERAGE(K19,K9,K24,K14,K4,K29)</f>
        <v>-8333.3333333333339</v>
      </c>
      <c r="I39" s="27">
        <f>STDEV(K19,K9,K24,K14,K4,K29)</f>
        <v>11690.451944500121</v>
      </c>
      <c r="J39" s="154">
        <f>AVERAGE(J19,J9,J24,J14,J4,J29)</f>
        <v>0.66666666666666663</v>
      </c>
      <c r="K39" s="154">
        <f>STDEV(J19,J9,J24,J14,J4,J29)</f>
        <v>0.51639777949432231</v>
      </c>
      <c r="L39" s="154">
        <f>AVERAGE(L19,L9,L24,L14,L4,L29)</f>
        <v>0.83333333333333337</v>
      </c>
      <c r="M39" s="154">
        <f>STDEV(L19,L9,L24,L14,L4,L29)</f>
        <v>0.40824829046386296</v>
      </c>
      <c r="N39" s="154">
        <f>AVERAGE(R19,R9,R24,R14,R4,R29)</f>
        <v>0</v>
      </c>
      <c r="O39" s="154">
        <f>STDEV(R19,R9,R24,R14,R4,R29)</f>
        <v>0</v>
      </c>
      <c r="P39" s="154">
        <f>AVERAGE(S19,S9,S24,S14,S4,S29)</f>
        <v>0.5</v>
      </c>
      <c r="Q39" s="154">
        <f>STDEV(S19,S9,S24,S14,S4,S29)</f>
        <v>0.54772255750516607</v>
      </c>
    </row>
    <row r="40" spans="1:21" s="24" customFormat="1" ht="15.75" customHeight="1">
      <c r="A40"/>
      <c r="C40" s="28" t="s">
        <v>107</v>
      </c>
      <c r="D40" s="37">
        <f>AVERAGE(D20,D10,D25,D15,D5,D30)</f>
        <v>5.033387329989492</v>
      </c>
      <c r="E40" s="24">
        <f>STDEV(D20,D10,D25,D15,D5,D30)</f>
        <v>1.5406386863110115</v>
      </c>
      <c r="F40" s="27">
        <f>AVERAGE(I20,I10,I25,I15,I5,I30)</f>
        <v>478561.22316975356</v>
      </c>
      <c r="G40" s="27">
        <f>STDEV(I20,I10,I25,I15,I5,I30)</f>
        <v>855962.94770788541</v>
      </c>
      <c r="H40" s="27">
        <f>AVERAGE(K20,K10,K25,K15,K5,K30)</f>
        <v>-3333.3333333333335</v>
      </c>
      <c r="I40" s="27">
        <f>STDEV(K20,K10,K25,K15,K5,K30)</f>
        <v>5163.9777949432228</v>
      </c>
      <c r="J40" s="154">
        <f>AVERAGE(J20,J10,J25,J15,J5,J30)</f>
        <v>0.66666666666666663</v>
      </c>
      <c r="K40" s="154">
        <f>STDEV(J20,J10,J25,J15,J5,J30)</f>
        <v>0.51639777949432231</v>
      </c>
      <c r="L40" s="154">
        <f>AVERAGE(L20,L10,L25,L15,L5,L30)</f>
        <v>0.83333333333333337</v>
      </c>
      <c r="M40" s="154">
        <f>STDEV(L20,L10,L25,L15,L5,L30)</f>
        <v>0.40824829046386296</v>
      </c>
      <c r="N40" s="154">
        <f>AVERAGE(R20,R10,R25,R15,R5,R30)</f>
        <v>0</v>
      </c>
      <c r="O40" s="154">
        <f>STDEV(R20,R10,R25,R15,R5,R30)</f>
        <v>0</v>
      </c>
      <c r="P40" s="154">
        <f>AVERAGE(S20,S10,S25,S15,S5,S30)</f>
        <v>0.16666666666666666</v>
      </c>
      <c r="Q40" s="154">
        <f>STDEV(S20,S10,S25,S15,S5,S30)</f>
        <v>0.40824829046386302</v>
      </c>
    </row>
    <row r="41" spans="1:21" s="24" customFormat="1" ht="15.75" customHeight="1">
      <c r="A41"/>
      <c r="C41" s="28" t="s">
        <v>92</v>
      </c>
      <c r="D41" s="37">
        <f>AVERAGE(D21,D11,D26,D16,D6,D31)</f>
        <v>3.6798436147864142</v>
      </c>
      <c r="E41" s="24">
        <f>STDEV(D21,D11,D26,D16,D6,D31)</f>
        <v>0.87591309162049225</v>
      </c>
      <c r="F41" s="27">
        <f>AVERAGE(I21,I11,I26,I16,I6,I31)</f>
        <v>-586889.54722936335</v>
      </c>
      <c r="G41" s="27">
        <f>STDEV(I21,I11,I26,I16,I6,I31)</f>
        <v>941895.62219500204</v>
      </c>
      <c r="H41" s="27">
        <f>AVERAGE(K21,K11,K26,K16,K6,K31)</f>
        <v>-10000</v>
      </c>
      <c r="I41" s="27">
        <f>STDEV(K21,K11,K26,K16,K6,K31)</f>
        <v>10954.451150103323</v>
      </c>
      <c r="J41" s="154">
        <f>AVERAGE(J21,J11,J26,J16,J6,J31)</f>
        <v>0.66666666666666663</v>
      </c>
      <c r="K41" s="154">
        <f>STDEV(J21,J11,J26,J16,J6,J31)</f>
        <v>0.51639777949432231</v>
      </c>
      <c r="L41" s="154">
        <f>AVERAGE(L21,L11,L26,L16,L6,L31)</f>
        <v>0.83333333333333337</v>
      </c>
      <c r="M41" s="154">
        <f>STDEV(L21,L11,L26,L16,L6,L31)</f>
        <v>0.40824829046386296</v>
      </c>
      <c r="N41" s="154">
        <f>AVERAGE(R21,R11,R26,R16,R6,R31)</f>
        <v>0.16666666666666666</v>
      </c>
      <c r="O41" s="154">
        <f>STDEV(R21,R11,R26,R16,R6,R31)</f>
        <v>0.40824829046386302</v>
      </c>
      <c r="P41" s="154">
        <f>AVERAGE(S21,S11,S26,S16,S6,S31)</f>
        <v>0.16666666666666666</v>
      </c>
      <c r="Q41" s="154">
        <f>STDEV(S21,S11,S26,S16,S6,S31)</f>
        <v>0.40824829046386302</v>
      </c>
    </row>
    <row r="42" spans="1:21" s="24" customFormat="1" ht="15.75" customHeight="1" thickBot="1">
      <c r="A42"/>
      <c r="B42" s="28"/>
      <c r="C42" s="36"/>
      <c r="G42" s="30"/>
    </row>
    <row r="43" spans="1:21" s="24" customFormat="1" ht="15.75" customHeight="1" thickBot="1">
      <c r="A43" s="126" t="s">
        <v>54</v>
      </c>
      <c r="B43" s="127"/>
      <c r="C43" s="127"/>
      <c r="D43" s="127"/>
      <c r="E43" s="127"/>
      <c r="F43" s="127"/>
      <c r="G43" s="127"/>
      <c r="H43" s="127"/>
      <c r="I43" s="128"/>
    </row>
    <row r="44" spans="1:21" s="4" customFormat="1" ht="30">
      <c r="A44" s="122"/>
      <c r="B44" s="123" t="s">
        <v>141</v>
      </c>
      <c r="C44" s="124" t="s">
        <v>113</v>
      </c>
      <c r="D44" s="124" t="s">
        <v>343</v>
      </c>
      <c r="E44" s="124" t="s">
        <v>102</v>
      </c>
      <c r="F44" s="124" t="s">
        <v>99</v>
      </c>
      <c r="G44" s="124" t="s">
        <v>100</v>
      </c>
      <c r="H44" s="125" t="s">
        <v>101</v>
      </c>
      <c r="I44" s="125" t="s">
        <v>52</v>
      </c>
      <c r="J44" s="33"/>
      <c r="K44" s="33"/>
      <c r="L44" s="33"/>
      <c r="M44" s="33"/>
      <c r="N44" s="33"/>
      <c r="O44" s="33"/>
      <c r="P44" s="33"/>
      <c r="Q44" s="33"/>
    </row>
    <row r="45" spans="1:21">
      <c r="A45" s="101" t="s">
        <v>89</v>
      </c>
      <c r="B45" s="42" t="s">
        <v>124</v>
      </c>
      <c r="C45" s="43">
        <f>(D2-$D$37)/$E$37</f>
        <v>-0.32290182613605711</v>
      </c>
      <c r="D45" s="41">
        <f>(I2-$F$37)/$G$37</f>
        <v>-0.58176620349076902</v>
      </c>
      <c r="E45" s="41">
        <f>(J2-$J$37)/$K$37</f>
        <v>0.6454972243679028</v>
      </c>
      <c r="F45" s="43">
        <f>(K2-$H$37)/$I$37</f>
        <v>0.6454972243679028</v>
      </c>
      <c r="G45" s="41">
        <f>(L2-$L$37)/$M$37</f>
        <v>0.40824829046386296</v>
      </c>
      <c r="H45" s="155">
        <f>IF($O$37=0,0,((M2-$N$37)/$O$37))</f>
        <v>0</v>
      </c>
      <c r="I45" s="155">
        <f>IF($Q$37=0,0,((N2-$P$37)/$Q$37))</f>
        <v>-0.40824829046386302</v>
      </c>
      <c r="J45" s="24"/>
      <c r="K45" s="24"/>
      <c r="L45" s="24"/>
      <c r="M45" s="24"/>
      <c r="N45" s="24"/>
      <c r="O45" s="24"/>
      <c r="P45" s="24"/>
      <c r="Q45" s="24"/>
    </row>
    <row r="46" spans="1:21">
      <c r="A46" s="25" t="s">
        <v>90</v>
      </c>
      <c r="B46" s="34" t="s">
        <v>125</v>
      </c>
      <c r="C46" s="43">
        <f>(D3-$D$38)/$E$38</f>
        <v>-0.46905221893385435</v>
      </c>
      <c r="D46" s="41">
        <f>(I3-$F$38)/$G$38</f>
        <v>-0.58639337865694785</v>
      </c>
      <c r="E46" s="41">
        <f>(J3-$J$38)/$K$38</f>
        <v>0.6454972243679028</v>
      </c>
      <c r="F46" s="43">
        <f>(K3-$H$38)/$I$38</f>
        <v>0.40824829046386307</v>
      </c>
      <c r="G46" s="41">
        <f>(L3-$L$38)/$M$38</f>
        <v>0.40824829046386296</v>
      </c>
      <c r="H46" s="155">
        <f>IF($O$38=0,0,((M3-$N$38)/$O$38))</f>
        <v>0</v>
      </c>
      <c r="I46" s="155">
        <f>IF($Q$38=0,0,((N3-$P$38)/$Q$38))</f>
        <v>-0.40824829046386302</v>
      </c>
      <c r="J46" s="24"/>
      <c r="K46" s="24"/>
      <c r="L46" s="24"/>
      <c r="M46" s="24"/>
      <c r="N46" s="24"/>
      <c r="O46" s="24"/>
      <c r="P46" s="24"/>
      <c r="Q46" s="24"/>
    </row>
    <row r="47" spans="1:21">
      <c r="A47" s="25" t="s">
        <v>91</v>
      </c>
      <c r="B47" s="34" t="s">
        <v>126</v>
      </c>
      <c r="C47" s="43">
        <f>(D4-$D$39)/$E$39</f>
        <v>-0.46417740946494801</v>
      </c>
      <c r="D47" s="41">
        <f>(I4-$F$39)/$G$39</f>
        <v>-0.58543610490518205</v>
      </c>
      <c r="E47" s="41">
        <f>(J4-$J$39)/$K$39</f>
        <v>0.6454972243679028</v>
      </c>
      <c r="F47" s="43">
        <f>(K4-$H$39)/$I$39</f>
        <v>-0.14256648712805023</v>
      </c>
      <c r="G47" s="41">
        <f>(L4-$L$39)/$M$39</f>
        <v>0.40824829046386296</v>
      </c>
      <c r="H47" s="155">
        <f>IF($O$39=0,0,((M4-$N$39)/$O$39))</f>
        <v>0</v>
      </c>
      <c r="I47" s="155">
        <f>IF($Q$39=0,0,((N4-$P$39)/$Q$39))</f>
        <v>-0.9128709291752769</v>
      </c>
      <c r="J47" s="24"/>
      <c r="K47" s="24"/>
      <c r="L47" s="24"/>
      <c r="M47" s="24"/>
      <c r="N47" s="24"/>
      <c r="O47" s="24"/>
      <c r="P47" s="24"/>
      <c r="Q47" s="24"/>
    </row>
    <row r="48" spans="1:21">
      <c r="A48" s="25" t="s">
        <v>107</v>
      </c>
      <c r="B48" s="34" t="s">
        <v>127</v>
      </c>
      <c r="C48" s="43">
        <f>(D5-$D$40)/$E$40</f>
        <v>-0.27726099688510913</v>
      </c>
      <c r="D48" s="41">
        <f>(I5-$F$40)/$G$40</f>
        <v>-0.559616355090234</v>
      </c>
      <c r="E48" s="41">
        <f>(J5-$J$40)/$K$40</f>
        <v>0.6454972243679028</v>
      </c>
      <c r="F48" s="43">
        <f>(K5-$H$40)/$I$40</f>
        <v>0.6454972243679028</v>
      </c>
      <c r="G48" s="41">
        <f>(L5-$L$40)/$M$40</f>
        <v>0.40824829046386296</v>
      </c>
      <c r="H48" s="155">
        <f>IF($O$40=0,0,((M5-$N$40)/$O$40))</f>
        <v>0</v>
      </c>
      <c r="I48" s="155">
        <f>IF($Q$40=0,0,((N5-$P$40)/$Q$40))</f>
        <v>-0.40824829046386302</v>
      </c>
      <c r="J48" s="24"/>
      <c r="K48" s="24"/>
      <c r="L48" s="24"/>
      <c r="M48" s="24"/>
      <c r="N48" s="24"/>
      <c r="O48" s="24"/>
      <c r="P48" s="24"/>
      <c r="Q48" s="24"/>
    </row>
    <row r="49" spans="1:17">
      <c r="A49" s="25" t="s">
        <v>92</v>
      </c>
      <c r="B49" s="34" t="s">
        <v>128</v>
      </c>
      <c r="C49" s="43">
        <f>(D6-$D$41)/$E$41</f>
        <v>-0.57752989057320003</v>
      </c>
      <c r="D49" s="41">
        <f>(I6-$F$41)/$G$41</f>
        <v>-0.57391705285885031</v>
      </c>
      <c r="E49" s="41">
        <f>(J6-$J$41)/$K$41</f>
        <v>0.6454972243679028</v>
      </c>
      <c r="F49" s="43">
        <f>(K6-$H$41)/$I$41</f>
        <v>0</v>
      </c>
      <c r="G49" s="41">
        <f>(L6-$L$41)/$M$41</f>
        <v>0.40824829046386296</v>
      </c>
      <c r="H49" s="155">
        <f>IF($O$41=0,0,((M6-$N$41)/$O$41))</f>
        <v>-0.40824829046386302</v>
      </c>
      <c r="I49" s="155">
        <f>IF($Q$41=0,0,((N6-$P$41)/$Q$41))</f>
        <v>-0.40824829046386302</v>
      </c>
      <c r="J49" s="24"/>
      <c r="K49" s="24"/>
      <c r="L49" s="24"/>
      <c r="M49" s="24"/>
      <c r="N49" s="24"/>
      <c r="O49" s="24"/>
      <c r="P49" s="24"/>
      <c r="Q49" s="24"/>
    </row>
    <row r="50" spans="1:17">
      <c r="A50" s="25" t="s">
        <v>89</v>
      </c>
      <c r="B50" s="34" t="s">
        <v>114</v>
      </c>
      <c r="C50" s="43">
        <f>(D7-$D$37)/$E$37</f>
        <v>1.5079650454776548</v>
      </c>
      <c r="D50" s="41">
        <f>(I7-$F$37)/$G$37</f>
        <v>1.1911674963915031</v>
      </c>
      <c r="E50" s="41">
        <f>(J7-$J$37)/$K$37</f>
        <v>-1.2909944487358054</v>
      </c>
      <c r="F50" s="43">
        <f>(K7-$H$37)/$I$37</f>
        <v>0.6454972243679028</v>
      </c>
      <c r="G50" s="41">
        <f>(L7-$L$37)/$M$37</f>
        <v>0.40824829046386296</v>
      </c>
      <c r="H50" s="155">
        <f>IF($O$37=0,0,((M7-$N$37)/$O$37))</f>
        <v>0</v>
      </c>
      <c r="I50" s="155">
        <f>IF($Q$37=0,0,((N7-$P$37)/$Q$37))</f>
        <v>2.0412414523193152</v>
      </c>
      <c r="J50" s="24"/>
      <c r="K50" s="24"/>
      <c r="L50" s="24"/>
      <c r="M50" s="24"/>
      <c r="N50" s="24"/>
      <c r="O50" s="24"/>
      <c r="P50" s="24"/>
      <c r="Q50" s="24"/>
    </row>
    <row r="51" spans="1:17">
      <c r="A51" s="101" t="s">
        <v>90</v>
      </c>
      <c r="B51" s="42" t="s">
        <v>115</v>
      </c>
      <c r="C51" s="43">
        <f>(D8-$D$38)/$E$38</f>
        <v>1.5663402096456358</v>
      </c>
      <c r="D51" s="41">
        <f>(I8-$F$38)/$G$38</f>
        <v>1.0278020084936748</v>
      </c>
      <c r="E51" s="41">
        <f>(J8-$J$38)/$K$38</f>
        <v>-1.2909944487358054</v>
      </c>
      <c r="F51" s="43">
        <f>(K8-$H$38)/$I$38</f>
        <v>0.40824829046386307</v>
      </c>
      <c r="G51" s="41">
        <f>(L8-$L$38)/$M$38</f>
        <v>0.40824829046386296</v>
      </c>
      <c r="H51" s="155">
        <f>IF($O$38=0,0,((M8-$N$38)/$O$38))</f>
        <v>0</v>
      </c>
      <c r="I51" s="155">
        <f>IF($Q$38=0,0,((N8-$P$38)/$Q$38))</f>
        <v>2.0412414523193152</v>
      </c>
      <c r="J51" s="24"/>
      <c r="K51" s="24"/>
      <c r="L51" s="24"/>
      <c r="M51" s="24"/>
      <c r="N51" s="24"/>
      <c r="O51" s="24"/>
      <c r="P51" s="24"/>
      <c r="Q51" s="24"/>
    </row>
    <row r="52" spans="1:17">
      <c r="A52" s="25" t="s">
        <v>91</v>
      </c>
      <c r="B52" s="34" t="s">
        <v>116</v>
      </c>
      <c r="C52" s="43">
        <f>(D9-$D$39)/$E$39</f>
        <v>1.5657041382386219</v>
      </c>
      <c r="D52" s="41">
        <f>(I9-$F$39)/$G$39</f>
        <v>0.91147051498038245</v>
      </c>
      <c r="E52" s="41">
        <f>(J9-$J$39)/$K$39</f>
        <v>-1.2909944487358054</v>
      </c>
      <c r="F52" s="43">
        <f>(K9-$H$39)/$I$39</f>
        <v>0.71283243564025134</v>
      </c>
      <c r="G52" s="41">
        <f>(L9-$L$39)/$M$39</f>
        <v>0.40824829046386296</v>
      </c>
      <c r="H52" s="155">
        <f>IF($O$39=0,0,((M9-$N$39)/$O$39))</f>
        <v>0</v>
      </c>
      <c r="I52" s="155">
        <f>IF($Q$39=0,0,((N9-$P$39)/$Q$39))</f>
        <v>0.9128709291752769</v>
      </c>
      <c r="J52" s="24"/>
      <c r="K52" s="24"/>
      <c r="L52" s="24"/>
      <c r="M52" s="24"/>
      <c r="N52" s="24"/>
      <c r="O52" s="24"/>
      <c r="P52" s="24"/>
      <c r="Q52" s="24"/>
    </row>
    <row r="53" spans="1:17">
      <c r="A53" s="25" t="s">
        <v>107</v>
      </c>
      <c r="B53" s="34" t="s">
        <v>117</v>
      </c>
      <c r="C53" s="43">
        <f>(D10-$D$40)/$E$40</f>
        <v>1.4758028008025741</v>
      </c>
      <c r="D53" s="41">
        <f>(I10-$F$40)/$G$40</f>
        <v>1.4197898240099025</v>
      </c>
      <c r="E53" s="41">
        <f>(J10-$J$40)/$K$40</f>
        <v>-1.2909944487358054</v>
      </c>
      <c r="F53" s="43">
        <f>(K10-$H$40)/$I$40</f>
        <v>0.6454972243679028</v>
      </c>
      <c r="G53" s="41">
        <f>(L10-$L$40)/$M$40</f>
        <v>0.40824829046386296</v>
      </c>
      <c r="H53" s="155">
        <f>IF($O$40=0,0,((M10-$N$40)/$O$40))</f>
        <v>0</v>
      </c>
      <c r="I53" s="155">
        <f>IF($Q$40=0,0,((N10-$P$40)/$Q$40))</f>
        <v>2.0412414523193152</v>
      </c>
      <c r="J53" s="24"/>
      <c r="K53" s="24"/>
      <c r="L53" s="24"/>
      <c r="M53" s="24"/>
      <c r="N53" s="24"/>
      <c r="O53" s="24"/>
      <c r="P53" s="24"/>
      <c r="Q53" s="24"/>
    </row>
    <row r="54" spans="1:17">
      <c r="A54" s="25" t="s">
        <v>92</v>
      </c>
      <c r="B54" s="34" t="s">
        <v>118</v>
      </c>
      <c r="C54" s="43">
        <f>(D11-$D$41)/$E$41</f>
        <v>1.5471617198780472</v>
      </c>
      <c r="D54" s="41">
        <f>(I11-$F$41)/$G$41</f>
        <v>0.66558003048464565</v>
      </c>
      <c r="E54" s="41">
        <f>(J11-$J$41)/$K$41</f>
        <v>-1.2909944487358054</v>
      </c>
      <c r="F54" s="43">
        <f>(K11-$H$41)/$I$41</f>
        <v>0.91287092917527679</v>
      </c>
      <c r="G54" s="41">
        <f>(L11-$L$41)/$M$41</f>
        <v>0.40824829046386296</v>
      </c>
      <c r="H54" s="155">
        <f>IF($O$41=0,0,((M11-$N$41)/$O$41))</f>
        <v>2.0412414523193152</v>
      </c>
      <c r="I54" s="155">
        <f>IF($Q$41=0,0,((N11-$P$41)/$Q$41))</f>
        <v>2.0412414523193152</v>
      </c>
      <c r="J54" s="24"/>
      <c r="K54" s="24"/>
      <c r="L54" s="24"/>
      <c r="M54" s="24"/>
      <c r="N54" s="24"/>
      <c r="O54" s="24"/>
      <c r="P54" s="24"/>
      <c r="Q54" s="24"/>
    </row>
    <row r="55" spans="1:17">
      <c r="A55" s="25" t="s">
        <v>89</v>
      </c>
      <c r="B55" s="34" t="s">
        <v>129</v>
      </c>
      <c r="C55" s="43">
        <f>(D12-$D$37)/$E$37</f>
        <v>-1.0459143563369546</v>
      </c>
      <c r="D55" s="41">
        <f>(I12-$F$37)/$G$37</f>
        <v>-1.117563191232807</v>
      </c>
      <c r="E55" s="41">
        <f>(J12-$J$37)/$K$37</f>
        <v>0.6454972243679028</v>
      </c>
      <c r="F55" s="43">
        <f>(K12-$H$37)/$I$37</f>
        <v>-1.2909944487358054</v>
      </c>
      <c r="G55" s="41">
        <f>(L12-$L$37)/$M$37</f>
        <v>0.40824829046386296</v>
      </c>
      <c r="H55" s="155">
        <f>IF($O$37=0,0,((M12-$N$37)/$O$37))</f>
        <v>0</v>
      </c>
      <c r="I55" s="155">
        <f>IF($Q$37=0,0,((N12-$P$37)/$Q$37))</f>
        <v>-0.40824829046386302</v>
      </c>
      <c r="J55" s="24"/>
      <c r="K55" s="24"/>
      <c r="L55" s="24"/>
      <c r="M55" s="24"/>
      <c r="N55" s="24"/>
      <c r="O55" s="24"/>
      <c r="P55" s="24"/>
      <c r="Q55" s="24"/>
    </row>
    <row r="56" spans="1:17">
      <c r="A56" s="25" t="s">
        <v>90</v>
      </c>
      <c r="B56" s="34" t="s">
        <v>130</v>
      </c>
      <c r="C56" s="43">
        <f>(D13-$D$38)/$E$38</f>
        <v>-1.2728322493420394</v>
      </c>
      <c r="D56" s="41">
        <f>(I13-$F$38)/$G$38</f>
        <v>-1.0742181778131872</v>
      </c>
      <c r="E56" s="41">
        <f>(J13-$J$38)/$K$38</f>
        <v>0.6454972243679028</v>
      </c>
      <c r="F56" s="43">
        <f>(K13-$H$38)/$I$38</f>
        <v>-2.0412414523193152</v>
      </c>
      <c r="G56" s="41">
        <f>(L13-$L$38)/$M$38</f>
        <v>0.40824829046386296</v>
      </c>
      <c r="H56" s="155">
        <f>IF($O$38=0,0,((M13-$N$38)/$O$38))</f>
        <v>0</v>
      </c>
      <c r="I56" s="155">
        <f>IF($Q$38=0,0,((N13-$P$38)/$Q$38))</f>
        <v>-0.40824829046386302</v>
      </c>
      <c r="J56" s="24"/>
      <c r="K56" s="24"/>
      <c r="L56" s="24"/>
      <c r="M56" s="24"/>
      <c r="N56" s="24"/>
      <c r="O56" s="24"/>
      <c r="P56" s="24"/>
      <c r="Q56" s="24"/>
    </row>
    <row r="57" spans="1:17">
      <c r="A57" s="101" t="s">
        <v>91</v>
      </c>
      <c r="B57" s="42" t="s">
        <v>131</v>
      </c>
      <c r="C57" s="43">
        <f>(D14-$D$39)/$E$39</f>
        <v>-1.2657811833754538</v>
      </c>
      <c r="D57" s="41">
        <f>(I14-$F$39)/$G$39</f>
        <v>-1.03781515208504</v>
      </c>
      <c r="E57" s="41">
        <f>(J14-$J$39)/$K$39</f>
        <v>0.6454972243679028</v>
      </c>
      <c r="F57" s="43">
        <f>(K14-$H$39)/$I$39</f>
        <v>-1.8533643326646532</v>
      </c>
      <c r="G57" s="41">
        <f>(L14-$L$39)/$M$39</f>
        <v>0.40824829046386296</v>
      </c>
      <c r="H57" s="155">
        <f>IF($O$39=0,0,((M14-$N$39)/$O$39))</f>
        <v>0</v>
      </c>
      <c r="I57" s="155">
        <f>IF($Q$39=0,0,((N14-$P$39)/$Q$39))</f>
        <v>-0.9128709291752769</v>
      </c>
      <c r="J57" s="24"/>
      <c r="K57" s="24"/>
      <c r="L57" s="24"/>
      <c r="M57" s="24"/>
      <c r="N57" s="24"/>
      <c r="O57" s="24"/>
      <c r="P57" s="24"/>
      <c r="Q57" s="24"/>
    </row>
    <row r="58" spans="1:17">
      <c r="A58" s="25" t="s">
        <v>107</v>
      </c>
      <c r="B58" s="34" t="s">
        <v>132</v>
      </c>
      <c r="C58" s="43">
        <f>(D15-$D$40)/$E$40</f>
        <v>-0.96954895709742805</v>
      </c>
      <c r="D58" s="41">
        <f>(I15-$F$40)/$G$40</f>
        <v>-1.1578112387174411</v>
      </c>
      <c r="E58" s="41">
        <f>(J15-$J$40)/$K$40</f>
        <v>0.6454972243679028</v>
      </c>
      <c r="F58" s="43">
        <f>(K15-$H$40)/$I$40</f>
        <v>-1.2909944487358054</v>
      </c>
      <c r="G58" s="41">
        <f>(L15-$L$40)/$M$40</f>
        <v>0.40824829046386296</v>
      </c>
      <c r="H58" s="155">
        <f>IF($O$40=0,0,((M15-$N$40)/$O$40))</f>
        <v>0</v>
      </c>
      <c r="I58" s="155">
        <f>IF($Q$40=0,0,((N15-$P$40)/$Q$40))</f>
        <v>-0.40824829046386302</v>
      </c>
      <c r="J58" s="24"/>
      <c r="K58" s="24"/>
      <c r="L58" s="24"/>
      <c r="M58" s="24"/>
      <c r="N58" s="24"/>
      <c r="O58" s="24"/>
      <c r="P58" s="24"/>
      <c r="Q58" s="24"/>
    </row>
    <row r="59" spans="1:17">
      <c r="A59" s="25" t="s">
        <v>92</v>
      </c>
      <c r="B59" s="34" t="s">
        <v>133</v>
      </c>
      <c r="C59" s="43">
        <f>(D16-$D$41)/$E$41</f>
        <v>-1.416574324107027</v>
      </c>
      <c r="D59" s="41">
        <f>(I16-$F$41)/$G$41</f>
        <v>-0.94850455357282881</v>
      </c>
      <c r="E59" s="41">
        <f>(J16-$J$41)/$K$41</f>
        <v>0.6454972243679028</v>
      </c>
      <c r="F59" s="43">
        <f>(K16-$H$41)/$I$41</f>
        <v>-1.8257418583505536</v>
      </c>
      <c r="G59" s="41">
        <f>(L16-$L$41)/$M$41</f>
        <v>0.40824829046386296</v>
      </c>
      <c r="H59" s="155">
        <f>IF($O$41=0,0,((M16-$N$41)/$O$41))</f>
        <v>-0.40824829046386302</v>
      </c>
      <c r="I59" s="155">
        <f>IF($Q$41=0,0,((N16-$P$41)/$Q$41))</f>
        <v>-0.40824829046386302</v>
      </c>
      <c r="J59" s="24"/>
      <c r="K59" s="24"/>
      <c r="L59" s="24"/>
      <c r="M59" s="24"/>
      <c r="N59" s="24"/>
      <c r="O59" s="24"/>
      <c r="P59" s="24"/>
      <c r="Q59" s="24"/>
    </row>
    <row r="60" spans="1:17">
      <c r="A60" s="25" t="s">
        <v>89</v>
      </c>
      <c r="B60" s="34" t="s">
        <v>108</v>
      </c>
      <c r="C60" s="43">
        <f>(D17-$D$37)/$E$37</f>
        <v>0.52023665845744249</v>
      </c>
      <c r="D60" s="41">
        <f>(I17-$F$37)/$G$37</f>
        <v>-0.70293762687222772</v>
      </c>
      <c r="E60" s="41">
        <f>(J17-$J$37)/$K$37</f>
        <v>0.6454972243679028</v>
      </c>
      <c r="F60" s="43">
        <f>(K17-$H$37)/$I$37</f>
        <v>0.6454972243679028</v>
      </c>
      <c r="G60" s="41">
        <f>(L17-$L$37)/$M$37</f>
        <v>0.40824829046386296</v>
      </c>
      <c r="H60" s="155">
        <f>IF($O$37=0,0,((M17-$N$37)/$O$37))</f>
        <v>0</v>
      </c>
      <c r="I60" s="155">
        <f>IF($Q$37=0,0,((N17-$P$37)/$Q$37))</f>
        <v>-0.40824829046386302</v>
      </c>
      <c r="J60" s="24"/>
      <c r="K60" s="24"/>
      <c r="L60" s="24"/>
      <c r="M60" s="24"/>
      <c r="N60" s="24"/>
      <c r="O60" s="24"/>
      <c r="P60" s="24"/>
      <c r="Q60" s="24"/>
    </row>
    <row r="61" spans="1:17">
      <c r="A61" s="25" t="s">
        <v>90</v>
      </c>
      <c r="B61" s="34" t="s">
        <v>109</v>
      </c>
      <c r="C61" s="43">
        <f>(D18-$D$38)/$E$38</f>
        <v>0.46827299809463441</v>
      </c>
      <c r="D61" s="41">
        <f>(I18-$F$38)/$G$38</f>
        <v>-0.69671580791068388</v>
      </c>
      <c r="E61" s="41">
        <f>(J18-$J$38)/$K$38</f>
        <v>0.6454972243679028</v>
      </c>
      <c r="F61" s="43">
        <f>(K18-$H$38)/$I$38</f>
        <v>0.40824829046386307</v>
      </c>
      <c r="G61" s="41">
        <f>(L18-$L$38)/$M$38</f>
        <v>0.40824829046386296</v>
      </c>
      <c r="H61" s="155">
        <f>IF($O$38=0,0,((M18-$N$38)/$O$38))</f>
        <v>0</v>
      </c>
      <c r="I61" s="155">
        <f>IF($Q$38=0,0,((N18-$P$38)/$Q$38))</f>
        <v>-0.40824829046386302</v>
      </c>
      <c r="J61" s="24"/>
      <c r="K61" s="24"/>
      <c r="L61" s="24"/>
      <c r="M61" s="24"/>
      <c r="N61" s="24"/>
      <c r="O61" s="24"/>
      <c r="P61" s="24"/>
      <c r="Q61" s="24"/>
    </row>
    <row r="62" spans="1:17">
      <c r="A62" s="25" t="s">
        <v>91</v>
      </c>
      <c r="B62" s="34" t="s">
        <v>110</v>
      </c>
      <c r="C62" s="43">
        <f>(D19-$D$39)/$E$39</f>
        <v>0.47060997380700875</v>
      </c>
      <c r="D62" s="41">
        <f>(I19-$F$39)/$G$39</f>
        <v>-0.68774241552057958</v>
      </c>
      <c r="E62" s="41">
        <f>(J19-$J$39)/$K$39</f>
        <v>0.6454972243679028</v>
      </c>
      <c r="F62" s="43">
        <f>(K19-$H$39)/$I$39</f>
        <v>0.71283243564025134</v>
      </c>
      <c r="G62" s="41">
        <f>(L19-$L$39)/$M$39</f>
        <v>0.40824829046386296</v>
      </c>
      <c r="H62" s="155">
        <f>IF($O$39=0,0,((M19-$N$39)/$O$39))</f>
        <v>0</v>
      </c>
      <c r="I62" s="155">
        <f>IF($Q$39=0,0,((N19-$P$39)/$Q$39))</f>
        <v>0.9128709291752769</v>
      </c>
      <c r="J62" s="24"/>
      <c r="K62" s="24"/>
      <c r="L62" s="24"/>
      <c r="M62" s="24"/>
      <c r="N62" s="24"/>
      <c r="O62" s="24"/>
      <c r="P62" s="24"/>
      <c r="Q62" s="24"/>
    </row>
    <row r="63" spans="1:17">
      <c r="A63" s="101" t="s">
        <v>107</v>
      </c>
      <c r="B63" s="42" t="s">
        <v>111</v>
      </c>
      <c r="C63" s="43">
        <f>(D20-$D$40)/$E$40</f>
        <v>0.53004813994762723</v>
      </c>
      <c r="D63" s="41">
        <f>(I20-$F$40)/$G$40</f>
        <v>-0.69489917146827707</v>
      </c>
      <c r="E63" s="41">
        <f>(J20-$J$40)/$K$40</f>
        <v>0.6454972243679028</v>
      </c>
      <c r="F63" s="43">
        <f>(K20-$H$40)/$I$40</f>
        <v>0.6454972243679028</v>
      </c>
      <c r="G63" s="41">
        <f>(L20-$L$40)/$M$40</f>
        <v>0.40824829046386296</v>
      </c>
      <c r="H63" s="155">
        <f>IF($O$40=0,0,((M20-$N$40)/$O$40))</f>
        <v>0</v>
      </c>
      <c r="I63" s="155">
        <f>IF($Q$40=0,0,((N20-$P$40)/$Q$40))</f>
        <v>-0.40824829046386302</v>
      </c>
      <c r="J63" s="24"/>
      <c r="K63" s="24"/>
      <c r="L63" s="24"/>
      <c r="M63" s="24"/>
      <c r="N63" s="24"/>
      <c r="O63" s="24"/>
      <c r="P63" s="24"/>
      <c r="Q63" s="24"/>
    </row>
    <row r="64" spans="1:17">
      <c r="A64" s="25" t="s">
        <v>92</v>
      </c>
      <c r="B64" s="34" t="s">
        <v>112</v>
      </c>
      <c r="C64" s="43">
        <f>(D21-$D$41)/$E$41</f>
        <v>0.40091878444458146</v>
      </c>
      <c r="D64" s="41">
        <f>(I21-$F$41)/$G$41</f>
        <v>-0.65863066954732008</v>
      </c>
      <c r="E64" s="41">
        <f>(J21-$J$41)/$K$41</f>
        <v>0.6454972243679028</v>
      </c>
      <c r="F64" s="43">
        <f>(K21-$H$41)/$I$41</f>
        <v>0.91287092917527679</v>
      </c>
      <c r="G64" s="41">
        <f>(L21-$L$41)/$M$41</f>
        <v>0.40824829046386296</v>
      </c>
      <c r="H64" s="155">
        <f>IF($O$41=0,0,((M21-$N$41)/$O$41))</f>
        <v>-0.40824829046386302</v>
      </c>
      <c r="I64" s="155">
        <f>IF($Q$41=0,0,((N21-$P$41)/$Q$41))</f>
        <v>-0.40824829046386302</v>
      </c>
      <c r="J64" s="24"/>
      <c r="K64" s="24"/>
      <c r="L64" s="24"/>
      <c r="M64" s="24"/>
      <c r="N64" s="24"/>
      <c r="O64" s="24"/>
      <c r="P64" s="24"/>
      <c r="Q64" s="24"/>
    </row>
    <row r="65" spans="1:17">
      <c r="A65" s="25" t="s">
        <v>89</v>
      </c>
      <c r="B65" s="34" t="s">
        <v>119</v>
      </c>
      <c r="C65" s="43">
        <f>(D22-$D$37)/$E$37</f>
        <v>0.39134752168872577</v>
      </c>
      <c r="D65" s="41">
        <f>(I22-$F$37)/$G$37</f>
        <v>-1.3408336290691174E-2</v>
      </c>
      <c r="E65" s="41">
        <f>(J22-$J$37)/$K$37</f>
        <v>0.6454972243679028</v>
      </c>
      <c r="F65" s="43">
        <f>(K22-$H$37)/$I$37</f>
        <v>0.6454972243679028</v>
      </c>
      <c r="G65" s="41">
        <f>(L22-$L$37)/$M$37</f>
        <v>0.40824829046386296</v>
      </c>
      <c r="H65" s="155">
        <f>IF($O$37=0,0,((M22-$N$37)/$O$37))</f>
        <v>0</v>
      </c>
      <c r="I65" s="155">
        <f>IF($Q$37=0,0,((N22-$P$37)/$Q$37))</f>
        <v>-0.40824829046386302</v>
      </c>
      <c r="J65" s="24"/>
      <c r="K65" s="24"/>
      <c r="L65" s="24"/>
      <c r="M65" s="24"/>
      <c r="N65" s="24"/>
      <c r="O65" s="24"/>
      <c r="P65" s="24"/>
      <c r="Q65" s="24"/>
    </row>
    <row r="66" spans="1:17">
      <c r="A66" s="25" t="s">
        <v>90</v>
      </c>
      <c r="B66" s="34" t="s">
        <v>120</v>
      </c>
      <c r="C66" s="43">
        <f>(D23-$D$38)/$E$38</f>
        <v>0.32498569677710742</v>
      </c>
      <c r="D66" s="41">
        <f>(I23-$F$38)/$G$38</f>
        <v>-6.8923014397950802E-2</v>
      </c>
      <c r="E66" s="41">
        <f>(J23-$J$38)/$K$38</f>
        <v>0.6454972243679028</v>
      </c>
      <c r="F66" s="43">
        <f>(K23-$H$38)/$I$38</f>
        <v>0.40824829046386307</v>
      </c>
      <c r="G66" s="41">
        <f>(L23-$L$38)/$M$38</f>
        <v>0.40824829046386296</v>
      </c>
      <c r="H66" s="155">
        <f>IF($O$38=0,0,((M23-$N$38)/$O$38))</f>
        <v>0</v>
      </c>
      <c r="I66" s="155">
        <f>IF($Q$38=0,0,((N23-$P$38)/$Q$38))</f>
        <v>-0.40824829046386302</v>
      </c>
      <c r="J66" s="24"/>
      <c r="K66" s="24"/>
      <c r="L66" s="24"/>
      <c r="M66" s="24"/>
      <c r="N66" s="24"/>
      <c r="O66" s="24"/>
      <c r="P66" s="24"/>
      <c r="Q66" s="24"/>
    </row>
    <row r="67" spans="1:17">
      <c r="A67" s="25" t="s">
        <v>91</v>
      </c>
      <c r="B67" s="34" t="s">
        <v>121</v>
      </c>
      <c r="C67" s="43">
        <f>(D24-$D$39)/$E$39</f>
        <v>0.32771062679131741</v>
      </c>
      <c r="D67" s="41">
        <f>(I24-$F$39)/$G$39</f>
        <v>-0.10556556381708047</v>
      </c>
      <c r="E67" s="41">
        <f>(J24-$J$39)/$K$39</f>
        <v>0.6454972243679028</v>
      </c>
      <c r="F67" s="43">
        <f>(K24-$H$39)/$I$39</f>
        <v>0.71283243564025134</v>
      </c>
      <c r="G67" s="41">
        <f>(L24-$L$39)/$M$39</f>
        <v>0.40824829046386296</v>
      </c>
      <c r="H67" s="155">
        <f>IF($O$39=0,0,((M24-$N$39)/$O$39))</f>
        <v>0</v>
      </c>
      <c r="I67" s="155">
        <f>IF($Q$39=0,0,((N24-$P$39)/$Q$39))</f>
        <v>0.9128709291752769</v>
      </c>
      <c r="J67" s="24"/>
      <c r="K67" s="24"/>
      <c r="L67" s="24"/>
      <c r="M67" s="24"/>
      <c r="N67" s="24"/>
      <c r="O67" s="24"/>
      <c r="P67" s="24"/>
      <c r="Q67" s="24"/>
    </row>
    <row r="68" spans="1:17">
      <c r="A68" s="25" t="s">
        <v>107</v>
      </c>
      <c r="B68" s="34" t="s">
        <v>122</v>
      </c>
      <c r="C68" s="43">
        <f>(D25-$D$40)/$E$40</f>
        <v>0.40663617423473875</v>
      </c>
      <c r="D68" s="41">
        <f>(I25-$F$40)/$G$40</f>
        <v>7.4931385950906079E-2</v>
      </c>
      <c r="E68" s="41">
        <f>(J25-$J$40)/$K$40</f>
        <v>0.6454972243679028</v>
      </c>
      <c r="F68" s="43">
        <f>(K25-$H$40)/$I$40</f>
        <v>0.6454972243679028</v>
      </c>
      <c r="G68" s="41">
        <f>(L25-$L$40)/$M$40</f>
        <v>0.40824829046386296</v>
      </c>
      <c r="H68" s="155">
        <f>IF($O$40=0,0,((M25-$N$40)/$O$40))</f>
        <v>0</v>
      </c>
      <c r="I68" s="155">
        <f>IF($Q$40=0,0,((N25-$P$40)/$Q$40))</f>
        <v>-0.40824829046386302</v>
      </c>
      <c r="J68" s="24"/>
      <c r="K68" s="24"/>
      <c r="L68" s="24"/>
      <c r="M68" s="24"/>
      <c r="N68" s="24"/>
      <c r="O68" s="24"/>
      <c r="P68" s="24"/>
      <c r="Q68" s="24"/>
    </row>
    <row r="69" spans="1:17">
      <c r="A69" s="101" t="s">
        <v>92</v>
      </c>
      <c r="B69" s="42" t="s">
        <v>123</v>
      </c>
      <c r="C69" s="43">
        <f>(D26-$D$41)/$E$41</f>
        <v>0.25134501050359126</v>
      </c>
      <c r="D69" s="41">
        <f>(I26-$F$41)/$G$41</f>
        <v>-0.17656552260331651</v>
      </c>
      <c r="E69" s="41">
        <f>(J26-$J$41)/$K$41</f>
        <v>0.6454972243679028</v>
      </c>
      <c r="F69" s="43">
        <f>(K26-$H$41)/$I$41</f>
        <v>0</v>
      </c>
      <c r="G69" s="41">
        <f>(L26-$L$41)/$M$41</f>
        <v>0.40824829046386296</v>
      </c>
      <c r="H69" s="155">
        <f>IF($O$41=0,0,((M26-$N$41)/$O$41))</f>
        <v>-0.40824829046386302</v>
      </c>
      <c r="I69" s="155">
        <f>IF($Q$41=0,0,((N26-$P$41)/$Q$41))</f>
        <v>-0.40824829046386302</v>
      </c>
      <c r="J69" s="24"/>
      <c r="K69" s="24"/>
      <c r="L69" s="24"/>
      <c r="M69" s="24"/>
      <c r="N69" s="24"/>
      <c r="O69" s="24"/>
      <c r="P69" s="24"/>
      <c r="Q69" s="24"/>
    </row>
    <row r="70" spans="1:17">
      <c r="A70" s="25" t="s">
        <v>89</v>
      </c>
      <c r="B70" s="34" t="s">
        <v>26</v>
      </c>
      <c r="C70" s="43">
        <f>(D27-$D$37)/$E$37</f>
        <v>-1.050733043150812</v>
      </c>
      <c r="D70" s="41">
        <f>(I27-$F$37)/$G$37</f>
        <v>1.2245078614949916</v>
      </c>
      <c r="E70" s="41">
        <f>(J27-$J$37)/$K$37</f>
        <v>-1.2909944487358054</v>
      </c>
      <c r="F70" s="43">
        <f>(K27-$H$37)/$I$37</f>
        <v>-1.2909944487358054</v>
      </c>
      <c r="G70" s="41">
        <f>(L27-$L$37)/$M$37</f>
        <v>-2.0412414523193156</v>
      </c>
      <c r="H70" s="155">
        <f>IF($O$37=0,0,((M27-$N$37)/$O$37))</f>
        <v>0</v>
      </c>
      <c r="I70" s="155">
        <f>IF($Q$37=0,0,((N27-$P$37)/$Q$37))</f>
        <v>-0.40824829046386302</v>
      </c>
      <c r="J70" s="24"/>
      <c r="K70" s="24"/>
      <c r="L70" s="24"/>
      <c r="M70" s="24"/>
      <c r="N70" s="24"/>
      <c r="O70" s="24"/>
      <c r="P70" s="24"/>
      <c r="Q70" s="24"/>
    </row>
    <row r="71" spans="1:17" s="24" customFormat="1" ht="14.25" customHeight="1">
      <c r="A71" s="25" t="s">
        <v>90</v>
      </c>
      <c r="B71" s="34" t="s">
        <v>27</v>
      </c>
      <c r="C71" s="43">
        <f>(D28-$D$38)/$E$38</f>
        <v>-0.61771443624148192</v>
      </c>
      <c r="D71" s="41">
        <f>(I28-$F$38)/$G$38</f>
        <v>1.3984483702850949</v>
      </c>
      <c r="E71" s="41">
        <f>(J28-$J$38)/$K$38</f>
        <v>-1.2909944487358054</v>
      </c>
      <c r="F71" s="43">
        <f>(K28-$H$38)/$I$38</f>
        <v>0.40824829046386307</v>
      </c>
      <c r="G71" s="41">
        <f>(L28-$L$38)/$M$38</f>
        <v>-2.0412414523193156</v>
      </c>
      <c r="H71" s="155">
        <f>IF($O$38=0,0,((M28-$N$38)/$O$38))</f>
        <v>0</v>
      </c>
      <c r="I71" s="155">
        <f>IF($Q$38=0,0,((N28-$P$38)/$Q$38))</f>
        <v>-0.40824829046386302</v>
      </c>
    </row>
    <row r="72" spans="1:17" s="24" customFormat="1">
      <c r="A72" s="25" t="s">
        <v>91</v>
      </c>
      <c r="B72" s="34" t="s">
        <v>28</v>
      </c>
      <c r="C72" s="43">
        <f>(D29-$D$39)/$E$39</f>
        <v>-0.63406614599654632</v>
      </c>
      <c r="D72" s="41">
        <f>(I29-$F$39)/$G$39</f>
        <v>1.5050887213474997</v>
      </c>
      <c r="E72" s="41">
        <f>(J29-$J$39)/$K$39</f>
        <v>-1.2909944487358054</v>
      </c>
      <c r="F72" s="43">
        <f>(K29-$H$39)/$I$39</f>
        <v>-0.14256648712805023</v>
      </c>
      <c r="G72" s="41">
        <f>(L29-$L$39)/$M$39</f>
        <v>-2.0412414523193156</v>
      </c>
      <c r="H72" s="155">
        <f>IF($O$39=0,0,((M29-$N$39)/$O$39))</f>
        <v>0</v>
      </c>
      <c r="I72" s="155">
        <f>IF($Q$39=0,0,((N29-$P$39)/$Q$39))</f>
        <v>-0.9128709291752769</v>
      </c>
    </row>
    <row r="73" spans="1:17" s="24" customFormat="1">
      <c r="A73" s="25" t="s">
        <v>107</v>
      </c>
      <c r="B73" s="34" t="s">
        <v>29</v>
      </c>
      <c r="C73" s="43">
        <f>(D30-$D$40)/$E$40</f>
        <v>-1.165677161002403</v>
      </c>
      <c r="D73" s="41">
        <f>(I30-$F$40)/$G$40</f>
        <v>0.91760555531514354</v>
      </c>
      <c r="E73" s="41">
        <f>(J30-$J$40)/$K$40</f>
        <v>-1.2909944487358054</v>
      </c>
      <c r="F73" s="43">
        <f>(K30-$H$40)/$I$40</f>
        <v>-1.2909944487358054</v>
      </c>
      <c r="G73" s="41">
        <f>(L30-$L$40)/$M$40</f>
        <v>-2.0412414523193156</v>
      </c>
      <c r="H73" s="155">
        <f>IF($O$40=0,0,((M30-$N$40)/$O$40))</f>
        <v>0</v>
      </c>
      <c r="I73" s="155">
        <f>IF($Q$40=0,0,((N30-$P$40)/$Q$40))</f>
        <v>-0.40824829046386302</v>
      </c>
    </row>
    <row r="74" spans="1:17" s="24" customFormat="1">
      <c r="A74" s="25" t="s">
        <v>92</v>
      </c>
      <c r="B74" s="34" t="s">
        <v>30</v>
      </c>
      <c r="C74" s="43">
        <f>(D31-$D$41)/$E$41</f>
        <v>-0.20532130014599123</v>
      </c>
      <c r="D74" s="41">
        <f>(I31-$F$41)/$G$41</f>
        <v>1.6920377680976706</v>
      </c>
      <c r="E74" s="41">
        <f>(J31-$J$41)/$K$41</f>
        <v>-1.2909944487358054</v>
      </c>
      <c r="F74" s="43">
        <f>(K31-$H$41)/$I$41</f>
        <v>0</v>
      </c>
      <c r="G74" s="41">
        <f>(L31-$L$41)/$M$41</f>
        <v>-2.0412414523193156</v>
      </c>
      <c r="H74" s="155">
        <f>IF($O$41=0,0,((M31-$N$41)/$O$41))</f>
        <v>-0.40824829046386302</v>
      </c>
      <c r="I74" s="155">
        <f>IF($Q$41=0,0,((N31-$P$41)/$Q$41))</f>
        <v>-0.40824829046386302</v>
      </c>
    </row>
    <row r="75" spans="1:17" s="24" customFormat="1" ht="15.75" customHeight="1" thickBot="1">
      <c r="B75" s="28"/>
      <c r="C75" s="36"/>
      <c r="G75" s="30"/>
    </row>
    <row r="76" spans="1:17" s="24" customFormat="1" ht="15.75" customHeight="1" thickBot="1">
      <c r="A76" s="126" t="s">
        <v>62</v>
      </c>
      <c r="B76" s="127"/>
      <c r="C76" s="127"/>
      <c r="D76" s="127"/>
      <c r="E76" s="127"/>
      <c r="F76" s="127"/>
      <c r="G76" s="127"/>
      <c r="H76" s="127"/>
      <c r="I76" s="128"/>
    </row>
    <row r="77" spans="1:17" s="24" customFormat="1" ht="15.75" customHeight="1">
      <c r="A77" s="122"/>
      <c r="B77" s="123" t="s">
        <v>141</v>
      </c>
      <c r="C77" s="124" t="s">
        <v>113</v>
      </c>
      <c r="D77" s="124" t="s">
        <v>343</v>
      </c>
      <c r="E77" s="124" t="s">
        <v>102</v>
      </c>
      <c r="F77" s="124" t="s">
        <v>99</v>
      </c>
      <c r="G77" s="124" t="s">
        <v>100</v>
      </c>
      <c r="H77" s="125" t="s">
        <v>101</v>
      </c>
      <c r="I77" s="125" t="s">
        <v>52</v>
      </c>
      <c r="J77" s="129"/>
    </row>
    <row r="78" spans="1:17" s="24" customFormat="1" ht="15.75" customHeight="1">
      <c r="A78" s="101" t="s">
        <v>89</v>
      </c>
      <c r="B78" s="42" t="s">
        <v>124</v>
      </c>
      <c r="C78" s="156">
        <f>C45*InputsAssumptions!$B$3</f>
        <v>-3.2290182613605714</v>
      </c>
      <c r="D78" s="157">
        <f>D45*InputsAssumptions!$B$4</f>
        <v>-4.072363424435383</v>
      </c>
      <c r="E78" s="158">
        <f>E45*InputsAssumptions!$B$5</f>
        <v>6.4549722436790278</v>
      </c>
      <c r="F78" s="156">
        <f>F45*InputsAssumptions!$B$6</f>
        <v>3.2274861218395139</v>
      </c>
      <c r="G78" s="158">
        <f>G45*InputsAssumptions!$B$7</f>
        <v>3.6742346141747668</v>
      </c>
      <c r="H78" s="158">
        <f>H45*InputsAssumptions!$B$8</f>
        <v>0</v>
      </c>
      <c r="I78" s="158">
        <f>I45*InputsAssumptions!$B$9</f>
        <v>-2.4494897427831779</v>
      </c>
      <c r="J78" s="37"/>
    </row>
    <row r="79" spans="1:17" s="24" customFormat="1" ht="15.75" customHeight="1">
      <c r="A79" s="25" t="s">
        <v>90</v>
      </c>
      <c r="B79" s="34" t="s">
        <v>125</v>
      </c>
      <c r="C79" s="156">
        <f>C46*InputsAssumptions!$B$3</f>
        <v>-4.6905221893385436</v>
      </c>
      <c r="D79" s="157">
        <f>D46*InputsAssumptions!$B$4</f>
        <v>-4.1047536505986351</v>
      </c>
      <c r="E79" s="158">
        <f>E46*InputsAssumptions!$B$5</f>
        <v>6.4549722436790278</v>
      </c>
      <c r="F79" s="156">
        <f>F46*InputsAssumptions!$B$6</f>
        <v>2.0412414523193152</v>
      </c>
      <c r="G79" s="158">
        <f>G46*InputsAssumptions!$B$7</f>
        <v>3.6742346141747668</v>
      </c>
      <c r="H79" s="158">
        <f>H46*InputsAssumptions!$B$8</f>
        <v>0</v>
      </c>
      <c r="I79" s="158">
        <f>I46*InputsAssumptions!$B$9</f>
        <v>-2.4494897427831779</v>
      </c>
      <c r="J79" s="37"/>
    </row>
    <row r="80" spans="1:17" s="24" customFormat="1" ht="15.75" customHeight="1">
      <c r="A80" s="25" t="s">
        <v>91</v>
      </c>
      <c r="B80" s="34" t="s">
        <v>126</v>
      </c>
      <c r="C80" s="156">
        <f>C47*InputsAssumptions!$B$3</f>
        <v>-4.6417740946494801</v>
      </c>
      <c r="D80" s="157">
        <f>D47*InputsAssumptions!$B$4</f>
        <v>-4.0980527343362745</v>
      </c>
      <c r="E80" s="158">
        <f>E47*InputsAssumptions!$B$5</f>
        <v>6.4549722436790278</v>
      </c>
      <c r="F80" s="156">
        <f>F47*InputsAssumptions!$B$6</f>
        <v>-0.71283243564025112</v>
      </c>
      <c r="G80" s="158">
        <f>G47*InputsAssumptions!$B$7</f>
        <v>3.6742346141747668</v>
      </c>
      <c r="H80" s="158">
        <f>H47*InputsAssumptions!$B$8</f>
        <v>0</v>
      </c>
      <c r="I80" s="158">
        <f>I47*InputsAssumptions!$B$9</f>
        <v>-5.4772255750516612</v>
      </c>
      <c r="J80" s="37"/>
    </row>
    <row r="81" spans="1:10" s="24" customFormat="1" ht="15.75" customHeight="1">
      <c r="A81" s="25" t="s">
        <v>107</v>
      </c>
      <c r="B81" s="34" t="s">
        <v>127</v>
      </c>
      <c r="C81" s="156">
        <f>C48*InputsAssumptions!$B$3</f>
        <v>-2.7726099688510915</v>
      </c>
      <c r="D81" s="157">
        <f>D48*InputsAssumptions!$B$4</f>
        <v>-3.9173144856316382</v>
      </c>
      <c r="E81" s="158">
        <f>E48*InputsAssumptions!$B$5</f>
        <v>6.4549722436790278</v>
      </c>
      <c r="F81" s="156">
        <f>F48*InputsAssumptions!$B$6</f>
        <v>3.2274861218395139</v>
      </c>
      <c r="G81" s="158">
        <f>G48*InputsAssumptions!$B$7</f>
        <v>3.6742346141747668</v>
      </c>
      <c r="H81" s="158">
        <f>H48*InputsAssumptions!$B$8</f>
        <v>0</v>
      </c>
      <c r="I81" s="158">
        <f>I48*InputsAssumptions!$B$9</f>
        <v>-2.4494897427831779</v>
      </c>
      <c r="J81" s="37"/>
    </row>
    <row r="82" spans="1:10" s="24" customFormat="1" ht="15.75" customHeight="1">
      <c r="A82" s="25" t="s">
        <v>92</v>
      </c>
      <c r="B82" s="34" t="s">
        <v>128</v>
      </c>
      <c r="C82" s="156">
        <f>C49*InputsAssumptions!$B$3</f>
        <v>-5.7752989057320008</v>
      </c>
      <c r="D82" s="157">
        <f>D49*InputsAssumptions!$B$4</f>
        <v>-4.017419370011952</v>
      </c>
      <c r="E82" s="158">
        <f>E49*InputsAssumptions!$B$5</f>
        <v>6.4549722436790278</v>
      </c>
      <c r="F82" s="156">
        <f>F49*InputsAssumptions!$B$6</f>
        <v>0</v>
      </c>
      <c r="G82" s="158">
        <f>G49*InputsAssumptions!$B$7</f>
        <v>3.6742346141747668</v>
      </c>
      <c r="H82" s="158">
        <f>H49*InputsAssumptions!$B$8</f>
        <v>-3.2659863237109041</v>
      </c>
      <c r="I82" s="158">
        <f>I49*InputsAssumptions!$B$9</f>
        <v>-2.4494897427831779</v>
      </c>
      <c r="J82" s="37"/>
    </row>
    <row r="83" spans="1:10" s="24" customFormat="1" ht="15.75" customHeight="1">
      <c r="A83" s="25" t="s">
        <v>89</v>
      </c>
      <c r="B83" s="34" t="s">
        <v>114</v>
      </c>
      <c r="C83" s="156">
        <f>C50*InputsAssumptions!$B$3</f>
        <v>15.079650454776548</v>
      </c>
      <c r="D83" s="157">
        <f>D50*InputsAssumptions!$B$4</f>
        <v>8.3381724747405208</v>
      </c>
      <c r="E83" s="158">
        <f>E50*InputsAssumptions!$B$5</f>
        <v>-12.909944487358054</v>
      </c>
      <c r="F83" s="156">
        <f>F50*InputsAssumptions!$B$6</f>
        <v>3.2274861218395139</v>
      </c>
      <c r="G83" s="158">
        <f>G50*InputsAssumptions!$B$7</f>
        <v>3.6742346141747668</v>
      </c>
      <c r="H83" s="158">
        <f>H50*InputsAssumptions!$B$8</f>
        <v>0</v>
      </c>
      <c r="I83" s="158">
        <f>I50*InputsAssumptions!$B$9</f>
        <v>12.24744871391589</v>
      </c>
      <c r="J83" s="37"/>
    </row>
    <row r="84" spans="1:10" s="24" customFormat="1" ht="15.75" customHeight="1">
      <c r="A84" s="101" t="s">
        <v>90</v>
      </c>
      <c r="B84" s="42" t="s">
        <v>115</v>
      </c>
      <c r="C84" s="156">
        <f>C51*InputsAssumptions!$B$3</f>
        <v>15.663402096456359</v>
      </c>
      <c r="D84" s="157">
        <f>D51*InputsAssumptions!$B$4</f>
        <v>7.1946140594557235</v>
      </c>
      <c r="E84" s="158">
        <f>E51*InputsAssumptions!$B$5</f>
        <v>-12.909944487358054</v>
      </c>
      <c r="F84" s="156">
        <f>F51*InputsAssumptions!$B$6</f>
        <v>2.0412414523193152</v>
      </c>
      <c r="G84" s="158">
        <f>G51*InputsAssumptions!$B$7</f>
        <v>3.6742346141747668</v>
      </c>
      <c r="H84" s="158">
        <f>H51*InputsAssumptions!$B$8</f>
        <v>0</v>
      </c>
      <c r="I84" s="158">
        <f>I51*InputsAssumptions!$B$9</f>
        <v>12.24744871391589</v>
      </c>
      <c r="J84" s="37"/>
    </row>
    <row r="85" spans="1:10" s="24" customFormat="1" ht="15.75" customHeight="1">
      <c r="A85" s="25" t="s">
        <v>91</v>
      </c>
      <c r="B85" s="34" t="s">
        <v>116</v>
      </c>
      <c r="C85" s="156">
        <f>C52*InputsAssumptions!$B$3</f>
        <v>15.657041382386218</v>
      </c>
      <c r="D85" s="157">
        <f>D52*InputsAssumptions!$B$4</f>
        <v>6.3802936048626773</v>
      </c>
      <c r="E85" s="158">
        <f>E52*InputsAssumptions!$B$5</f>
        <v>-12.909944487358054</v>
      </c>
      <c r="F85" s="156">
        <f>F52*InputsAssumptions!$B$6</f>
        <v>3.5641621782012569</v>
      </c>
      <c r="G85" s="158">
        <f>G52*InputsAssumptions!$B$7</f>
        <v>3.6742346141747668</v>
      </c>
      <c r="H85" s="158">
        <f>H52*InputsAssumptions!$B$8</f>
        <v>0</v>
      </c>
      <c r="I85" s="158">
        <f>I52*InputsAssumptions!$B$9</f>
        <v>5.4772255750516612</v>
      </c>
      <c r="J85" s="37"/>
    </row>
    <row r="86" spans="1:10">
      <c r="A86" s="25" t="s">
        <v>107</v>
      </c>
      <c r="B86" s="34" t="s">
        <v>117</v>
      </c>
      <c r="C86" s="156">
        <f>C53*InputsAssumptions!$B$3</f>
        <v>14.758028008025741</v>
      </c>
      <c r="D86" s="157">
        <f>D53*InputsAssumptions!$B$4</f>
        <v>9.9385287680693182</v>
      </c>
      <c r="E86" s="158">
        <f>E53*InputsAssumptions!$B$5</f>
        <v>-12.909944487358054</v>
      </c>
      <c r="F86" s="156">
        <f>F53*InputsAssumptions!$B$6</f>
        <v>3.2274861218395139</v>
      </c>
      <c r="G86" s="158">
        <f>G53*InputsAssumptions!$B$7</f>
        <v>3.6742346141747668</v>
      </c>
      <c r="H86" s="158">
        <f>H53*InputsAssumptions!$B$8</f>
        <v>0</v>
      </c>
      <c r="I86" s="158">
        <f>I53*InputsAssumptions!$B$9</f>
        <v>12.24744871391589</v>
      </c>
      <c r="J86" s="37"/>
    </row>
    <row r="87" spans="1:10">
      <c r="A87" s="25" t="s">
        <v>92</v>
      </c>
      <c r="B87" s="34" t="s">
        <v>118</v>
      </c>
      <c r="C87" s="156">
        <f>C54*InputsAssumptions!$B$3</f>
        <v>15.471617198780471</v>
      </c>
      <c r="D87" s="157">
        <f>D54*InputsAssumptions!$B$4</f>
        <v>4.6590602133925199</v>
      </c>
      <c r="E87" s="158">
        <f>E54*InputsAssumptions!$B$5</f>
        <v>-12.909944487358054</v>
      </c>
      <c r="F87" s="156">
        <f>F54*InputsAssumptions!$B$6</f>
        <v>4.5643546458763842</v>
      </c>
      <c r="G87" s="158">
        <f>G54*InputsAssumptions!$B$7</f>
        <v>3.6742346141747668</v>
      </c>
      <c r="H87" s="158">
        <f>H54*InputsAssumptions!$B$8</f>
        <v>16.329931618554522</v>
      </c>
      <c r="I87" s="158">
        <f>I54*InputsAssumptions!$B$9</f>
        <v>12.24744871391589</v>
      </c>
      <c r="J87" s="37"/>
    </row>
    <row r="88" spans="1:10">
      <c r="A88" s="25" t="s">
        <v>89</v>
      </c>
      <c r="B88" s="34" t="s">
        <v>129</v>
      </c>
      <c r="C88" s="156">
        <f>C55*InputsAssumptions!$B$3</f>
        <v>-10.459143563369546</v>
      </c>
      <c r="D88" s="157">
        <f>D55*InputsAssumptions!$B$4</f>
        <v>-7.8229423386296491</v>
      </c>
      <c r="E88" s="158">
        <f>E55*InputsAssumptions!$B$5</f>
        <v>6.4549722436790278</v>
      </c>
      <c r="F88" s="156">
        <f>F55*InputsAssumptions!$B$6</f>
        <v>-6.4549722436790269</v>
      </c>
      <c r="G88" s="158">
        <f>G55*InputsAssumptions!$B$7</f>
        <v>3.6742346141747668</v>
      </c>
      <c r="H88" s="158">
        <f>H55*InputsAssumptions!$B$8</f>
        <v>0</v>
      </c>
      <c r="I88" s="158">
        <f>I55*InputsAssumptions!$B$9</f>
        <v>-2.4494897427831779</v>
      </c>
      <c r="J88" s="37"/>
    </row>
    <row r="89" spans="1:10">
      <c r="A89" s="25" t="s">
        <v>90</v>
      </c>
      <c r="B89" s="34" t="s">
        <v>130</v>
      </c>
      <c r="C89" s="156">
        <f>C56*InputsAssumptions!$B$3</f>
        <v>-12.728322493420395</v>
      </c>
      <c r="D89" s="157">
        <f>D56*InputsAssumptions!$B$4</f>
        <v>-7.51952724469231</v>
      </c>
      <c r="E89" s="158">
        <f>E56*InputsAssumptions!$B$5</f>
        <v>6.4549722436790278</v>
      </c>
      <c r="F89" s="156">
        <f>F56*InputsAssumptions!$B$6</f>
        <v>-10.206207261596576</v>
      </c>
      <c r="G89" s="158">
        <f>G56*InputsAssumptions!$B$7</f>
        <v>3.6742346141747668</v>
      </c>
      <c r="H89" s="158">
        <f>H56*InputsAssumptions!$B$8</f>
        <v>0</v>
      </c>
      <c r="I89" s="158">
        <f>I56*InputsAssumptions!$B$9</f>
        <v>-2.4494897427831779</v>
      </c>
      <c r="J89" s="37"/>
    </row>
    <row r="90" spans="1:10">
      <c r="A90" s="101" t="s">
        <v>91</v>
      </c>
      <c r="B90" s="42" t="s">
        <v>131</v>
      </c>
      <c r="C90" s="156">
        <f>C57*InputsAssumptions!$B$3</f>
        <v>-12.657811833754538</v>
      </c>
      <c r="D90" s="157">
        <f>D57*InputsAssumptions!$B$4</f>
        <v>-7.2647060645952806</v>
      </c>
      <c r="E90" s="158">
        <f>E57*InputsAssumptions!$B$5</f>
        <v>6.4549722436790278</v>
      </c>
      <c r="F90" s="156">
        <f>F57*InputsAssumptions!$B$6</f>
        <v>-9.2668216633232667</v>
      </c>
      <c r="G90" s="158">
        <f>G57*InputsAssumptions!$B$7</f>
        <v>3.6742346141747668</v>
      </c>
      <c r="H90" s="158">
        <f>H57*InputsAssumptions!$B$8</f>
        <v>0</v>
      </c>
      <c r="I90" s="158">
        <f>I57*InputsAssumptions!$B$9</f>
        <v>-5.4772255750516612</v>
      </c>
      <c r="J90" s="37"/>
    </row>
    <row r="91" spans="1:10">
      <c r="A91" s="25" t="s">
        <v>107</v>
      </c>
      <c r="B91" s="34" t="s">
        <v>132</v>
      </c>
      <c r="C91" s="156">
        <f>C58*InputsAssumptions!$B$3</f>
        <v>-9.6954895709742814</v>
      </c>
      <c r="D91" s="157">
        <f>D58*InputsAssumptions!$B$4</f>
        <v>-8.1046786710220875</v>
      </c>
      <c r="E91" s="158">
        <f>E58*InputsAssumptions!$B$5</f>
        <v>6.4549722436790278</v>
      </c>
      <c r="F91" s="156">
        <f>F58*InputsAssumptions!$B$6</f>
        <v>-6.4549722436790269</v>
      </c>
      <c r="G91" s="158">
        <f>G58*InputsAssumptions!$B$7</f>
        <v>3.6742346141747668</v>
      </c>
      <c r="H91" s="158">
        <f>H58*InputsAssumptions!$B$8</f>
        <v>0</v>
      </c>
      <c r="I91" s="158">
        <f>I58*InputsAssumptions!$B$9</f>
        <v>-2.4494897427831779</v>
      </c>
      <c r="J91" s="37"/>
    </row>
    <row r="92" spans="1:10">
      <c r="A92" s="25" t="s">
        <v>92</v>
      </c>
      <c r="B92" s="34" t="s">
        <v>133</v>
      </c>
      <c r="C92" s="156">
        <f>C59*InputsAssumptions!$B$3</f>
        <v>-14.16574324107027</v>
      </c>
      <c r="D92" s="157">
        <f>D59*InputsAssumptions!$B$4</f>
        <v>-6.6395318750098014</v>
      </c>
      <c r="E92" s="158">
        <f>E59*InputsAssumptions!$B$5</f>
        <v>6.4549722436790278</v>
      </c>
      <c r="F92" s="156">
        <f>F59*InputsAssumptions!$B$6</f>
        <v>-9.1287092917527684</v>
      </c>
      <c r="G92" s="158">
        <f>G59*InputsAssumptions!$B$7</f>
        <v>3.6742346141747668</v>
      </c>
      <c r="H92" s="158">
        <f>H59*InputsAssumptions!$B$8</f>
        <v>-3.2659863237109041</v>
      </c>
      <c r="I92" s="158">
        <f>I59*InputsAssumptions!$B$9</f>
        <v>-2.4494897427831779</v>
      </c>
      <c r="J92" s="37"/>
    </row>
    <row r="93" spans="1:10">
      <c r="A93" s="25" t="s">
        <v>89</v>
      </c>
      <c r="B93" s="34" t="s">
        <v>108</v>
      </c>
      <c r="C93" s="156">
        <f>C60*InputsAssumptions!$B$3</f>
        <v>5.2023665845744249</v>
      </c>
      <c r="D93" s="157">
        <f>D60*InputsAssumptions!$B$4</f>
        <v>-4.9205633881055943</v>
      </c>
      <c r="E93" s="158">
        <f>E60*InputsAssumptions!$B$5</f>
        <v>6.4549722436790278</v>
      </c>
      <c r="F93" s="156">
        <f>F60*InputsAssumptions!$B$6</f>
        <v>3.2274861218395139</v>
      </c>
      <c r="G93" s="158">
        <f>G60*InputsAssumptions!$B$7</f>
        <v>3.6742346141747668</v>
      </c>
      <c r="H93" s="158">
        <f>H60*InputsAssumptions!$B$8</f>
        <v>0</v>
      </c>
      <c r="I93" s="158">
        <f>I60*InputsAssumptions!$B$9</f>
        <v>-2.4494897427831779</v>
      </c>
      <c r="J93" s="37"/>
    </row>
    <row r="94" spans="1:10">
      <c r="A94" s="25" t="s">
        <v>90</v>
      </c>
      <c r="B94" s="34" t="s">
        <v>109</v>
      </c>
      <c r="C94" s="156">
        <f>C61*InputsAssumptions!$B$3</f>
        <v>4.6827299809463439</v>
      </c>
      <c r="D94" s="157">
        <f>D61*InputsAssumptions!$B$4</f>
        <v>-4.8770106553747876</v>
      </c>
      <c r="E94" s="158">
        <f>E61*InputsAssumptions!$B$5</f>
        <v>6.4549722436790278</v>
      </c>
      <c r="F94" s="156">
        <f>F61*InputsAssumptions!$B$6</f>
        <v>2.0412414523193152</v>
      </c>
      <c r="G94" s="158">
        <f>G61*InputsAssumptions!$B$7</f>
        <v>3.6742346141747668</v>
      </c>
      <c r="H94" s="158">
        <f>H61*InputsAssumptions!$B$8</f>
        <v>0</v>
      </c>
      <c r="I94" s="158">
        <f>I61*InputsAssumptions!$B$9</f>
        <v>-2.4494897427831779</v>
      </c>
      <c r="J94" s="37"/>
    </row>
    <row r="95" spans="1:10">
      <c r="A95" s="25" t="s">
        <v>91</v>
      </c>
      <c r="B95" s="34" t="s">
        <v>110</v>
      </c>
      <c r="C95" s="156">
        <f>C62*InputsAssumptions!$B$3</f>
        <v>4.7060997380700877</v>
      </c>
      <c r="D95" s="157">
        <f>D62*InputsAssumptions!$B$4</f>
        <v>-4.8141969086440568</v>
      </c>
      <c r="E95" s="158">
        <f>E62*InputsAssumptions!$B$5</f>
        <v>6.4549722436790278</v>
      </c>
      <c r="F95" s="156">
        <f>F62*InputsAssumptions!$B$6</f>
        <v>3.5641621782012569</v>
      </c>
      <c r="G95" s="158">
        <f>G62*InputsAssumptions!$B$7</f>
        <v>3.6742346141747668</v>
      </c>
      <c r="H95" s="158">
        <f>H62*InputsAssumptions!$B$8</f>
        <v>0</v>
      </c>
      <c r="I95" s="158">
        <f>I62*InputsAssumptions!$B$9</f>
        <v>5.4772255750516612</v>
      </c>
      <c r="J95" s="37"/>
    </row>
    <row r="96" spans="1:10">
      <c r="A96" s="101" t="s">
        <v>107</v>
      </c>
      <c r="B96" s="42" t="s">
        <v>111</v>
      </c>
      <c r="C96" s="156">
        <f>C63*InputsAssumptions!$B$3</f>
        <v>5.3004813994762721</v>
      </c>
      <c r="D96" s="157">
        <f>D63*InputsAssumptions!$B$4</f>
        <v>-4.8642942002779392</v>
      </c>
      <c r="E96" s="158">
        <f>E63*InputsAssumptions!$B$5</f>
        <v>6.4549722436790278</v>
      </c>
      <c r="F96" s="156">
        <f>F63*InputsAssumptions!$B$6</f>
        <v>3.2274861218395139</v>
      </c>
      <c r="G96" s="158">
        <f>G63*InputsAssumptions!$B$7</f>
        <v>3.6742346141747668</v>
      </c>
      <c r="H96" s="158">
        <f>H63*InputsAssumptions!$B$8</f>
        <v>0</v>
      </c>
      <c r="I96" s="158">
        <f>I63*InputsAssumptions!$B$9</f>
        <v>-2.4494897427831779</v>
      </c>
      <c r="J96" s="37"/>
    </row>
    <row r="97" spans="1:10">
      <c r="A97" s="25" t="s">
        <v>92</v>
      </c>
      <c r="B97" s="34" t="s">
        <v>112</v>
      </c>
      <c r="C97" s="156">
        <f>C64*InputsAssumptions!$B$3</f>
        <v>4.0091878444458144</v>
      </c>
      <c r="D97" s="157">
        <f>D64*InputsAssumptions!$B$4</f>
        <v>-4.6104146868312403</v>
      </c>
      <c r="E97" s="158">
        <f>E64*InputsAssumptions!$B$5</f>
        <v>6.4549722436790278</v>
      </c>
      <c r="F97" s="156">
        <f>F64*InputsAssumptions!$B$6</f>
        <v>4.5643546458763842</v>
      </c>
      <c r="G97" s="158">
        <f>G64*InputsAssumptions!$B$7</f>
        <v>3.6742346141747668</v>
      </c>
      <c r="H97" s="158">
        <f>H64*InputsAssumptions!$B$8</f>
        <v>-3.2659863237109041</v>
      </c>
      <c r="I97" s="158">
        <f>I64*InputsAssumptions!$B$9</f>
        <v>-2.4494897427831779</v>
      </c>
      <c r="J97" s="37"/>
    </row>
    <row r="98" spans="1:10">
      <c r="A98" s="25" t="s">
        <v>89</v>
      </c>
      <c r="B98" s="34" t="s">
        <v>119</v>
      </c>
      <c r="C98" s="156">
        <f>C65*InputsAssumptions!$B$3</f>
        <v>3.9134752168872575</v>
      </c>
      <c r="D98" s="157">
        <f>D65*InputsAssumptions!$B$4</f>
        <v>-9.3858354034838221E-2</v>
      </c>
      <c r="E98" s="158">
        <f>E65*InputsAssumptions!$B$5</f>
        <v>6.4549722436790278</v>
      </c>
      <c r="F98" s="156">
        <f>F65*InputsAssumptions!$B$6</f>
        <v>3.2274861218395139</v>
      </c>
      <c r="G98" s="158">
        <f>G65*InputsAssumptions!$B$7</f>
        <v>3.6742346141747668</v>
      </c>
      <c r="H98" s="158">
        <f>H65*InputsAssumptions!$B$8</f>
        <v>0</v>
      </c>
      <c r="I98" s="158">
        <f>I65*InputsAssumptions!$B$9</f>
        <v>-2.4494897427831779</v>
      </c>
      <c r="J98" s="37"/>
    </row>
    <row r="99" spans="1:10">
      <c r="A99" s="25" t="s">
        <v>90</v>
      </c>
      <c r="B99" s="34" t="s">
        <v>120</v>
      </c>
      <c r="C99" s="156">
        <f>C66*InputsAssumptions!$B$3</f>
        <v>3.2498569677710742</v>
      </c>
      <c r="D99" s="157">
        <f>D66*InputsAssumptions!$B$4</f>
        <v>-0.48246110078565563</v>
      </c>
      <c r="E99" s="158">
        <f>E66*InputsAssumptions!$B$5</f>
        <v>6.4549722436790278</v>
      </c>
      <c r="F99" s="156">
        <f>F66*InputsAssumptions!$B$6</f>
        <v>2.0412414523193152</v>
      </c>
      <c r="G99" s="158">
        <f>G66*InputsAssumptions!$B$7</f>
        <v>3.6742346141747668</v>
      </c>
      <c r="H99" s="158">
        <f>H66*InputsAssumptions!$B$8</f>
        <v>0</v>
      </c>
      <c r="I99" s="158">
        <f>I66*InputsAssumptions!$B$9</f>
        <v>-2.4494897427831779</v>
      </c>
      <c r="J99" s="37"/>
    </row>
    <row r="100" spans="1:10">
      <c r="A100" s="25" t="s">
        <v>91</v>
      </c>
      <c r="B100" s="34" t="s">
        <v>121</v>
      </c>
      <c r="C100" s="156">
        <f>C67*InputsAssumptions!$B$3</f>
        <v>3.2771062679131742</v>
      </c>
      <c r="D100" s="157">
        <f>D67*InputsAssumptions!$B$4</f>
        <v>-0.7389589467195633</v>
      </c>
      <c r="E100" s="158">
        <f>E67*InputsAssumptions!$B$5</f>
        <v>6.4549722436790278</v>
      </c>
      <c r="F100" s="156">
        <f>F67*InputsAssumptions!$B$6</f>
        <v>3.5641621782012569</v>
      </c>
      <c r="G100" s="158">
        <f>G67*InputsAssumptions!$B$7</f>
        <v>3.6742346141747668</v>
      </c>
      <c r="H100" s="158">
        <f>H67*InputsAssumptions!$B$8</f>
        <v>0</v>
      </c>
      <c r="I100" s="158">
        <f>I67*InputsAssumptions!$B$9</f>
        <v>5.4772255750516612</v>
      </c>
      <c r="J100" s="37"/>
    </row>
    <row r="101" spans="1:10">
      <c r="A101" s="25" t="s">
        <v>107</v>
      </c>
      <c r="B101" s="34" t="s">
        <v>122</v>
      </c>
      <c r="C101" s="156">
        <f>C68*InputsAssumptions!$B$3</f>
        <v>4.0663617423473877</v>
      </c>
      <c r="D101" s="157">
        <f>D68*InputsAssumptions!$B$4</f>
        <v>0.52451970165634254</v>
      </c>
      <c r="E101" s="158">
        <f>E68*InputsAssumptions!$B$5</f>
        <v>6.4549722436790278</v>
      </c>
      <c r="F101" s="156">
        <f>F68*InputsAssumptions!$B$6</f>
        <v>3.2274861218395139</v>
      </c>
      <c r="G101" s="158">
        <f>G68*InputsAssumptions!$B$7</f>
        <v>3.6742346141747668</v>
      </c>
      <c r="H101" s="158">
        <f>H68*InputsAssumptions!$B$8</f>
        <v>0</v>
      </c>
      <c r="I101" s="158">
        <f>I68*InputsAssumptions!$B$9</f>
        <v>-2.4494897427831779</v>
      </c>
      <c r="J101" s="37"/>
    </row>
    <row r="102" spans="1:10">
      <c r="A102" s="101" t="s">
        <v>92</v>
      </c>
      <c r="B102" s="42" t="s">
        <v>123</v>
      </c>
      <c r="C102" s="156">
        <f>C69*InputsAssumptions!$B$3</f>
        <v>2.5134501050359126</v>
      </c>
      <c r="D102" s="157">
        <f>D69*InputsAssumptions!$B$4</f>
        <v>-1.2359586582232156</v>
      </c>
      <c r="E102" s="158">
        <f>E69*InputsAssumptions!$B$5</f>
        <v>6.4549722436790278</v>
      </c>
      <c r="F102" s="156">
        <f>F69*InputsAssumptions!$B$6</f>
        <v>0</v>
      </c>
      <c r="G102" s="158">
        <f>G69*InputsAssumptions!$B$7</f>
        <v>3.6742346141747668</v>
      </c>
      <c r="H102" s="158">
        <f>H69*InputsAssumptions!$B$8</f>
        <v>-3.2659863237109041</v>
      </c>
      <c r="I102" s="158">
        <f>I69*InputsAssumptions!$B$9</f>
        <v>-2.4494897427831779</v>
      </c>
      <c r="J102" s="37"/>
    </row>
    <row r="103" spans="1:10">
      <c r="A103" s="25" t="s">
        <v>89</v>
      </c>
      <c r="B103" s="34" t="s">
        <v>26</v>
      </c>
      <c r="C103" s="156">
        <f>C70*InputsAssumptions!$B$3</f>
        <v>-10.50733043150812</v>
      </c>
      <c r="D103" s="157">
        <f>D70*InputsAssumptions!$B$4</f>
        <v>8.5715550304649408</v>
      </c>
      <c r="E103" s="158">
        <f>E70*InputsAssumptions!$B$5</f>
        <v>-12.909944487358054</v>
      </c>
      <c r="F103" s="156">
        <f>F70*InputsAssumptions!$B$6</f>
        <v>-6.4549722436790269</v>
      </c>
      <c r="G103" s="158">
        <f>G70*InputsAssumptions!$B$7</f>
        <v>-18.371173070873841</v>
      </c>
      <c r="H103" s="158">
        <f>H70*InputsAssumptions!$B$8</f>
        <v>0</v>
      </c>
      <c r="I103" s="158">
        <f>I70*InputsAssumptions!$B$9</f>
        <v>-2.4494897427831779</v>
      </c>
      <c r="J103" s="37"/>
    </row>
    <row r="104" spans="1:10">
      <c r="A104" s="25" t="s">
        <v>90</v>
      </c>
      <c r="B104" s="34" t="s">
        <v>27</v>
      </c>
      <c r="C104" s="156">
        <f>C71*InputsAssumptions!$B$3</f>
        <v>-6.1771443624148192</v>
      </c>
      <c r="D104" s="157">
        <f>D71*InputsAssumptions!$B$4</f>
        <v>9.7891385919956644</v>
      </c>
      <c r="E104" s="158">
        <f>E71*InputsAssumptions!$B$5</f>
        <v>-12.909944487358054</v>
      </c>
      <c r="F104" s="156">
        <f>F71*InputsAssumptions!$B$6</f>
        <v>2.0412414523193152</v>
      </c>
      <c r="G104" s="158">
        <f>G71*InputsAssumptions!$B$7</f>
        <v>-18.371173070873841</v>
      </c>
      <c r="H104" s="158">
        <f>H71*InputsAssumptions!$B$8</f>
        <v>0</v>
      </c>
      <c r="I104" s="158">
        <f>I71*InputsAssumptions!$B$9</f>
        <v>-2.4494897427831779</v>
      </c>
      <c r="J104" s="37"/>
    </row>
    <row r="105" spans="1:10">
      <c r="A105" s="25" t="s">
        <v>91</v>
      </c>
      <c r="B105" s="34" t="s">
        <v>28</v>
      </c>
      <c r="C105" s="156">
        <f>C72*InputsAssumptions!$B$3</f>
        <v>-6.3406614599654629</v>
      </c>
      <c r="D105" s="157">
        <f>D72*InputsAssumptions!$B$4</f>
        <v>10.535621049432498</v>
      </c>
      <c r="E105" s="158">
        <f>E72*InputsAssumptions!$B$5</f>
        <v>-12.909944487358054</v>
      </c>
      <c r="F105" s="156">
        <f>F72*InputsAssumptions!$B$6</f>
        <v>-0.71283243564025112</v>
      </c>
      <c r="G105" s="158">
        <f>G72*InputsAssumptions!$B$7</f>
        <v>-18.371173070873841</v>
      </c>
      <c r="H105" s="158">
        <f>H72*InputsAssumptions!$B$8</f>
        <v>0</v>
      </c>
      <c r="I105" s="158">
        <f>I72*InputsAssumptions!$B$9</f>
        <v>-5.4772255750516612</v>
      </c>
      <c r="J105" s="37"/>
    </row>
    <row r="106" spans="1:10">
      <c r="A106" s="25" t="s">
        <v>107</v>
      </c>
      <c r="B106" s="34" t="s">
        <v>29</v>
      </c>
      <c r="C106" s="156">
        <f>C73*InputsAssumptions!$B$3</f>
        <v>-11.65677161002403</v>
      </c>
      <c r="D106" s="157">
        <f>D73*InputsAssumptions!$B$4</f>
        <v>6.4232388872060051</v>
      </c>
      <c r="E106" s="158">
        <f>E73*InputsAssumptions!$B$5</f>
        <v>-12.909944487358054</v>
      </c>
      <c r="F106" s="156">
        <f>F73*InputsAssumptions!$B$6</f>
        <v>-6.4549722436790269</v>
      </c>
      <c r="G106" s="158">
        <f>G73*InputsAssumptions!$B$7</f>
        <v>-18.371173070873841</v>
      </c>
      <c r="H106" s="158">
        <f>H73*InputsAssumptions!$B$8</f>
        <v>0</v>
      </c>
      <c r="I106" s="158">
        <f>I73*InputsAssumptions!$B$9</f>
        <v>-2.4494897427831779</v>
      </c>
      <c r="J106" s="37"/>
    </row>
    <row r="107" spans="1:10">
      <c r="A107" s="25" t="s">
        <v>92</v>
      </c>
      <c r="B107" s="34" t="s">
        <v>30</v>
      </c>
      <c r="C107" s="156">
        <f>C74*InputsAssumptions!$B$3</f>
        <v>-2.0532130014599121</v>
      </c>
      <c r="D107" s="157">
        <f>D74*InputsAssumptions!$B$4</f>
        <v>11.844264376683695</v>
      </c>
      <c r="E107" s="158">
        <f>E74*InputsAssumptions!$B$5</f>
        <v>-12.909944487358054</v>
      </c>
      <c r="F107" s="156">
        <f>F74*InputsAssumptions!$B$6</f>
        <v>0</v>
      </c>
      <c r="G107" s="158">
        <f>G74*InputsAssumptions!$B$7</f>
        <v>-18.371173070873841</v>
      </c>
      <c r="H107" s="158">
        <f>H74*InputsAssumptions!$B$8</f>
        <v>-3.2659863237109041</v>
      </c>
      <c r="I107" s="158">
        <f>I74*InputsAssumptions!$B$9</f>
        <v>-2.4494897427831779</v>
      </c>
      <c r="J107" s="37"/>
    </row>
    <row r="108" spans="1:10">
      <c r="G108" s="24"/>
    </row>
    <row r="109" spans="1:10">
      <c r="B109" s="30"/>
      <c r="C109" s="139" t="s">
        <v>89</v>
      </c>
      <c r="D109" s="139" t="s">
        <v>90</v>
      </c>
      <c r="E109" s="139" t="s">
        <v>91</v>
      </c>
      <c r="F109" s="139" t="s">
        <v>107</v>
      </c>
      <c r="G109" s="139" t="s">
        <v>92</v>
      </c>
    </row>
    <row r="110" spans="1:10">
      <c r="B110" s="140" t="s">
        <v>96</v>
      </c>
      <c r="C110" s="141">
        <f>SUM(C78:I78)</f>
        <v>3.6058215511141762</v>
      </c>
      <c r="D110" s="141">
        <f>SUM(C79:I79)</f>
        <v>0.92568272745275237</v>
      </c>
      <c r="E110" s="141">
        <f>SUM(C80:I80)</f>
        <v>-4.8006779818238732</v>
      </c>
      <c r="F110" s="141">
        <f>SUM(C81:I81)</f>
        <v>4.2172787824274005</v>
      </c>
      <c r="G110" s="141">
        <f>SUM(C82:I82)</f>
        <v>-5.3789874843842398</v>
      </c>
    </row>
    <row r="111" spans="1:10">
      <c r="B111" s="140" t="s">
        <v>94</v>
      </c>
      <c r="C111" s="141">
        <f>SUM(C83:I83)</f>
        <v>29.657047892089185</v>
      </c>
      <c r="D111" s="141">
        <f>SUM(C84:I84)</f>
        <v>27.910996448963999</v>
      </c>
      <c r="E111" s="141">
        <f>SUM(C85:I85)</f>
        <v>21.843012867318532</v>
      </c>
      <c r="F111" s="141">
        <f>SUM(C86:I86)</f>
        <v>30.935781738667174</v>
      </c>
      <c r="G111" s="141">
        <f>SUM(C87:I87)</f>
        <v>44.036702517336508</v>
      </c>
    </row>
    <row r="112" spans="1:10">
      <c r="B112" s="140" t="s">
        <v>97</v>
      </c>
      <c r="C112" s="141">
        <f>SUM(C88:I88)</f>
        <v>-17.057341030607606</v>
      </c>
      <c r="D112" s="141">
        <f>SUM(C89:I89)</f>
        <v>-22.774339884638668</v>
      </c>
      <c r="E112" s="141">
        <f>SUM(C90:I90)</f>
        <v>-24.537358278870951</v>
      </c>
      <c r="F112" s="141">
        <f>SUM(C91:I91)</f>
        <v>-16.575423370604778</v>
      </c>
      <c r="G112" s="141">
        <f>SUM(C92:I92)</f>
        <v>-25.520253616473131</v>
      </c>
    </row>
    <row r="113" spans="2:11">
      <c r="B113" s="140" t="s">
        <v>93</v>
      </c>
      <c r="C113" s="141">
        <f>SUM(C93:I93)</f>
        <v>11.18900643337896</v>
      </c>
      <c r="D113" s="141">
        <f>SUM(C94:I94)</f>
        <v>9.5266778929614873</v>
      </c>
      <c r="E113" s="141">
        <f>SUM(C95:I95)</f>
        <v>19.062497440532741</v>
      </c>
      <c r="F113" s="141">
        <f>SUM(C96:I96)</f>
        <v>11.343390436108464</v>
      </c>
      <c r="G113" s="141">
        <f>SUM(C97:I97)</f>
        <v>8.3768585948506704</v>
      </c>
    </row>
    <row r="114" spans="2:11">
      <c r="B114" s="140" t="s">
        <v>95</v>
      </c>
      <c r="C114" s="141">
        <f>SUM(C98:I98)</f>
        <v>14.726820099762548</v>
      </c>
      <c r="D114" s="141">
        <f>SUM(C99:I99)</f>
        <v>12.488354434375349</v>
      </c>
      <c r="E114" s="141">
        <f>SUM(C100:I100)</f>
        <v>21.708741932300327</v>
      </c>
      <c r="F114" s="141">
        <f>SUM(C101:I101)</f>
        <v>15.498084680913859</v>
      </c>
      <c r="G114" s="141">
        <f>SUM(C102:I102)</f>
        <v>5.6912222381724087</v>
      </c>
    </row>
    <row r="115" spans="2:11">
      <c r="B115" s="140" t="s">
        <v>24</v>
      </c>
      <c r="C115" s="141">
        <f>SUM(C103:I103)</f>
        <v>-42.121354945737274</v>
      </c>
      <c r="D115" s="141">
        <f>SUM(C104:I104)</f>
        <v>-28.077371619114913</v>
      </c>
      <c r="E115" s="141">
        <f>SUM(C105:I105)</f>
        <v>-33.276215979456772</v>
      </c>
      <c r="F115" s="141">
        <f>SUM(C106:I106)</f>
        <v>-45.419112267512126</v>
      </c>
      <c r="G115" s="141">
        <f>SUM(C107:I107)</f>
        <v>-27.205542249502194</v>
      </c>
    </row>
    <row r="116" spans="2:11">
      <c r="B116" s="10"/>
      <c r="C116" s="10"/>
      <c r="D116" s="10"/>
      <c r="E116" s="10"/>
      <c r="F116" s="10"/>
      <c r="G116" s="30"/>
    </row>
    <row r="117" spans="2:11" ht="15.75" thickBot="1">
      <c r="B117" s="30"/>
      <c r="C117" s="33" t="s">
        <v>89</v>
      </c>
      <c r="D117" s="33" t="s">
        <v>90</v>
      </c>
      <c r="E117" s="33" t="s">
        <v>91</v>
      </c>
      <c r="F117" s="33" t="s">
        <v>107</v>
      </c>
      <c r="G117" s="33" t="s">
        <v>92</v>
      </c>
    </row>
    <row r="118" spans="2:11">
      <c r="B118" s="144" t="s">
        <v>96</v>
      </c>
      <c r="C118" s="130">
        <v>0</v>
      </c>
      <c r="D118" s="131">
        <v>0</v>
      </c>
      <c r="E118" s="131">
        <v>0</v>
      </c>
      <c r="F118" s="131">
        <v>1</v>
      </c>
      <c r="G118" s="132">
        <v>0</v>
      </c>
      <c r="H118" s="146">
        <f t="shared" ref="H118:H123" si="8">SUM(C118:G118)</f>
        <v>1</v>
      </c>
      <c r="I118" s="2" t="s">
        <v>388</v>
      </c>
      <c r="J118" s="143">
        <v>1</v>
      </c>
      <c r="K118" s="145"/>
    </row>
    <row r="119" spans="2:11">
      <c r="B119" s="144" t="s">
        <v>94</v>
      </c>
      <c r="C119" s="133">
        <v>0</v>
      </c>
      <c r="D119" s="134">
        <v>0</v>
      </c>
      <c r="E119" s="134">
        <v>0</v>
      </c>
      <c r="F119" s="134">
        <v>0</v>
      </c>
      <c r="G119" s="135">
        <v>1</v>
      </c>
      <c r="H119" s="146">
        <f t="shared" si="8"/>
        <v>1</v>
      </c>
      <c r="I119" s="2" t="s">
        <v>388</v>
      </c>
      <c r="J119" s="143">
        <v>1</v>
      </c>
      <c r="K119" s="145"/>
    </row>
    <row r="120" spans="2:11">
      <c r="B120" s="142" t="s">
        <v>97</v>
      </c>
      <c r="C120" s="133">
        <v>1</v>
      </c>
      <c r="D120" s="134">
        <v>0</v>
      </c>
      <c r="E120" s="134">
        <v>0</v>
      </c>
      <c r="F120" s="134">
        <v>0</v>
      </c>
      <c r="G120" s="135">
        <v>0</v>
      </c>
      <c r="H120" s="146">
        <f t="shared" si="8"/>
        <v>1</v>
      </c>
      <c r="I120" s="2" t="s">
        <v>388</v>
      </c>
      <c r="J120" s="143">
        <v>1</v>
      </c>
      <c r="K120" s="145"/>
    </row>
    <row r="121" spans="2:11">
      <c r="B121" s="142" t="s">
        <v>93</v>
      </c>
      <c r="C121" s="133">
        <v>0</v>
      </c>
      <c r="D121" s="134">
        <v>0</v>
      </c>
      <c r="E121" s="134">
        <v>1</v>
      </c>
      <c r="F121" s="134">
        <v>0</v>
      </c>
      <c r="G121" s="135">
        <v>0</v>
      </c>
      <c r="H121" s="146">
        <f t="shared" si="8"/>
        <v>1</v>
      </c>
      <c r="I121" s="2" t="s">
        <v>388</v>
      </c>
      <c r="J121" s="143">
        <v>1</v>
      </c>
      <c r="K121" s="145"/>
    </row>
    <row r="122" spans="2:11">
      <c r="B122" s="142" t="s">
        <v>95</v>
      </c>
      <c r="C122" s="133">
        <v>0</v>
      </c>
      <c r="D122" s="134">
        <v>1</v>
      </c>
      <c r="E122" s="134">
        <v>0</v>
      </c>
      <c r="F122" s="134">
        <v>0</v>
      </c>
      <c r="G122" s="135">
        <v>0</v>
      </c>
      <c r="H122" s="146">
        <f t="shared" si="8"/>
        <v>1</v>
      </c>
      <c r="I122" s="2" t="s">
        <v>388</v>
      </c>
      <c r="J122" s="143">
        <v>1</v>
      </c>
      <c r="K122" s="145"/>
    </row>
    <row r="123" spans="2:11" ht="15.75" thickBot="1">
      <c r="B123" s="142" t="s">
        <v>24</v>
      </c>
      <c r="C123" s="136">
        <v>0</v>
      </c>
      <c r="D123" s="137">
        <v>0</v>
      </c>
      <c r="E123" s="137">
        <v>0</v>
      </c>
      <c r="F123" s="137">
        <v>0</v>
      </c>
      <c r="G123" s="138">
        <v>0</v>
      </c>
      <c r="H123" s="146">
        <f t="shared" si="8"/>
        <v>0</v>
      </c>
      <c r="I123" s="2" t="s">
        <v>388</v>
      </c>
      <c r="J123" s="143">
        <v>5</v>
      </c>
      <c r="K123" s="145"/>
    </row>
    <row r="124" spans="2:11">
      <c r="C124" s="146">
        <f>SUM(C118:C123)</f>
        <v>1</v>
      </c>
      <c r="D124" s="146">
        <f>SUM(D118:D123)</f>
        <v>1</v>
      </c>
      <c r="E124" s="146">
        <f>SUM(E118:E123)</f>
        <v>1</v>
      </c>
      <c r="F124" s="146">
        <f>SUM(F118:F123)</f>
        <v>1</v>
      </c>
      <c r="G124" s="146">
        <f>SUM(G118:G123)</f>
        <v>1</v>
      </c>
    </row>
    <row r="125" spans="2:11">
      <c r="C125" s="147" t="s">
        <v>87</v>
      </c>
      <c r="D125" s="147" t="s">
        <v>87</v>
      </c>
      <c r="E125" s="147" t="s">
        <v>87</v>
      </c>
      <c r="F125" s="147" t="s">
        <v>87</v>
      </c>
      <c r="G125" s="147" t="s">
        <v>87</v>
      </c>
    </row>
    <row r="126" spans="2:11">
      <c r="C126" s="146">
        <v>1</v>
      </c>
      <c r="D126" s="146">
        <v>1</v>
      </c>
      <c r="E126" s="146">
        <v>1</v>
      </c>
      <c r="F126" s="146">
        <v>1</v>
      </c>
      <c r="G126" s="146">
        <v>1</v>
      </c>
    </row>
    <row r="127" spans="2:11" ht="15.75" thickBot="1">
      <c r="G127" s="24"/>
    </row>
    <row r="128" spans="2:11" ht="15.75" thickBot="1">
      <c r="B128" t="s">
        <v>61</v>
      </c>
      <c r="C128" s="159">
        <f>SUMPRODUCT(C110:G115,C118:G123)</f>
        <v>62.747492144064395</v>
      </c>
      <c r="G128" s="24"/>
    </row>
    <row r="129" spans="7:7">
      <c r="G129" s="24"/>
    </row>
    <row r="130" spans="7:7">
      <c r="G130" s="24"/>
    </row>
    <row r="131" spans="7:7">
      <c r="G131" s="24"/>
    </row>
    <row r="132" spans="7:7">
      <c r="G132" s="24"/>
    </row>
    <row r="133" spans="7:7">
      <c r="G133" s="24"/>
    </row>
    <row r="134" spans="7:7">
      <c r="G134" s="24"/>
    </row>
    <row r="135" spans="7:7">
      <c r="G135" s="24"/>
    </row>
    <row r="136" spans="7:7">
      <c r="G136" s="24"/>
    </row>
    <row r="137" spans="7:7">
      <c r="G137" s="24"/>
    </row>
    <row r="138" spans="7:7">
      <c r="G138" s="24"/>
    </row>
    <row r="139" spans="7:7">
      <c r="G139" s="24"/>
    </row>
    <row r="140" spans="7:7">
      <c r="G140" s="24"/>
    </row>
    <row r="141" spans="7:7">
      <c r="G141" s="24"/>
    </row>
    <row r="142" spans="7:7">
      <c r="G142" s="24"/>
    </row>
    <row r="143" spans="7:7">
      <c r="G143" s="24"/>
    </row>
    <row r="144" spans="7:7">
      <c r="G144" s="24"/>
    </row>
    <row r="145" spans="7:7">
      <c r="G145" s="24"/>
    </row>
    <row r="146" spans="7:7">
      <c r="G146" s="24"/>
    </row>
    <row r="147" spans="7:7">
      <c r="G147" s="24"/>
    </row>
    <row r="148" spans="7:7">
      <c r="G148" s="24"/>
    </row>
    <row r="149" spans="7:7">
      <c r="G149" s="24"/>
    </row>
    <row r="150" spans="7:7">
      <c r="G150" s="24"/>
    </row>
    <row r="151" spans="7:7">
      <c r="G151" s="24"/>
    </row>
    <row r="152" spans="7:7">
      <c r="G152" s="24"/>
    </row>
    <row r="153" spans="7:7">
      <c r="G153" s="24"/>
    </row>
    <row r="154" spans="7:7">
      <c r="G154" s="24"/>
    </row>
    <row r="155" spans="7:7">
      <c r="G155" s="24"/>
    </row>
    <row r="156" spans="7:7">
      <c r="G156" s="24"/>
    </row>
    <row r="157" spans="7:7">
      <c r="G157" s="24"/>
    </row>
    <row r="158" spans="7:7">
      <c r="G158" s="24"/>
    </row>
    <row r="159" spans="7:7">
      <c r="G159" s="24"/>
    </row>
    <row r="160" spans="7:7">
      <c r="G160" s="24"/>
    </row>
    <row r="161" spans="7:7">
      <c r="G161" s="24"/>
    </row>
    <row r="162" spans="7:7">
      <c r="G162" s="24"/>
    </row>
    <row r="163" spans="7:7">
      <c r="G163" s="24"/>
    </row>
    <row r="164" spans="7:7">
      <c r="G164" s="24"/>
    </row>
    <row r="165" spans="7:7">
      <c r="G165" s="24"/>
    </row>
    <row r="166" spans="7:7">
      <c r="G166" s="24"/>
    </row>
    <row r="167" spans="7:7">
      <c r="G167" s="24"/>
    </row>
    <row r="168" spans="7:7">
      <c r="G168" s="24"/>
    </row>
    <row r="169" spans="7:7">
      <c r="G169" s="24"/>
    </row>
    <row r="170" spans="7:7">
      <c r="G170" s="24"/>
    </row>
    <row r="171" spans="7:7">
      <c r="G171" s="24"/>
    </row>
    <row r="172" spans="7:7">
      <c r="G172" s="24"/>
    </row>
    <row r="173" spans="7:7">
      <c r="G173" s="24"/>
    </row>
    <row r="174" spans="7:7">
      <c r="G174" s="24"/>
    </row>
    <row r="175" spans="7:7">
      <c r="G175" s="24"/>
    </row>
    <row r="176" spans="7:7">
      <c r="G176" s="24"/>
    </row>
    <row r="177" spans="7:7">
      <c r="G177" s="24"/>
    </row>
    <row r="178" spans="7:7">
      <c r="G178" s="24"/>
    </row>
    <row r="179" spans="7:7">
      <c r="G179" s="24"/>
    </row>
    <row r="180" spans="7:7">
      <c r="G180" s="24"/>
    </row>
    <row r="181" spans="7:7">
      <c r="G181" s="24"/>
    </row>
    <row r="182" spans="7:7">
      <c r="G182" s="24"/>
    </row>
    <row r="183" spans="7:7">
      <c r="G183" s="24"/>
    </row>
    <row r="184" spans="7:7">
      <c r="G184" s="24"/>
    </row>
    <row r="185" spans="7:7">
      <c r="G185" s="24"/>
    </row>
    <row r="186" spans="7:7">
      <c r="G186" s="24"/>
    </row>
    <row r="187" spans="7:7">
      <c r="G187" s="24"/>
    </row>
    <row r="188" spans="7:7">
      <c r="G188" s="24"/>
    </row>
    <row r="189" spans="7:7">
      <c r="G189" s="24"/>
    </row>
    <row r="190" spans="7:7">
      <c r="G190" s="24"/>
    </row>
    <row r="191" spans="7:7">
      <c r="G191" s="24"/>
    </row>
    <row r="192" spans="7:7">
      <c r="G192" s="24"/>
    </row>
    <row r="193" spans="7:7">
      <c r="G193" s="24"/>
    </row>
    <row r="194" spans="7:7">
      <c r="G194" s="24"/>
    </row>
    <row r="195" spans="7:7">
      <c r="G195" s="24"/>
    </row>
    <row r="196" spans="7:7">
      <c r="G196" s="24"/>
    </row>
    <row r="197" spans="7:7">
      <c r="G197" s="24"/>
    </row>
    <row r="198" spans="7:7">
      <c r="G198" s="24"/>
    </row>
    <row r="199" spans="7:7">
      <c r="G199" s="24"/>
    </row>
    <row r="200" spans="7:7">
      <c r="G200" s="24"/>
    </row>
    <row r="201" spans="7:7">
      <c r="G201" s="24"/>
    </row>
    <row r="202" spans="7:7">
      <c r="G202" s="24"/>
    </row>
    <row r="203" spans="7:7">
      <c r="G203" s="24"/>
    </row>
    <row r="204" spans="7:7">
      <c r="G204" s="24"/>
    </row>
    <row r="205" spans="7:7">
      <c r="G205" s="24"/>
    </row>
    <row r="206" spans="7:7">
      <c r="G206" s="24"/>
    </row>
    <row r="207" spans="7:7">
      <c r="G207" s="24"/>
    </row>
    <row r="208" spans="7:7">
      <c r="G208" s="24"/>
    </row>
    <row r="209" spans="7:7">
      <c r="G209" s="24"/>
    </row>
    <row r="210" spans="7:7">
      <c r="G210" s="24"/>
    </row>
    <row r="211" spans="7:7">
      <c r="G211" s="24"/>
    </row>
    <row r="212" spans="7:7">
      <c r="G212" s="24"/>
    </row>
    <row r="213" spans="7:7">
      <c r="G213" s="24"/>
    </row>
    <row r="214" spans="7:7">
      <c r="G214" s="24"/>
    </row>
    <row r="215" spans="7:7">
      <c r="G215" s="24"/>
    </row>
    <row r="216" spans="7:7">
      <c r="G216" s="24"/>
    </row>
    <row r="217" spans="7:7">
      <c r="G217" s="24"/>
    </row>
    <row r="218" spans="7:7">
      <c r="G218" s="24"/>
    </row>
    <row r="219" spans="7:7">
      <c r="G219" s="24"/>
    </row>
    <row r="220" spans="7:7">
      <c r="G220" s="24"/>
    </row>
    <row r="221" spans="7:7">
      <c r="G221" s="24"/>
    </row>
    <row r="222" spans="7:7">
      <c r="G222" s="24"/>
    </row>
    <row r="223" spans="7:7">
      <c r="G223" s="24"/>
    </row>
    <row r="224" spans="7:7">
      <c r="G224" s="24"/>
    </row>
    <row r="225" spans="7:7">
      <c r="G225" s="24"/>
    </row>
    <row r="226" spans="7:7">
      <c r="G226" s="24"/>
    </row>
    <row r="227" spans="7:7">
      <c r="G227" s="24"/>
    </row>
    <row r="228" spans="7:7">
      <c r="G228" s="24"/>
    </row>
    <row r="229" spans="7:7">
      <c r="G229" s="24"/>
    </row>
  </sheetData>
  <phoneticPr fontId="8" type="noConversion"/>
  <pageMargins left="0.7" right="0.7" top="0.75" bottom="0.75" header="0.3" footer="0.3"/>
  <pageSetup paperSize="0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>
  <dimension ref="A1:X229"/>
  <sheetViews>
    <sheetView topLeftCell="A105" zoomScale="60" zoomScaleNormal="60" zoomScalePageLayoutView="90" workbookViewId="0">
      <selection activeCell="K114" sqref="K114"/>
    </sheetView>
  </sheetViews>
  <sheetFormatPr defaultColWidth="8.85546875" defaultRowHeight="15"/>
  <cols>
    <col min="1" max="1" width="8" customWidth="1"/>
    <col min="2" max="2" width="40.85546875" customWidth="1"/>
    <col min="3" max="4" width="13.7109375" customWidth="1"/>
    <col min="5" max="6" width="14.85546875" customWidth="1"/>
    <col min="7" max="8" width="15" customWidth="1"/>
    <col min="9" max="9" width="15" bestFit="1" customWidth="1"/>
    <col min="10" max="10" width="16" customWidth="1"/>
    <col min="11" max="11" width="17.85546875" customWidth="1"/>
    <col min="12" max="12" width="13" bestFit="1" customWidth="1"/>
    <col min="13" max="13" width="13.42578125" bestFit="1" customWidth="1"/>
    <col min="14" max="14" width="10.42578125" customWidth="1"/>
    <col min="15" max="15" width="12.140625" customWidth="1"/>
    <col min="16" max="16" width="10.42578125" customWidth="1"/>
    <col min="17" max="17" width="7.7109375" customWidth="1"/>
  </cols>
  <sheetData>
    <row r="1" spans="1:24" s="4" customFormat="1" ht="30">
      <c r="A1" s="32" t="s">
        <v>76</v>
      </c>
      <c r="B1" s="32" t="s">
        <v>98</v>
      </c>
      <c r="C1" s="44" t="s">
        <v>88</v>
      </c>
      <c r="D1" s="44" t="s">
        <v>113</v>
      </c>
      <c r="E1" s="44" t="s">
        <v>47</v>
      </c>
      <c r="F1" s="44" t="s">
        <v>45</v>
      </c>
      <c r="G1" s="44" t="s">
        <v>50</v>
      </c>
      <c r="H1" s="44" t="s">
        <v>49</v>
      </c>
      <c r="I1" s="44" t="s">
        <v>48</v>
      </c>
      <c r="J1" s="44" t="s">
        <v>102</v>
      </c>
      <c r="K1" s="44" t="s">
        <v>53</v>
      </c>
      <c r="L1" s="45" t="s">
        <v>100</v>
      </c>
      <c r="M1" s="46" t="s">
        <v>101</v>
      </c>
      <c r="N1" s="46" t="s">
        <v>52</v>
      </c>
      <c r="O1" s="47" t="s">
        <v>105</v>
      </c>
      <c r="P1" s="44" t="s">
        <v>106</v>
      </c>
      <c r="Q1" s="33"/>
      <c r="R1" s="46" t="s">
        <v>101</v>
      </c>
      <c r="S1" s="46" t="s">
        <v>52</v>
      </c>
      <c r="T1" s="46" t="s">
        <v>0</v>
      </c>
      <c r="U1" s="33"/>
      <c r="V1" s="33"/>
      <c r="W1" s="33"/>
      <c r="X1" s="33"/>
    </row>
    <row r="2" spans="1:24">
      <c r="A2" s="101" t="s">
        <v>89</v>
      </c>
      <c r="B2" s="42" t="s">
        <v>124</v>
      </c>
      <c r="C2" s="101">
        <f>4.14</f>
        <v>4.1399999999999997</v>
      </c>
      <c r="D2" s="43">
        <f>'Scaling Ratings Data'!P3*'Zucker Main Model Sheet '!$C$2</f>
        <v>4.1399999999999997</v>
      </c>
      <c r="E2" s="110">
        <f>'Crystal Ball Results'!B2</f>
        <v>101802.64</v>
      </c>
      <c r="F2" s="110">
        <f t="shared" ref="F2:F31" si="0">E2*32</f>
        <v>3257684.48</v>
      </c>
      <c r="G2" s="110">
        <v>3000000</v>
      </c>
      <c r="H2" s="110">
        <f t="shared" ref="H2:H26" si="1">15000000/24</f>
        <v>625000</v>
      </c>
      <c r="I2" s="110">
        <f t="shared" ref="I2:I31" si="2">F2-(G2+H2)</f>
        <v>-367315.52</v>
      </c>
      <c r="J2" s="34">
        <v>1</v>
      </c>
      <c r="K2" s="110">
        <f>IF(D2&lt;3,-30000,IF(D2&lt;4,-10000,0))</f>
        <v>0</v>
      </c>
      <c r="L2" s="31">
        <v>1</v>
      </c>
      <c r="M2" s="34" t="str">
        <f t="shared" ref="M2:M31" si="3">IF(D2&lt;MAX(O2:P2),"0","1")</f>
        <v>0</v>
      </c>
      <c r="N2" s="34" t="str">
        <f t="shared" ref="N2:N31" si="4">IF(D2&gt;MIN(O2:P2),"1","0")</f>
        <v>0</v>
      </c>
      <c r="O2" s="38">
        <v>5.9444444444444438</v>
      </c>
      <c r="P2" s="38">
        <v>8.0111111111111111</v>
      </c>
      <c r="Q2" s="24"/>
      <c r="R2" s="151">
        <v>0</v>
      </c>
      <c r="S2" s="151">
        <v>0</v>
      </c>
      <c r="T2" s="24"/>
      <c r="U2" s="24"/>
      <c r="V2" s="24"/>
      <c r="W2" s="24"/>
      <c r="X2" s="24"/>
    </row>
    <row r="3" spans="1:24">
      <c r="A3" s="25" t="s">
        <v>90</v>
      </c>
      <c r="B3" s="34" t="s">
        <v>125</v>
      </c>
      <c r="C3" s="25"/>
      <c r="D3" s="43">
        <f>'Scaling Ratings Data'!P4*'Zucker Main Model Sheet '!$C$2</f>
        <v>4.1920269174639202</v>
      </c>
      <c r="E3" s="110">
        <f>($E$2/$D$2)*D3</f>
        <v>103081.98240311333</v>
      </c>
      <c r="F3" s="110">
        <f t="shared" si="0"/>
        <v>3298623.4368996266</v>
      </c>
      <c r="G3" s="110">
        <v>3000000</v>
      </c>
      <c r="H3" s="110">
        <f t="shared" si="1"/>
        <v>625000</v>
      </c>
      <c r="I3" s="110">
        <f t="shared" si="2"/>
        <v>-326376.56310037337</v>
      </c>
      <c r="J3" s="34">
        <v>1</v>
      </c>
      <c r="K3" s="110">
        <f t="shared" ref="K3:K31" si="5">IF(D3&lt;3,-30000,IF(D3&lt;4,-10000,0))</f>
        <v>0</v>
      </c>
      <c r="L3" s="31">
        <v>1</v>
      </c>
      <c r="M3" s="34" t="str">
        <f t="shared" si="3"/>
        <v>0</v>
      </c>
      <c r="N3" s="34" t="str">
        <f t="shared" si="4"/>
        <v>0</v>
      </c>
      <c r="O3" s="38">
        <v>6.822222222222222</v>
      </c>
      <c r="P3" s="38">
        <v>6.5111111111111102</v>
      </c>
      <c r="Q3" s="24"/>
      <c r="R3" s="151">
        <v>0</v>
      </c>
      <c r="S3" s="151">
        <v>0</v>
      </c>
      <c r="T3" s="24"/>
      <c r="U3" s="24"/>
      <c r="V3" s="24"/>
      <c r="W3" s="24"/>
      <c r="X3" s="24"/>
    </row>
    <row r="4" spans="1:24">
      <c r="A4" s="25" t="s">
        <v>91</v>
      </c>
      <c r="B4" s="34" t="s">
        <v>126</v>
      </c>
      <c r="C4" s="25"/>
      <c r="D4" s="43">
        <f>'Scaling Ratings Data'!P5*'Zucker Main Model Sheet '!$C$2</f>
        <v>3.8909421112372304</v>
      </c>
      <c r="E4" s="110">
        <f>($E$2/$D$2)*D4</f>
        <v>95678.304108967088</v>
      </c>
      <c r="F4" s="110">
        <f t="shared" si="0"/>
        <v>3061705.7314869468</v>
      </c>
      <c r="G4" s="110">
        <v>3000000</v>
      </c>
      <c r="H4" s="110">
        <f t="shared" si="1"/>
        <v>625000</v>
      </c>
      <c r="I4" s="110">
        <f t="shared" si="2"/>
        <v>-563294.26851305319</v>
      </c>
      <c r="J4" s="34">
        <v>1</v>
      </c>
      <c r="K4" s="110">
        <f t="shared" si="5"/>
        <v>-10000</v>
      </c>
      <c r="L4" s="31">
        <v>1</v>
      </c>
      <c r="M4" s="34" t="str">
        <f t="shared" si="3"/>
        <v>0</v>
      </c>
      <c r="N4" s="34" t="str">
        <f t="shared" si="4"/>
        <v>0</v>
      </c>
      <c r="O4" s="38">
        <v>4.4333333333333336</v>
      </c>
      <c r="P4" s="39">
        <v>7.9666666666666668</v>
      </c>
      <c r="Q4" s="24"/>
      <c r="R4" s="151">
        <v>0</v>
      </c>
      <c r="S4" s="151">
        <v>0</v>
      </c>
      <c r="T4" s="24"/>
      <c r="U4" s="24"/>
      <c r="V4" s="24"/>
      <c r="W4" s="24"/>
      <c r="X4" s="24"/>
    </row>
    <row r="5" spans="1:24">
      <c r="A5" s="25" t="s">
        <v>107</v>
      </c>
      <c r="B5" s="34" t="s">
        <v>127</v>
      </c>
      <c r="C5" s="25"/>
      <c r="D5" s="43">
        <f>'Scaling Ratings Data'!P6*'Zucker Main Model Sheet '!$C$2</f>
        <v>4.606228311983136</v>
      </c>
      <c r="E5" s="110">
        <f>($E$2/$D$2)*D5</f>
        <v>113267.19869628669</v>
      </c>
      <c r="F5" s="110">
        <f t="shared" si="0"/>
        <v>3624550.3582811742</v>
      </c>
      <c r="G5" s="110">
        <v>3000000</v>
      </c>
      <c r="H5" s="110">
        <f t="shared" si="1"/>
        <v>625000</v>
      </c>
      <c r="I5" s="110">
        <f t="shared" si="2"/>
        <v>-449.64171882579103</v>
      </c>
      <c r="J5" s="34">
        <v>1</v>
      </c>
      <c r="K5" s="110">
        <f t="shared" si="5"/>
        <v>0</v>
      </c>
      <c r="L5" s="31">
        <v>1</v>
      </c>
      <c r="M5" s="34" t="str">
        <f t="shared" si="3"/>
        <v>0</v>
      </c>
      <c r="N5" s="34" t="str">
        <f t="shared" si="4"/>
        <v>0</v>
      </c>
      <c r="O5" s="38">
        <v>6.6000000000000005</v>
      </c>
      <c r="P5" s="38">
        <v>9.2222222222222214</v>
      </c>
      <c r="Q5" s="24"/>
      <c r="R5" s="151">
        <v>0</v>
      </c>
      <c r="S5" s="151">
        <v>0</v>
      </c>
      <c r="T5" s="24"/>
      <c r="U5" s="24"/>
      <c r="V5" s="24"/>
      <c r="W5" s="24"/>
      <c r="X5" s="24"/>
    </row>
    <row r="6" spans="1:24">
      <c r="A6" s="25" t="s">
        <v>92</v>
      </c>
      <c r="B6" s="34" t="s">
        <v>128</v>
      </c>
      <c r="C6" s="25"/>
      <c r="D6" s="43">
        <f>'Scaling Ratings Data'!P7*'Zucker Main Model Sheet '!$C$2</f>
        <v>3.173977622831198</v>
      </c>
      <c r="E6" s="110">
        <f>($E$2/$D$2)*D6</f>
        <v>78048.140411869623</v>
      </c>
      <c r="F6" s="110">
        <f t="shared" si="0"/>
        <v>2497540.4931798279</v>
      </c>
      <c r="G6" s="110">
        <v>3000000</v>
      </c>
      <c r="H6" s="110">
        <f t="shared" si="1"/>
        <v>625000</v>
      </c>
      <c r="I6" s="110">
        <f t="shared" si="2"/>
        <v>-1127459.5068201721</v>
      </c>
      <c r="J6" s="34">
        <v>1</v>
      </c>
      <c r="K6" s="110">
        <f t="shared" si="5"/>
        <v>-10000</v>
      </c>
      <c r="L6" s="31">
        <v>1</v>
      </c>
      <c r="M6" s="34" t="str">
        <f t="shared" si="3"/>
        <v>0</v>
      </c>
      <c r="N6" s="34" t="str">
        <f t="shared" si="4"/>
        <v>0</v>
      </c>
      <c r="O6" s="38">
        <v>4.7333333333333334</v>
      </c>
      <c r="P6" s="38">
        <v>4.8999999999999995</v>
      </c>
      <c r="Q6" s="24"/>
      <c r="R6" s="151">
        <v>0</v>
      </c>
      <c r="S6" s="151">
        <v>0</v>
      </c>
      <c r="T6" s="24"/>
      <c r="U6" s="24"/>
      <c r="V6" s="24"/>
      <c r="W6" s="24"/>
      <c r="X6" s="24"/>
    </row>
    <row r="7" spans="1:24">
      <c r="A7" s="25" t="s">
        <v>89</v>
      </c>
      <c r="B7" s="34" t="s">
        <v>114</v>
      </c>
      <c r="C7" s="25"/>
      <c r="D7" s="104">
        <f>'Scaling Ratings Data'!Q3*'Zucker Main Model Sheet '!$C$8</f>
        <v>6.5674673712867335</v>
      </c>
      <c r="E7" s="111">
        <f>($E$8/$D$8)*D7</f>
        <v>149390.34818480266</v>
      </c>
      <c r="F7" s="110">
        <f t="shared" si="0"/>
        <v>4780491.141913685</v>
      </c>
      <c r="G7" s="110">
        <v>3000000</v>
      </c>
      <c r="H7" s="110">
        <f t="shared" si="1"/>
        <v>625000</v>
      </c>
      <c r="I7" s="110">
        <f t="shared" si="2"/>
        <v>1155491.141913685</v>
      </c>
      <c r="J7" s="34">
        <v>0</v>
      </c>
      <c r="K7" s="110">
        <f t="shared" si="5"/>
        <v>0</v>
      </c>
      <c r="L7" s="31">
        <v>1</v>
      </c>
      <c r="M7" s="34" t="str">
        <f t="shared" si="3"/>
        <v>0</v>
      </c>
      <c r="N7" s="34" t="str">
        <f t="shared" si="4"/>
        <v>1</v>
      </c>
      <c r="O7" s="38">
        <v>5.9444444444444438</v>
      </c>
      <c r="P7" s="38">
        <v>8.0111111111111111</v>
      </c>
      <c r="Q7" s="24"/>
      <c r="R7" s="151">
        <v>0</v>
      </c>
      <c r="S7" s="151">
        <v>1</v>
      </c>
      <c r="T7" s="24"/>
      <c r="U7" s="24"/>
      <c r="V7" s="24"/>
      <c r="W7" s="24"/>
      <c r="X7" s="24"/>
    </row>
    <row r="8" spans="1:24">
      <c r="A8" s="101" t="s">
        <v>90</v>
      </c>
      <c r="B8" s="42" t="s">
        <v>115</v>
      </c>
      <c r="C8" s="101">
        <f>6.65</f>
        <v>6.65</v>
      </c>
      <c r="D8" s="104">
        <f>'Scaling Ratings Data'!Q4*'Zucker Main Model Sheet '!$C$8</f>
        <v>6.65</v>
      </c>
      <c r="E8" s="110">
        <f>'Crystal Ball Results'!B3</f>
        <v>151267.72</v>
      </c>
      <c r="F8" s="110">
        <f t="shared" si="0"/>
        <v>4840567.04</v>
      </c>
      <c r="G8" s="110">
        <v>3000000</v>
      </c>
      <c r="H8" s="110">
        <f t="shared" si="1"/>
        <v>625000</v>
      </c>
      <c r="I8" s="110">
        <f t="shared" si="2"/>
        <v>1215567.04</v>
      </c>
      <c r="J8" s="34">
        <v>0</v>
      </c>
      <c r="K8" s="110">
        <f t="shared" si="5"/>
        <v>0</v>
      </c>
      <c r="L8" s="31">
        <v>1</v>
      </c>
      <c r="M8" s="34" t="str">
        <f t="shared" si="3"/>
        <v>0</v>
      </c>
      <c r="N8" s="34" t="str">
        <f t="shared" si="4"/>
        <v>1</v>
      </c>
      <c r="O8" s="38">
        <v>6.822222222222222</v>
      </c>
      <c r="P8" s="38">
        <v>6.5111111111111102</v>
      </c>
      <c r="Q8" s="24"/>
      <c r="R8" s="151">
        <v>0</v>
      </c>
      <c r="S8" s="151">
        <v>1</v>
      </c>
      <c r="T8" s="24"/>
      <c r="U8" s="24"/>
      <c r="V8" s="24"/>
      <c r="W8" s="24"/>
      <c r="X8" s="24"/>
    </row>
    <row r="9" spans="1:24">
      <c r="A9" s="25" t="s">
        <v>91</v>
      </c>
      <c r="B9" s="34" t="s">
        <v>116</v>
      </c>
      <c r="C9" s="25"/>
      <c r="D9" s="104">
        <f>'Scaling Ratings Data'!Q5*'Zucker Main Model Sheet '!$C$8</f>
        <v>6.1723756906077361</v>
      </c>
      <c r="E9" s="111">
        <f>($E$8/$D$8)*D9</f>
        <v>140403.18762430942</v>
      </c>
      <c r="F9" s="110">
        <f t="shared" si="0"/>
        <v>4492902.0039779013</v>
      </c>
      <c r="G9" s="110">
        <v>3000000</v>
      </c>
      <c r="H9" s="110">
        <f t="shared" si="1"/>
        <v>625000</v>
      </c>
      <c r="I9" s="110">
        <f t="shared" si="2"/>
        <v>867902.0039779013</v>
      </c>
      <c r="J9" s="34">
        <v>0</v>
      </c>
      <c r="K9" s="110">
        <f t="shared" si="5"/>
        <v>0</v>
      </c>
      <c r="L9" s="31">
        <v>1</v>
      </c>
      <c r="M9" s="34" t="str">
        <f t="shared" si="3"/>
        <v>0</v>
      </c>
      <c r="N9" s="34" t="str">
        <f t="shared" si="4"/>
        <v>1</v>
      </c>
      <c r="O9" s="38">
        <v>4.4333333333333336</v>
      </c>
      <c r="P9" s="39">
        <v>7.9666666666666668</v>
      </c>
      <c r="Q9" s="24"/>
      <c r="R9" s="151">
        <v>0</v>
      </c>
      <c r="S9" s="151">
        <v>1</v>
      </c>
      <c r="T9" s="24"/>
      <c r="U9" s="24"/>
      <c r="V9" s="24"/>
      <c r="W9" s="24"/>
      <c r="X9" s="24"/>
    </row>
    <row r="10" spans="1:24">
      <c r="A10" s="25" t="s">
        <v>107</v>
      </c>
      <c r="B10" s="34" t="s">
        <v>117</v>
      </c>
      <c r="C10" s="25"/>
      <c r="D10" s="104">
        <f>'Scaling Ratings Data'!Q6*'Zucker Main Model Sheet '!$C$8</f>
        <v>7.3070662182720811</v>
      </c>
      <c r="E10" s="111">
        <f>($E$8/$D$8)*D10</f>
        <v>166214.02206421655</v>
      </c>
      <c r="F10" s="110">
        <f t="shared" si="0"/>
        <v>5318848.7060549296</v>
      </c>
      <c r="G10" s="110">
        <v>3000000</v>
      </c>
      <c r="H10" s="110">
        <f t="shared" si="1"/>
        <v>625000</v>
      </c>
      <c r="I10" s="110">
        <f t="shared" si="2"/>
        <v>1693848.7060549296</v>
      </c>
      <c r="J10" s="34">
        <v>0</v>
      </c>
      <c r="K10" s="110">
        <f t="shared" si="5"/>
        <v>0</v>
      </c>
      <c r="L10" s="31">
        <v>1</v>
      </c>
      <c r="M10" s="34" t="str">
        <f t="shared" si="3"/>
        <v>0</v>
      </c>
      <c r="N10" s="34" t="str">
        <f t="shared" si="4"/>
        <v>1</v>
      </c>
      <c r="O10" s="38">
        <v>6.6000000000000005</v>
      </c>
      <c r="P10" s="38">
        <v>9.2222222222222214</v>
      </c>
      <c r="Q10" s="24"/>
      <c r="R10" s="151">
        <v>0</v>
      </c>
      <c r="S10" s="151">
        <v>1</v>
      </c>
      <c r="T10" s="24"/>
      <c r="U10" s="24"/>
      <c r="V10" s="24"/>
      <c r="W10" s="24"/>
      <c r="X10" s="24"/>
    </row>
    <row r="11" spans="1:24">
      <c r="A11" s="25" t="s">
        <v>92</v>
      </c>
      <c r="B11" s="34" t="s">
        <v>118</v>
      </c>
      <c r="C11" s="25"/>
      <c r="D11" s="104">
        <f>'Scaling Ratings Data'!Q7*'Zucker Main Model Sheet '!$C$8</f>
        <v>5.0350228200816725</v>
      </c>
      <c r="E11" s="111">
        <f>($E$8/$D$8)*D11</f>
        <v>114531.79280326689</v>
      </c>
      <c r="F11" s="110">
        <f t="shared" si="0"/>
        <v>3665017.3697045404</v>
      </c>
      <c r="G11" s="110">
        <v>3000000</v>
      </c>
      <c r="H11" s="110">
        <f t="shared" si="1"/>
        <v>625000</v>
      </c>
      <c r="I11" s="110">
        <f t="shared" si="2"/>
        <v>40017.369704540353</v>
      </c>
      <c r="J11" s="34">
        <v>0</v>
      </c>
      <c r="K11" s="110">
        <f t="shared" si="5"/>
        <v>0</v>
      </c>
      <c r="L11" s="31">
        <v>1</v>
      </c>
      <c r="M11" s="34" t="str">
        <f t="shared" si="3"/>
        <v>1</v>
      </c>
      <c r="N11" s="34" t="str">
        <f t="shared" si="4"/>
        <v>1</v>
      </c>
      <c r="O11" s="38">
        <v>4.7333333333333334</v>
      </c>
      <c r="P11" s="38">
        <v>4.8999999999999995</v>
      </c>
      <c r="Q11" s="24"/>
      <c r="R11" s="151">
        <v>1</v>
      </c>
      <c r="S11" s="151">
        <v>1</v>
      </c>
      <c r="T11" s="24"/>
      <c r="U11" s="24"/>
      <c r="V11" s="24"/>
      <c r="W11" s="24"/>
      <c r="X11" s="24"/>
    </row>
    <row r="12" spans="1:24">
      <c r="A12" s="25" t="s">
        <v>89</v>
      </c>
      <c r="B12" s="34" t="s">
        <v>129</v>
      </c>
      <c r="C12" s="25"/>
      <c r="D12" s="43">
        <f>'Scaling Ratings Data'!R3*'Zucker Main Model Sheet '!$C$14</f>
        <v>3.1813888888888893</v>
      </c>
      <c r="E12" s="111">
        <f>($E$14/$D$14)*D12</f>
        <v>87421.193756038658</v>
      </c>
      <c r="F12" s="110">
        <f t="shared" si="0"/>
        <v>2797478.200193237</v>
      </c>
      <c r="G12" s="110">
        <v>3000000</v>
      </c>
      <c r="H12" s="110">
        <f t="shared" si="1"/>
        <v>625000</v>
      </c>
      <c r="I12" s="110">
        <f t="shared" si="2"/>
        <v>-827521.79980676295</v>
      </c>
      <c r="J12" s="34">
        <v>1</v>
      </c>
      <c r="K12" s="110">
        <f t="shared" si="5"/>
        <v>-10000</v>
      </c>
      <c r="L12" s="31">
        <v>1</v>
      </c>
      <c r="M12" s="34" t="str">
        <f t="shared" si="3"/>
        <v>0</v>
      </c>
      <c r="N12" s="34" t="str">
        <f t="shared" si="4"/>
        <v>0</v>
      </c>
      <c r="O12" s="38">
        <v>5.9444444444444438</v>
      </c>
      <c r="P12" s="38">
        <v>8.0111111111111111</v>
      </c>
      <c r="Q12" s="24"/>
      <c r="R12" s="151">
        <v>0</v>
      </c>
      <c r="S12" s="151">
        <v>0</v>
      </c>
      <c r="T12" s="24"/>
      <c r="U12" s="24"/>
      <c r="V12" s="24"/>
      <c r="W12" s="24"/>
      <c r="X12" s="24"/>
    </row>
    <row r="13" spans="1:24">
      <c r="A13" s="25" t="s">
        <v>90</v>
      </c>
      <c r="B13" s="34" t="s">
        <v>130</v>
      </c>
      <c r="C13" s="25"/>
      <c r="D13" s="43">
        <f>'Scaling Ratings Data'!R4*'Zucker Main Model Sheet '!$C$14</f>
        <v>3.2213690476190471</v>
      </c>
      <c r="E13" s="111">
        <f>($E$14/$D$14)*D13</f>
        <v>88519.806130952362</v>
      </c>
      <c r="F13" s="110">
        <f t="shared" si="0"/>
        <v>2832633.7961904756</v>
      </c>
      <c r="G13" s="110">
        <v>3000000</v>
      </c>
      <c r="H13" s="110">
        <f t="shared" si="1"/>
        <v>625000</v>
      </c>
      <c r="I13" s="110">
        <f t="shared" si="2"/>
        <v>-792366.20380952442</v>
      </c>
      <c r="J13" s="34">
        <v>1</v>
      </c>
      <c r="K13" s="110">
        <f t="shared" si="5"/>
        <v>-10000</v>
      </c>
      <c r="L13" s="31">
        <v>1</v>
      </c>
      <c r="M13" s="34" t="str">
        <f t="shared" si="3"/>
        <v>0</v>
      </c>
      <c r="N13" s="34" t="str">
        <f t="shared" si="4"/>
        <v>0</v>
      </c>
      <c r="O13" s="38">
        <v>6.822222222222222</v>
      </c>
      <c r="P13" s="38">
        <v>6.5111111111111102</v>
      </c>
      <c r="Q13" s="24"/>
      <c r="R13" s="151">
        <v>0</v>
      </c>
      <c r="S13" s="151">
        <v>0</v>
      </c>
      <c r="T13" s="24"/>
      <c r="U13" s="24"/>
      <c r="V13" s="24"/>
      <c r="W13" s="24"/>
      <c r="X13" s="24"/>
    </row>
    <row r="14" spans="1:24">
      <c r="A14" s="101" t="s">
        <v>91</v>
      </c>
      <c r="B14" s="42" t="s">
        <v>131</v>
      </c>
      <c r="C14" s="101">
        <f>2.99</f>
        <v>2.99</v>
      </c>
      <c r="D14" s="43">
        <f>'Scaling Ratings Data'!R5*'Zucker Main Model Sheet '!$C$14</f>
        <v>2.99</v>
      </c>
      <c r="E14" s="110">
        <f>'Crystal Ball Results'!B4</f>
        <v>82162.03</v>
      </c>
      <c r="F14" s="110">
        <f t="shared" si="0"/>
        <v>2629184.96</v>
      </c>
      <c r="G14" s="110">
        <v>3000000</v>
      </c>
      <c r="H14" s="110">
        <f t="shared" si="1"/>
        <v>625000</v>
      </c>
      <c r="I14" s="110">
        <f t="shared" si="2"/>
        <v>-995815.04</v>
      </c>
      <c r="J14" s="34">
        <v>1</v>
      </c>
      <c r="K14" s="110">
        <f t="shared" si="5"/>
        <v>-30000</v>
      </c>
      <c r="L14" s="31">
        <v>1</v>
      </c>
      <c r="M14" s="34" t="str">
        <f t="shared" si="3"/>
        <v>0</v>
      </c>
      <c r="N14" s="34" t="str">
        <f t="shared" si="4"/>
        <v>0</v>
      </c>
      <c r="O14" s="38">
        <v>4.4333333333333336</v>
      </c>
      <c r="P14" s="39">
        <v>7.9666666666666668</v>
      </c>
      <c r="Q14" s="24"/>
      <c r="R14" s="151">
        <v>0</v>
      </c>
      <c r="S14" s="151">
        <v>0</v>
      </c>
      <c r="T14" s="24"/>
      <c r="U14" s="24"/>
      <c r="V14" s="24"/>
      <c r="W14" s="24"/>
      <c r="X14" s="24"/>
    </row>
    <row r="15" spans="1:24">
      <c r="A15" s="25" t="s">
        <v>107</v>
      </c>
      <c r="B15" s="34" t="s">
        <v>132</v>
      </c>
      <c r="C15" s="25"/>
      <c r="D15" s="43">
        <f>'Scaling Ratings Data'!R6*'Zucker Main Model Sheet '!$C$14</f>
        <v>3.5396626984126991</v>
      </c>
      <c r="E15" s="111">
        <f>($E$14/$D$14)*D15</f>
        <v>97266.178199620452</v>
      </c>
      <c r="F15" s="110">
        <f t="shared" si="0"/>
        <v>3112517.7023878545</v>
      </c>
      <c r="G15" s="110">
        <v>3000000</v>
      </c>
      <c r="H15" s="110">
        <f t="shared" si="1"/>
        <v>625000</v>
      </c>
      <c r="I15" s="110">
        <f t="shared" si="2"/>
        <v>-512482.29761214554</v>
      </c>
      <c r="J15" s="34">
        <v>1</v>
      </c>
      <c r="K15" s="110">
        <f t="shared" si="5"/>
        <v>-10000</v>
      </c>
      <c r="L15" s="31">
        <v>1</v>
      </c>
      <c r="M15" s="34" t="str">
        <f t="shared" si="3"/>
        <v>0</v>
      </c>
      <c r="N15" s="34" t="str">
        <f t="shared" si="4"/>
        <v>0</v>
      </c>
      <c r="O15" s="38">
        <v>6.6000000000000005</v>
      </c>
      <c r="P15" s="38">
        <v>9.2222222222222214</v>
      </c>
      <c r="Q15" s="24"/>
      <c r="R15" s="151">
        <v>0</v>
      </c>
      <c r="S15" s="151">
        <v>0</v>
      </c>
      <c r="T15" s="24"/>
      <c r="U15" s="24"/>
      <c r="V15" s="24"/>
      <c r="W15" s="24"/>
      <c r="X15" s="24"/>
    </row>
    <row r="16" spans="1:24">
      <c r="A16" s="25" t="s">
        <v>92</v>
      </c>
      <c r="B16" s="34" t="s">
        <v>133</v>
      </c>
      <c r="C16" s="25"/>
      <c r="D16" s="43">
        <f>'Scaling Ratings Data'!R7*'Zucker Main Model Sheet '!$C$14</f>
        <v>2.4390476190476189</v>
      </c>
      <c r="E16" s="111">
        <f>($E$14/$D$14)*D16</f>
        <v>67022.442691511387</v>
      </c>
      <c r="F16" s="110">
        <f t="shared" si="0"/>
        <v>2144718.1661283644</v>
      </c>
      <c r="G16" s="110">
        <v>3000000</v>
      </c>
      <c r="H16" s="110">
        <f t="shared" si="1"/>
        <v>625000</v>
      </c>
      <c r="I16" s="110">
        <f t="shared" si="2"/>
        <v>-1480281.8338716356</v>
      </c>
      <c r="J16" s="34">
        <v>1</v>
      </c>
      <c r="K16" s="110">
        <f t="shared" si="5"/>
        <v>-30000</v>
      </c>
      <c r="L16" s="31">
        <v>1</v>
      </c>
      <c r="M16" s="34" t="str">
        <f t="shared" si="3"/>
        <v>0</v>
      </c>
      <c r="N16" s="34" t="str">
        <f t="shared" si="4"/>
        <v>0</v>
      </c>
      <c r="O16" s="38">
        <v>4.7333333333333334</v>
      </c>
      <c r="P16" s="38">
        <v>4.8999999999999995</v>
      </c>
      <c r="Q16" s="24"/>
      <c r="R16" s="151">
        <v>0</v>
      </c>
      <c r="S16" s="151">
        <v>0</v>
      </c>
      <c r="T16" s="24"/>
      <c r="U16" s="24"/>
      <c r="V16" s="24"/>
      <c r="W16" s="24"/>
      <c r="X16" s="24"/>
    </row>
    <row r="17" spans="1:24">
      <c r="A17" s="25" t="s">
        <v>89</v>
      </c>
      <c r="B17" s="34" t="s">
        <v>108</v>
      </c>
      <c r="C17" s="25"/>
      <c r="D17" s="43">
        <f>'Scaling Ratings Data'!S3*'Zucker Main Model Sheet '!$C$20</f>
        <v>5.2578809298258395</v>
      </c>
      <c r="E17" s="110">
        <f>($E$20/$D$20)*D17</f>
        <v>98550.250846024908</v>
      </c>
      <c r="F17" s="110">
        <f t="shared" si="0"/>
        <v>3153608.0270727971</v>
      </c>
      <c r="G17" s="110">
        <v>3000000</v>
      </c>
      <c r="H17" s="110">
        <f>15000000/24</f>
        <v>625000</v>
      </c>
      <c r="I17" s="110">
        <f t="shared" si="2"/>
        <v>-471391.97292720294</v>
      </c>
      <c r="J17" s="34">
        <v>1</v>
      </c>
      <c r="K17" s="110">
        <f t="shared" si="5"/>
        <v>0</v>
      </c>
      <c r="L17" s="31">
        <v>1</v>
      </c>
      <c r="M17" s="34" t="str">
        <f t="shared" si="3"/>
        <v>0</v>
      </c>
      <c r="N17" s="34" t="str">
        <f t="shared" si="4"/>
        <v>0</v>
      </c>
      <c r="O17" s="38">
        <v>5.9444444444444438</v>
      </c>
      <c r="P17" s="38">
        <v>8.0111111111111111</v>
      </c>
      <c r="Q17" s="24"/>
      <c r="R17" s="151">
        <v>0</v>
      </c>
      <c r="S17" s="151">
        <v>0</v>
      </c>
      <c r="T17" s="24"/>
      <c r="U17" s="24"/>
      <c r="V17" s="24"/>
      <c r="W17" s="24"/>
      <c r="X17" s="24"/>
    </row>
    <row r="18" spans="1:24">
      <c r="A18" s="25" t="s">
        <v>90</v>
      </c>
      <c r="B18" s="34" t="s">
        <v>109</v>
      </c>
      <c r="C18" s="25"/>
      <c r="D18" s="43">
        <f>'Scaling Ratings Data'!S4*'Zucker Main Model Sheet '!$C$20</f>
        <v>5.3239561320410971</v>
      </c>
      <c r="E18" s="110">
        <f>($E$20/$D$20)*D18</f>
        <v>99788.720838009147</v>
      </c>
      <c r="F18" s="110">
        <f t="shared" si="0"/>
        <v>3193239.0668162927</v>
      </c>
      <c r="G18" s="110">
        <v>3000000</v>
      </c>
      <c r="H18" s="110">
        <f t="shared" si="1"/>
        <v>625000</v>
      </c>
      <c r="I18" s="110">
        <f t="shared" si="2"/>
        <v>-431760.9331837073</v>
      </c>
      <c r="J18" s="34">
        <v>1</v>
      </c>
      <c r="K18" s="110">
        <f t="shared" si="5"/>
        <v>0</v>
      </c>
      <c r="L18" s="31">
        <v>1</v>
      </c>
      <c r="M18" s="34" t="str">
        <f t="shared" si="3"/>
        <v>0</v>
      </c>
      <c r="N18" s="34" t="str">
        <f t="shared" si="4"/>
        <v>0</v>
      </c>
      <c r="O18" s="38">
        <v>6.822222222222222</v>
      </c>
      <c r="P18" s="38">
        <v>6.5111111111111102</v>
      </c>
      <c r="Q18" s="24"/>
      <c r="R18" s="151">
        <v>0</v>
      </c>
      <c r="S18" s="151">
        <v>0</v>
      </c>
      <c r="T18" s="24"/>
      <c r="U18" s="24"/>
      <c r="V18" s="24"/>
      <c r="W18" s="24"/>
      <c r="X18" s="24"/>
    </row>
    <row r="19" spans="1:24">
      <c r="A19" s="25" t="s">
        <v>91</v>
      </c>
      <c r="B19" s="34" t="s">
        <v>110</v>
      </c>
      <c r="C19" s="25"/>
      <c r="D19" s="43">
        <f>'Scaling Ratings Data'!S5*'Zucker Main Model Sheet '!$C$20</f>
        <v>4.9415725424469867</v>
      </c>
      <c r="E19" s="110">
        <f>($E$20/$D$20)*D19</f>
        <v>92621.575142461559</v>
      </c>
      <c r="F19" s="110">
        <f t="shared" si="0"/>
        <v>2963890.4045587699</v>
      </c>
      <c r="G19" s="110">
        <v>3000000</v>
      </c>
      <c r="H19" s="110">
        <f t="shared" si="1"/>
        <v>625000</v>
      </c>
      <c r="I19" s="110">
        <f t="shared" si="2"/>
        <v>-661109.59544123011</v>
      </c>
      <c r="J19" s="34">
        <v>1</v>
      </c>
      <c r="K19" s="110">
        <f t="shared" si="5"/>
        <v>0</v>
      </c>
      <c r="L19" s="31">
        <v>1</v>
      </c>
      <c r="M19" s="34" t="str">
        <f t="shared" si="3"/>
        <v>0</v>
      </c>
      <c r="N19" s="34" t="str">
        <f t="shared" si="4"/>
        <v>1</v>
      </c>
      <c r="O19" s="38">
        <v>4.4333333333333336</v>
      </c>
      <c r="P19" s="39">
        <v>7.9666666666666668</v>
      </c>
      <c r="Q19" s="24"/>
      <c r="R19" s="151">
        <v>0</v>
      </c>
      <c r="S19" s="151">
        <v>1</v>
      </c>
      <c r="T19" s="24"/>
      <c r="U19" s="24"/>
      <c r="V19" s="24"/>
      <c r="W19" s="24"/>
      <c r="X19" s="24"/>
    </row>
    <row r="20" spans="1:24">
      <c r="A20" s="101" t="s">
        <v>107</v>
      </c>
      <c r="B20" s="42" t="s">
        <v>111</v>
      </c>
      <c r="C20" s="101">
        <f>5.85</f>
        <v>5.85</v>
      </c>
      <c r="D20" s="43">
        <f>'Scaling Ratings Data'!S6*'Zucker Main Model Sheet '!$C$20</f>
        <v>5.85</v>
      </c>
      <c r="E20" s="110">
        <f>'Crystal Ball Results'!B5</f>
        <v>109648.54</v>
      </c>
      <c r="F20" s="110">
        <f t="shared" si="0"/>
        <v>3508753.28</v>
      </c>
      <c r="G20" s="110">
        <v>3000000</v>
      </c>
      <c r="H20" s="110">
        <f t="shared" si="1"/>
        <v>625000</v>
      </c>
      <c r="I20" s="110">
        <f t="shared" si="2"/>
        <v>-116246.7200000002</v>
      </c>
      <c r="J20" s="34">
        <v>1</v>
      </c>
      <c r="K20" s="110">
        <f t="shared" si="5"/>
        <v>0</v>
      </c>
      <c r="L20" s="31">
        <v>1</v>
      </c>
      <c r="M20" s="34" t="str">
        <f t="shared" si="3"/>
        <v>0</v>
      </c>
      <c r="N20" s="34" t="str">
        <f t="shared" si="4"/>
        <v>0</v>
      </c>
      <c r="O20" s="38">
        <v>6.6000000000000005</v>
      </c>
      <c r="P20" s="38">
        <v>9.2222222222222214</v>
      </c>
      <c r="Q20" s="24"/>
      <c r="R20" s="151">
        <v>0</v>
      </c>
      <c r="S20" s="151">
        <v>0</v>
      </c>
      <c r="T20" s="24"/>
      <c r="U20" s="24"/>
      <c r="V20" s="24"/>
      <c r="W20" s="24"/>
      <c r="X20" s="24"/>
    </row>
    <row r="21" spans="1:24">
      <c r="A21" s="25" t="s">
        <v>92</v>
      </c>
      <c r="B21" s="34" t="s">
        <v>112</v>
      </c>
      <c r="C21" s="25"/>
      <c r="D21" s="43">
        <f>'Scaling Ratings Data'!S7*'Zucker Main Model Sheet '!$C$20</f>
        <v>4.0310136267579972</v>
      </c>
      <c r="E21" s="110">
        <f>($E$20/$D$20)*D21</f>
        <v>75554.6596400204</v>
      </c>
      <c r="F21" s="110">
        <f t="shared" si="0"/>
        <v>2417749.1084806528</v>
      </c>
      <c r="G21" s="110">
        <v>3000000</v>
      </c>
      <c r="H21" s="110">
        <f t="shared" si="1"/>
        <v>625000</v>
      </c>
      <c r="I21" s="110">
        <f t="shared" si="2"/>
        <v>-1207250.8915193472</v>
      </c>
      <c r="J21" s="34">
        <v>1</v>
      </c>
      <c r="K21" s="110">
        <f t="shared" si="5"/>
        <v>0</v>
      </c>
      <c r="L21" s="31">
        <v>1</v>
      </c>
      <c r="M21" s="34" t="str">
        <f t="shared" si="3"/>
        <v>0</v>
      </c>
      <c r="N21" s="34" t="str">
        <f t="shared" si="4"/>
        <v>0</v>
      </c>
      <c r="O21" s="38">
        <v>4.7333333333333334</v>
      </c>
      <c r="P21" s="38">
        <v>4.8999999999999995</v>
      </c>
      <c r="Q21" s="24"/>
      <c r="R21" s="151">
        <v>0</v>
      </c>
      <c r="S21" s="151">
        <v>0</v>
      </c>
      <c r="T21" s="24"/>
      <c r="U21" s="24"/>
      <c r="V21" s="24"/>
      <c r="W21" s="24"/>
      <c r="X21" s="24"/>
    </row>
    <row r="22" spans="1:24">
      <c r="A22" s="25" t="s">
        <v>89</v>
      </c>
      <c r="B22" s="34" t="s">
        <v>119</v>
      </c>
      <c r="C22" s="25"/>
      <c r="D22" s="43">
        <f>'Scaling Ratings Data'!T3*'Zucker Main Model Sheet '!$C$26</f>
        <v>5.0869923857868029</v>
      </c>
      <c r="E22" s="110">
        <f>($E$26/$D$26)*D22</f>
        <v>117058.06005922168</v>
      </c>
      <c r="F22" s="110">
        <f t="shared" si="0"/>
        <v>3745857.9218950938</v>
      </c>
      <c r="G22" s="110">
        <v>3000000</v>
      </c>
      <c r="H22" s="110">
        <f t="shared" si="1"/>
        <v>625000</v>
      </c>
      <c r="I22" s="110">
        <f t="shared" si="2"/>
        <v>120857.92189509375</v>
      </c>
      <c r="J22" s="34">
        <v>1</v>
      </c>
      <c r="K22" s="110">
        <f t="shared" si="5"/>
        <v>0</v>
      </c>
      <c r="L22" s="31">
        <v>1</v>
      </c>
      <c r="M22" s="34" t="str">
        <f t="shared" si="3"/>
        <v>0</v>
      </c>
      <c r="N22" s="34" t="str">
        <f t="shared" si="4"/>
        <v>0</v>
      </c>
      <c r="O22" s="38">
        <v>5.9444444444444438</v>
      </c>
      <c r="P22" s="38">
        <v>8.0111111111111111</v>
      </c>
      <c r="Q22" s="24"/>
      <c r="R22" s="151">
        <v>0</v>
      </c>
      <c r="S22" s="151">
        <v>0</v>
      </c>
      <c r="T22" s="24"/>
      <c r="U22" s="24"/>
      <c r="V22" s="24"/>
      <c r="W22" s="24"/>
      <c r="X22" s="24"/>
    </row>
    <row r="23" spans="1:24">
      <c r="A23" s="25" t="s">
        <v>90</v>
      </c>
      <c r="B23" s="34" t="s">
        <v>120</v>
      </c>
      <c r="C23" s="25"/>
      <c r="D23" s="43">
        <f>'Scaling Ratings Data'!T4*'Zucker Main Model Sheet '!$C$26</f>
        <v>5.150920050761421</v>
      </c>
      <c r="E23" s="110">
        <f>($E$26/$D$26)*D23</f>
        <v>118529.1156218274</v>
      </c>
      <c r="F23" s="110">
        <f t="shared" si="0"/>
        <v>3792931.6998984767</v>
      </c>
      <c r="G23" s="110">
        <v>3000000</v>
      </c>
      <c r="H23" s="110">
        <f t="shared" si="1"/>
        <v>625000</v>
      </c>
      <c r="I23" s="110">
        <f t="shared" si="2"/>
        <v>167931.69989847671</v>
      </c>
      <c r="J23" s="34">
        <v>1</v>
      </c>
      <c r="K23" s="110">
        <f t="shared" si="5"/>
        <v>0</v>
      </c>
      <c r="L23" s="31">
        <v>1</v>
      </c>
      <c r="M23" s="34" t="str">
        <f t="shared" si="3"/>
        <v>0</v>
      </c>
      <c r="N23" s="34" t="str">
        <f t="shared" si="4"/>
        <v>0</v>
      </c>
      <c r="O23" s="38">
        <v>6.822222222222222</v>
      </c>
      <c r="P23" s="38">
        <v>6.5111111111111102</v>
      </c>
      <c r="Q23" s="24"/>
      <c r="R23" s="151">
        <v>0</v>
      </c>
      <c r="S23" s="151">
        <v>0</v>
      </c>
      <c r="T23" s="24"/>
      <c r="U23" s="24"/>
      <c r="V23" s="24"/>
      <c r="W23" s="24"/>
      <c r="X23" s="24"/>
    </row>
    <row r="24" spans="1:24">
      <c r="A24" s="25" t="s">
        <v>91</v>
      </c>
      <c r="B24" s="34" t="s">
        <v>121</v>
      </c>
      <c r="C24" s="25"/>
      <c r="D24" s="43">
        <f>'Scaling Ratings Data'!T5*'Zucker Main Model Sheet '!$C$26</f>
        <v>4.7809644670050764</v>
      </c>
      <c r="E24" s="110">
        <f>($E$26/$D$26)*D24</f>
        <v>110015.97472081218</v>
      </c>
      <c r="F24" s="110">
        <f t="shared" si="0"/>
        <v>3520511.1910659899</v>
      </c>
      <c r="G24" s="110">
        <v>3000000</v>
      </c>
      <c r="H24" s="110">
        <f t="shared" si="1"/>
        <v>625000</v>
      </c>
      <c r="I24" s="110">
        <f t="shared" si="2"/>
        <v>-104488.8089340101</v>
      </c>
      <c r="J24" s="34">
        <v>1</v>
      </c>
      <c r="K24" s="110">
        <f t="shared" si="5"/>
        <v>0</v>
      </c>
      <c r="L24" s="31">
        <v>1</v>
      </c>
      <c r="M24" s="34" t="str">
        <f t="shared" si="3"/>
        <v>0</v>
      </c>
      <c r="N24" s="34" t="str">
        <f t="shared" si="4"/>
        <v>1</v>
      </c>
      <c r="O24" s="38">
        <v>4.4333333333333336</v>
      </c>
      <c r="P24" s="39">
        <v>7.9666666666666668</v>
      </c>
      <c r="Q24" s="24"/>
      <c r="R24" s="151">
        <v>0</v>
      </c>
      <c r="S24" s="151">
        <v>1</v>
      </c>
      <c r="T24" s="24"/>
      <c r="U24" s="24"/>
      <c r="V24" s="24"/>
      <c r="W24" s="24"/>
      <c r="X24" s="24"/>
    </row>
    <row r="25" spans="1:24">
      <c r="A25" s="25" t="s">
        <v>107</v>
      </c>
      <c r="B25" s="34" t="s">
        <v>122</v>
      </c>
      <c r="C25" s="25"/>
      <c r="D25" s="43">
        <f>'Scaling Ratings Data'!T6*'Zucker Main Model Sheet '!$C$26</f>
        <v>5.6598667512690355</v>
      </c>
      <c r="E25" s="110">
        <f>($E$26/$D$26)*D25</f>
        <v>130240.61603637901</v>
      </c>
      <c r="F25" s="110">
        <f t="shared" si="0"/>
        <v>4167699.7131641284</v>
      </c>
      <c r="G25" s="110">
        <v>3000000</v>
      </c>
      <c r="H25" s="110">
        <f t="shared" si="1"/>
        <v>625000</v>
      </c>
      <c r="I25" s="110">
        <f t="shared" si="2"/>
        <v>542699.71316412836</v>
      </c>
      <c r="J25" s="34">
        <v>1</v>
      </c>
      <c r="K25" s="110">
        <f t="shared" si="5"/>
        <v>0</v>
      </c>
      <c r="L25" s="31">
        <v>1</v>
      </c>
      <c r="M25" s="34" t="str">
        <f t="shared" si="3"/>
        <v>0</v>
      </c>
      <c r="N25" s="34" t="str">
        <f t="shared" si="4"/>
        <v>0</v>
      </c>
      <c r="O25" s="38">
        <v>6.6000000000000005</v>
      </c>
      <c r="P25" s="38">
        <v>9.2222222222222214</v>
      </c>
      <c r="Q25" s="24"/>
      <c r="R25" s="151">
        <v>0</v>
      </c>
      <c r="S25" s="151">
        <v>0</v>
      </c>
      <c r="T25" s="24"/>
      <c r="U25" s="24"/>
      <c r="V25" s="24"/>
      <c r="W25" s="24"/>
      <c r="X25" s="24"/>
    </row>
    <row r="26" spans="1:24">
      <c r="A26" s="101" t="s">
        <v>92</v>
      </c>
      <c r="B26" s="42" t="s">
        <v>123</v>
      </c>
      <c r="C26" s="101">
        <f>3.9</f>
        <v>3.9</v>
      </c>
      <c r="D26" s="43">
        <f>'Scaling Ratings Data'!T7*'Zucker Main Model Sheet '!$C$26</f>
        <v>3.9</v>
      </c>
      <c r="E26" s="110">
        <f>'Crystal Ball Results'!B6</f>
        <v>89743.88</v>
      </c>
      <c r="F26" s="110">
        <f t="shared" si="0"/>
        <v>2871804.16</v>
      </c>
      <c r="G26" s="110">
        <v>3000000</v>
      </c>
      <c r="H26" s="110">
        <f t="shared" si="1"/>
        <v>625000</v>
      </c>
      <c r="I26" s="110">
        <f t="shared" si="2"/>
        <v>-753195.83999999985</v>
      </c>
      <c r="J26" s="34">
        <v>1</v>
      </c>
      <c r="K26" s="110">
        <f t="shared" si="5"/>
        <v>-10000</v>
      </c>
      <c r="L26" s="31">
        <v>1</v>
      </c>
      <c r="M26" s="34" t="str">
        <f t="shared" si="3"/>
        <v>0</v>
      </c>
      <c r="N26" s="34" t="str">
        <f t="shared" si="4"/>
        <v>0</v>
      </c>
      <c r="O26" s="38">
        <v>4.7333333333333334</v>
      </c>
      <c r="P26" s="38">
        <v>4.8999999999999995</v>
      </c>
      <c r="Q26" s="24"/>
      <c r="R26" s="151">
        <v>0</v>
      </c>
      <c r="S26" s="151">
        <v>0</v>
      </c>
      <c r="T26" s="24"/>
      <c r="U26" s="24"/>
      <c r="V26" s="24"/>
      <c r="W26" s="24"/>
      <c r="X26" s="24"/>
    </row>
    <row r="27" spans="1:24">
      <c r="A27" s="25" t="s">
        <v>89</v>
      </c>
      <c r="B27" s="34" t="s">
        <v>26</v>
      </c>
      <c r="C27" s="100">
        <f>'Leno Average Rating Data'!I3</f>
        <v>3.1750000000000003</v>
      </c>
      <c r="D27" s="43">
        <f>C27</f>
        <v>3.1750000000000003</v>
      </c>
      <c r="E27" s="110">
        <f>'Crystal Ball Results'!B7</f>
        <v>55081.440000000002</v>
      </c>
      <c r="F27" s="110">
        <f t="shared" si="0"/>
        <v>1762606.0800000001</v>
      </c>
      <c r="G27" s="75">
        <v>535000</v>
      </c>
      <c r="H27" s="110">
        <f>(10000000/230)</f>
        <v>43478.260869565216</v>
      </c>
      <c r="I27" s="110">
        <f t="shared" si="2"/>
        <v>1184127.8191304349</v>
      </c>
      <c r="J27" s="34">
        <v>0</v>
      </c>
      <c r="K27" s="110">
        <f t="shared" si="5"/>
        <v>-10000</v>
      </c>
      <c r="L27" s="31">
        <v>0</v>
      </c>
      <c r="M27" s="34" t="str">
        <f t="shared" si="3"/>
        <v>0</v>
      </c>
      <c r="N27" s="34" t="str">
        <f t="shared" si="4"/>
        <v>0</v>
      </c>
      <c r="O27" s="38">
        <v>5.9444444444444438</v>
      </c>
      <c r="P27" s="38">
        <v>8.0111111111111111</v>
      </c>
      <c r="Q27" s="24"/>
      <c r="R27" s="151">
        <v>0</v>
      </c>
      <c r="S27" s="151">
        <v>0</v>
      </c>
      <c r="T27" s="24"/>
      <c r="U27" s="24"/>
      <c r="V27" s="24"/>
      <c r="W27" s="24"/>
      <c r="X27" s="24"/>
    </row>
    <row r="28" spans="1:24" s="24" customFormat="1" ht="14.25" customHeight="1">
      <c r="A28" s="25" t="s">
        <v>90</v>
      </c>
      <c r="B28" s="34" t="s">
        <v>27</v>
      </c>
      <c r="C28" s="100">
        <f>'Leno Average Rating Data'!I4</f>
        <v>4.0125000000000002</v>
      </c>
      <c r="D28" s="43">
        <f>C28</f>
        <v>4.0125000000000002</v>
      </c>
      <c r="E28" s="110">
        <f>'Crystal Ball Results'!B8</f>
        <v>67128.17</v>
      </c>
      <c r="F28" s="110">
        <f t="shared" si="0"/>
        <v>2148101.44</v>
      </c>
      <c r="G28" s="110">
        <v>535000</v>
      </c>
      <c r="H28" s="110">
        <f>(10000000/230)</f>
        <v>43478.260869565216</v>
      </c>
      <c r="I28" s="110">
        <f t="shared" si="2"/>
        <v>1569623.1791304348</v>
      </c>
      <c r="J28" s="34">
        <v>0</v>
      </c>
      <c r="K28" s="110">
        <f t="shared" si="5"/>
        <v>0</v>
      </c>
      <c r="L28" s="31">
        <v>0</v>
      </c>
      <c r="M28" s="34" t="str">
        <f t="shared" si="3"/>
        <v>0</v>
      </c>
      <c r="N28" s="34" t="str">
        <f t="shared" si="4"/>
        <v>0</v>
      </c>
      <c r="O28" s="38">
        <v>6.822222222222222</v>
      </c>
      <c r="P28" s="38">
        <v>6.5111111111111102</v>
      </c>
      <c r="R28" s="151">
        <v>0</v>
      </c>
      <c r="S28" s="151">
        <v>0</v>
      </c>
    </row>
    <row r="29" spans="1:24" s="24" customFormat="1">
      <c r="A29" s="25" t="s">
        <v>91</v>
      </c>
      <c r="B29" s="34" t="s">
        <v>28</v>
      </c>
      <c r="C29" s="100">
        <f>'Leno Average Rating Data'!I5</f>
        <v>3.6999999999999997</v>
      </c>
      <c r="D29" s="43">
        <f>C29</f>
        <v>3.6999999999999997</v>
      </c>
      <c r="E29" s="110">
        <f>'Crystal Ball Results'!B9</f>
        <v>62935.63</v>
      </c>
      <c r="F29" s="110">
        <f t="shared" si="0"/>
        <v>2013940.16</v>
      </c>
      <c r="G29" s="110">
        <v>535000</v>
      </c>
      <c r="H29" s="110">
        <f>(10000000/230)</f>
        <v>43478.260869565216</v>
      </c>
      <c r="I29" s="110">
        <f t="shared" si="2"/>
        <v>1435461.8991304347</v>
      </c>
      <c r="J29" s="34">
        <v>0</v>
      </c>
      <c r="K29" s="110">
        <f t="shared" si="5"/>
        <v>-10000</v>
      </c>
      <c r="L29" s="31">
        <v>0</v>
      </c>
      <c r="M29" s="34" t="str">
        <f t="shared" si="3"/>
        <v>0</v>
      </c>
      <c r="N29" s="34" t="str">
        <f t="shared" si="4"/>
        <v>0</v>
      </c>
      <c r="O29" s="38">
        <v>4.4333333333333336</v>
      </c>
      <c r="P29" s="39">
        <v>7.9666666666666668</v>
      </c>
      <c r="R29" s="151">
        <v>0</v>
      </c>
      <c r="S29" s="151">
        <v>0</v>
      </c>
    </row>
    <row r="30" spans="1:24" s="24" customFormat="1">
      <c r="A30" s="25" t="s">
        <v>107</v>
      </c>
      <c r="B30" s="34" t="s">
        <v>29</v>
      </c>
      <c r="C30" s="100">
        <f>'Leno Average Rating Data'!I6</f>
        <v>3.2375000000000003</v>
      </c>
      <c r="D30" s="43">
        <f>C30</f>
        <v>3.2375000000000003</v>
      </c>
      <c r="E30" s="110">
        <f>'Crystal Ball Results'!B10</f>
        <v>57577.37</v>
      </c>
      <c r="F30" s="110">
        <f t="shared" si="0"/>
        <v>1842475.84</v>
      </c>
      <c r="G30" s="110">
        <v>535000</v>
      </c>
      <c r="H30" s="110">
        <f>(10000000/230)</f>
        <v>43478.260869565216</v>
      </c>
      <c r="I30" s="110">
        <f t="shared" si="2"/>
        <v>1263997.5791304349</v>
      </c>
      <c r="J30" s="34">
        <v>0</v>
      </c>
      <c r="K30" s="110">
        <f t="shared" si="5"/>
        <v>-10000</v>
      </c>
      <c r="L30" s="31">
        <v>0</v>
      </c>
      <c r="M30" s="34" t="str">
        <f t="shared" si="3"/>
        <v>0</v>
      </c>
      <c r="N30" s="34" t="str">
        <f t="shared" si="4"/>
        <v>0</v>
      </c>
      <c r="O30" s="38">
        <v>6.6000000000000005</v>
      </c>
      <c r="P30" s="38">
        <v>9.2222222222222214</v>
      </c>
      <c r="R30" s="151">
        <v>0</v>
      </c>
      <c r="S30" s="151">
        <v>0</v>
      </c>
    </row>
    <row r="31" spans="1:24" s="24" customFormat="1">
      <c r="A31" s="25" t="s">
        <v>92</v>
      </c>
      <c r="B31" s="34" t="s">
        <v>30</v>
      </c>
      <c r="C31" s="100">
        <f>'Leno Average Rating Data'!I7</f>
        <v>3.5</v>
      </c>
      <c r="D31" s="43">
        <f>C31</f>
        <v>3.5</v>
      </c>
      <c r="E31" s="110">
        <f>'Crystal Ball Results'!B11</f>
        <v>49540.99</v>
      </c>
      <c r="F31" s="110">
        <f t="shared" si="0"/>
        <v>1585311.68</v>
      </c>
      <c r="G31" s="110">
        <v>535000</v>
      </c>
      <c r="H31" s="112">
        <f>(10000000/230)</f>
        <v>43478.260869565216</v>
      </c>
      <c r="I31" s="110">
        <f t="shared" si="2"/>
        <v>1006833.4191304347</v>
      </c>
      <c r="J31" s="34">
        <v>0</v>
      </c>
      <c r="K31" s="110">
        <f t="shared" si="5"/>
        <v>-10000</v>
      </c>
      <c r="L31" s="31">
        <v>0</v>
      </c>
      <c r="M31" s="34" t="str">
        <f t="shared" si="3"/>
        <v>0</v>
      </c>
      <c r="N31" s="34" t="str">
        <f t="shared" si="4"/>
        <v>0</v>
      </c>
      <c r="O31" s="38">
        <v>4.7333333333333334</v>
      </c>
      <c r="P31" s="38">
        <v>4.8999999999999995</v>
      </c>
      <c r="R31" s="151">
        <v>0</v>
      </c>
      <c r="S31" s="151">
        <v>0</v>
      </c>
    </row>
    <row r="32" spans="1:24">
      <c r="A32" s="103" t="s">
        <v>44</v>
      </c>
      <c r="B32" s="102"/>
      <c r="C32" s="35"/>
      <c r="D32" s="40"/>
      <c r="E32" s="24"/>
      <c r="F32" s="24"/>
      <c r="G32" s="26"/>
      <c r="H32" s="24"/>
      <c r="I32" s="24"/>
      <c r="J32" s="24"/>
      <c r="K32" s="30"/>
      <c r="L32" s="30"/>
      <c r="M32" s="30"/>
      <c r="N32" s="24"/>
      <c r="O32" s="24"/>
      <c r="P32" s="24"/>
      <c r="Q32" s="24"/>
      <c r="R32" s="24"/>
      <c r="S32" s="24"/>
      <c r="T32" s="24"/>
      <c r="U32" s="24"/>
    </row>
    <row r="33" spans="1:21">
      <c r="A33" s="108" t="s">
        <v>46</v>
      </c>
      <c r="B33" s="109"/>
      <c r="C33" s="35"/>
      <c r="D33" s="40"/>
      <c r="E33" s="24"/>
      <c r="F33" s="24"/>
      <c r="G33" s="30"/>
      <c r="H33" s="24"/>
      <c r="I33" s="24"/>
      <c r="J33" s="24"/>
      <c r="K33" s="30"/>
      <c r="L33" s="30"/>
      <c r="M33" s="30"/>
      <c r="N33" s="24"/>
      <c r="O33" s="24"/>
      <c r="P33" s="24"/>
      <c r="Q33" s="24"/>
      <c r="R33" s="24"/>
      <c r="S33" s="24"/>
      <c r="T33" s="24"/>
      <c r="U33" s="24"/>
    </row>
    <row r="34" spans="1:21">
      <c r="A34" s="108" t="s">
        <v>9</v>
      </c>
      <c r="B34" s="109"/>
      <c r="C34" s="35"/>
      <c r="D34" s="40"/>
      <c r="E34" s="24"/>
      <c r="F34" s="24"/>
      <c r="G34" s="30"/>
      <c r="H34" s="24"/>
      <c r="I34" s="24"/>
      <c r="J34" s="24"/>
      <c r="K34" s="30"/>
      <c r="L34" s="30"/>
      <c r="M34" s="30"/>
      <c r="N34" s="24"/>
      <c r="O34" s="24"/>
      <c r="P34" s="24"/>
      <c r="Q34" s="24"/>
      <c r="R34" s="24"/>
      <c r="S34" s="24"/>
      <c r="T34" s="24"/>
      <c r="U34" s="24"/>
    </row>
    <row r="35" spans="1:21">
      <c r="A35" s="108"/>
      <c r="B35" s="109"/>
      <c r="C35" s="35"/>
      <c r="D35" s="40"/>
      <c r="E35" s="24"/>
      <c r="F35" s="24"/>
      <c r="G35" s="30"/>
      <c r="H35" s="24"/>
      <c r="I35" s="24"/>
      <c r="J35" s="24"/>
      <c r="K35" s="30"/>
      <c r="L35" s="30"/>
      <c r="M35" s="30"/>
      <c r="N35" s="24"/>
      <c r="O35" s="24"/>
      <c r="P35" s="24"/>
      <c r="Q35" s="24"/>
      <c r="R35" s="24"/>
      <c r="S35" s="24"/>
      <c r="T35" s="24"/>
      <c r="U35" s="24"/>
    </row>
    <row r="36" spans="1:21">
      <c r="A36" s="108"/>
      <c r="B36" s="109"/>
      <c r="C36" s="35"/>
      <c r="D36" s="24" t="s">
        <v>77</v>
      </c>
      <c r="E36" s="24" t="s">
        <v>55</v>
      </c>
      <c r="F36" s="24" t="s">
        <v>56</v>
      </c>
      <c r="G36" s="24" t="s">
        <v>57</v>
      </c>
      <c r="H36" s="24" t="s">
        <v>58</v>
      </c>
      <c r="I36" s="24" t="s">
        <v>59</v>
      </c>
      <c r="J36" s="24" t="s">
        <v>1</v>
      </c>
      <c r="K36" s="24" t="s">
        <v>2</v>
      </c>
      <c r="L36" s="24" t="s">
        <v>3</v>
      </c>
      <c r="M36" s="24" t="s">
        <v>4</v>
      </c>
      <c r="N36" s="24" t="s">
        <v>5</v>
      </c>
      <c r="O36" s="24" t="s">
        <v>6</v>
      </c>
      <c r="P36" s="24" t="s">
        <v>7</v>
      </c>
      <c r="Q36" s="24" t="s">
        <v>8</v>
      </c>
      <c r="R36" s="24"/>
      <c r="S36" s="24"/>
      <c r="T36" s="24"/>
      <c r="U36" s="24"/>
    </row>
    <row r="37" spans="1:21" s="24" customFormat="1" ht="15.75" customHeight="1">
      <c r="A37"/>
      <c r="C37" s="28" t="s">
        <v>89</v>
      </c>
      <c r="D37" s="37">
        <f>AVERAGE(D17,D7,D22,D12,D2,D27)</f>
        <v>4.568121595964711</v>
      </c>
      <c r="E37" s="24">
        <f>STDEV(D17,D7,D22,D12,D2,D27)</f>
        <v>1.3258568435110647</v>
      </c>
      <c r="F37" s="27">
        <f>AVERAGE(I17,I7,I22,I12,I2,I27)</f>
        <v>132374.5983675413</v>
      </c>
      <c r="G37" s="27">
        <f>STDEV(I17,I7,I22,I12,I2,I27)</f>
        <v>858919.12484646426</v>
      </c>
      <c r="H37" s="27">
        <f>AVERAGE(K17,K7,K22,K12,K2,K27)</f>
        <v>-3333.3333333333335</v>
      </c>
      <c r="I37" s="27">
        <f>STDEV(K17,K7,K22,K12,K2,K27)</f>
        <v>5163.9777949432228</v>
      </c>
      <c r="J37" s="154">
        <f>AVERAGE(J17,J7,J22,J12,J2,J27)</f>
        <v>0.66666666666666663</v>
      </c>
      <c r="K37" s="154">
        <f>STDEV(J17,J7,J22,J12,J2,J27)</f>
        <v>0.51639777949432231</v>
      </c>
      <c r="L37" s="154">
        <f>AVERAGE(L17,L7,L22,L12,L2,L27)</f>
        <v>0.83333333333333337</v>
      </c>
      <c r="M37" s="154">
        <f>STDEV(L17,L7,L22,L12,L2,L27)</f>
        <v>0.40824829046386296</v>
      </c>
      <c r="N37" s="154">
        <f>AVERAGE(R17,R7,R22,R12,R2,R27)</f>
        <v>0</v>
      </c>
      <c r="O37" s="154">
        <f>STDEV(R17,R7,R22,R12,R2,R27)</f>
        <v>0</v>
      </c>
      <c r="P37" s="154">
        <f>AVERAGE(S17,S7,S22,S12,S2,S27)</f>
        <v>0.16666666666666666</v>
      </c>
      <c r="Q37" s="154">
        <f>STDEV(S17,S7,S22,S12,S2,S27)</f>
        <v>0.40824829046386302</v>
      </c>
    </row>
    <row r="38" spans="1:21" s="24" customFormat="1" ht="15.75" customHeight="1">
      <c r="A38"/>
      <c r="C38" s="28" t="s">
        <v>90</v>
      </c>
      <c r="D38" s="37">
        <f>AVERAGE(D18,D8,D23,D13,D3,D28)</f>
        <v>4.7584620246475806</v>
      </c>
      <c r="E38" s="24">
        <f>STDEV(D18,D8,D23,D13,D3,D28)</f>
        <v>1.2076163043661861</v>
      </c>
      <c r="F38" s="27">
        <f>AVERAGE(I18,I8,I23,I13,I3,I28)</f>
        <v>233769.7031558844</v>
      </c>
      <c r="G38" s="27">
        <f>STDEV(I18,I8,I23,I13,I3,I28)</f>
        <v>955239.75311452965</v>
      </c>
      <c r="H38" s="27">
        <f>AVERAGE(K18,K8,K23,K13,K3,K28)</f>
        <v>-1666.6666666666667</v>
      </c>
      <c r="I38" s="27">
        <f>STDEV(K18,K8,K23,K13,K3,K28)</f>
        <v>4082.4829046386299</v>
      </c>
      <c r="J38" s="154">
        <f>AVERAGE(J18,J8,J23,J13,J3,J28)</f>
        <v>0.66666666666666663</v>
      </c>
      <c r="K38" s="154">
        <f>STDEV(J18,J8,J23,J13,J3,J28)</f>
        <v>0.51639777949432231</v>
      </c>
      <c r="L38" s="154">
        <f>AVERAGE(L18,L8,L23,L13,L3,L28)</f>
        <v>0.83333333333333337</v>
      </c>
      <c r="M38" s="154">
        <f>STDEV(L18,L8,L23,L13,L3,L28)</f>
        <v>0.40824829046386296</v>
      </c>
      <c r="N38" s="154">
        <f>AVERAGE(R18,R8,R23,R13,R3,R28)</f>
        <v>0</v>
      </c>
      <c r="O38" s="154">
        <f>STDEV(R18,R8,R23,R13,R3,R28)</f>
        <v>0</v>
      </c>
      <c r="P38" s="154">
        <f>AVERAGE(S18,S8,S23,S13,S3,S28)</f>
        <v>0.16666666666666666</v>
      </c>
      <c r="Q38" s="154">
        <f>STDEV(S18,S8,S23,S13,S3,S28)</f>
        <v>0.40824829046386302</v>
      </c>
    </row>
    <row r="39" spans="1:21" s="24" customFormat="1" ht="15.75" customHeight="1">
      <c r="A39"/>
      <c r="C39" s="28" t="s">
        <v>91</v>
      </c>
      <c r="D39" s="37">
        <f>AVERAGE(D19,D9,D24,D14,D4,D29)</f>
        <v>4.4126424685495049</v>
      </c>
      <c r="E39" s="24">
        <f>STDEV(D19,D9,D24,D14,D4,D29)</f>
        <v>1.1239244880823316</v>
      </c>
      <c r="F39" s="27">
        <f>AVERAGE(I19,I9,I24,I14,I4,I29)</f>
        <v>-3557.3016299929004</v>
      </c>
      <c r="G39" s="27">
        <f>STDEV(I19,I9,I24,I14,I4,I29)</f>
        <v>956102.57412073342</v>
      </c>
      <c r="H39" s="27">
        <f>AVERAGE(K19,K9,K24,K14,K4,K29)</f>
        <v>-8333.3333333333339</v>
      </c>
      <c r="I39" s="27">
        <f>STDEV(K19,K9,K24,K14,K4,K29)</f>
        <v>11690.451944500121</v>
      </c>
      <c r="J39" s="154">
        <f>AVERAGE(J19,J9,J24,J14,J4,J29)</f>
        <v>0.66666666666666663</v>
      </c>
      <c r="K39" s="154">
        <f>STDEV(J19,J9,J24,J14,J4,J29)</f>
        <v>0.51639777949432231</v>
      </c>
      <c r="L39" s="154">
        <f>AVERAGE(L19,L9,L24,L14,L4,L29)</f>
        <v>0.83333333333333337</v>
      </c>
      <c r="M39" s="154">
        <f>STDEV(L19,L9,L24,L14,L4,L29)</f>
        <v>0.40824829046386296</v>
      </c>
      <c r="N39" s="154">
        <f>AVERAGE(R19,R9,R24,R14,R4,R29)</f>
        <v>0</v>
      </c>
      <c r="O39" s="154">
        <f>STDEV(R19,R9,R24,R14,R4,R29)</f>
        <v>0</v>
      </c>
      <c r="P39" s="154">
        <f>AVERAGE(S19,S9,S24,S14,S4,S29)</f>
        <v>0.5</v>
      </c>
      <c r="Q39" s="154">
        <f>STDEV(S19,S9,S24,S14,S4,S29)</f>
        <v>0.54772255750516607</v>
      </c>
    </row>
    <row r="40" spans="1:21" s="24" customFormat="1" ht="15.75" customHeight="1">
      <c r="A40"/>
      <c r="C40" s="28" t="s">
        <v>107</v>
      </c>
      <c r="D40" s="37">
        <f>AVERAGE(D20,D10,D25,D15,D5,D30)</f>
        <v>5.033387329989492</v>
      </c>
      <c r="E40" s="24">
        <f>STDEV(D20,D10,D25,D15,D5,D30)</f>
        <v>1.5406386863110115</v>
      </c>
      <c r="F40" s="27">
        <f>AVERAGE(I20,I10,I25,I15,I5,I30)</f>
        <v>478561.22316975356</v>
      </c>
      <c r="G40" s="27">
        <f>STDEV(I20,I10,I25,I15,I5,I30)</f>
        <v>855962.94770788541</v>
      </c>
      <c r="H40" s="27">
        <f>AVERAGE(K20,K10,K25,K15,K5,K30)</f>
        <v>-3333.3333333333335</v>
      </c>
      <c r="I40" s="27">
        <f>STDEV(K20,K10,K25,K15,K5,K30)</f>
        <v>5163.9777949432228</v>
      </c>
      <c r="J40" s="154">
        <f>AVERAGE(J20,J10,J25,J15,J5,J30)</f>
        <v>0.66666666666666663</v>
      </c>
      <c r="K40" s="154">
        <f>STDEV(J20,J10,J25,J15,J5,J30)</f>
        <v>0.51639777949432231</v>
      </c>
      <c r="L40" s="154">
        <f>AVERAGE(L20,L10,L25,L15,L5,L30)</f>
        <v>0.83333333333333337</v>
      </c>
      <c r="M40" s="154">
        <f>STDEV(L20,L10,L25,L15,L5,L30)</f>
        <v>0.40824829046386296</v>
      </c>
      <c r="N40" s="154">
        <f>AVERAGE(R20,R10,R25,R15,R5,R30)</f>
        <v>0</v>
      </c>
      <c r="O40" s="154">
        <f>STDEV(R20,R10,R25,R15,R5,R30)</f>
        <v>0</v>
      </c>
      <c r="P40" s="154">
        <f>AVERAGE(S20,S10,S25,S15,S5,S30)</f>
        <v>0.16666666666666666</v>
      </c>
      <c r="Q40" s="154">
        <f>STDEV(S20,S10,S25,S15,S5,S30)</f>
        <v>0.40824829046386302</v>
      </c>
    </row>
    <row r="41" spans="1:21" s="24" customFormat="1" ht="15.75" customHeight="1">
      <c r="A41"/>
      <c r="C41" s="28" t="s">
        <v>92</v>
      </c>
      <c r="D41" s="37">
        <f>AVERAGE(D21,D11,D26,D16,D6,D31)</f>
        <v>3.6798436147864142</v>
      </c>
      <c r="E41" s="24">
        <f>STDEV(D21,D11,D26,D16,D6,D31)</f>
        <v>0.87591309162049225</v>
      </c>
      <c r="F41" s="27">
        <f>AVERAGE(I21,I11,I26,I16,I6,I31)</f>
        <v>-586889.54722936335</v>
      </c>
      <c r="G41" s="27">
        <f>STDEV(I21,I11,I26,I16,I6,I31)</f>
        <v>941895.62219500204</v>
      </c>
      <c r="H41" s="27">
        <f>AVERAGE(K21,K11,K26,K16,K6,K31)</f>
        <v>-10000</v>
      </c>
      <c r="I41" s="27">
        <f>STDEV(K21,K11,K26,K16,K6,K31)</f>
        <v>10954.451150103323</v>
      </c>
      <c r="J41" s="154">
        <f>AVERAGE(J21,J11,J26,J16,J6,J31)</f>
        <v>0.66666666666666663</v>
      </c>
      <c r="K41" s="154">
        <f>STDEV(J21,J11,J26,J16,J6,J31)</f>
        <v>0.51639777949432231</v>
      </c>
      <c r="L41" s="154">
        <f>AVERAGE(L21,L11,L26,L16,L6,L31)</f>
        <v>0.83333333333333337</v>
      </c>
      <c r="M41" s="154">
        <f>STDEV(L21,L11,L26,L16,L6,L31)</f>
        <v>0.40824829046386296</v>
      </c>
      <c r="N41" s="154">
        <f>AVERAGE(R21,R11,R26,R16,R6,R31)</f>
        <v>0.16666666666666666</v>
      </c>
      <c r="O41" s="154">
        <f>STDEV(R21,R11,R26,R16,R6,R31)</f>
        <v>0.40824829046386302</v>
      </c>
      <c r="P41" s="154">
        <f>AVERAGE(S21,S11,S26,S16,S6,S31)</f>
        <v>0.16666666666666666</v>
      </c>
      <c r="Q41" s="154">
        <f>STDEV(S21,S11,S26,S16,S6,S31)</f>
        <v>0.40824829046386302</v>
      </c>
    </row>
    <row r="42" spans="1:21" s="24" customFormat="1" ht="15.75" customHeight="1" thickBot="1">
      <c r="A42"/>
      <c r="B42" s="28"/>
      <c r="C42" s="36"/>
      <c r="G42" s="30"/>
    </row>
    <row r="43" spans="1:21" s="24" customFormat="1" ht="15.75" customHeight="1" thickBot="1">
      <c r="A43" s="126" t="s">
        <v>54</v>
      </c>
      <c r="B43" s="127"/>
      <c r="C43" s="127"/>
      <c r="D43" s="127"/>
      <c r="E43" s="127"/>
      <c r="F43" s="127"/>
      <c r="G43" s="127"/>
      <c r="H43" s="127"/>
      <c r="I43" s="128"/>
    </row>
    <row r="44" spans="1:21" s="4" customFormat="1" ht="30">
      <c r="A44" s="122"/>
      <c r="B44" s="123" t="s">
        <v>141</v>
      </c>
      <c r="C44" s="124" t="s">
        <v>113</v>
      </c>
      <c r="D44" s="124" t="s">
        <v>343</v>
      </c>
      <c r="E44" s="124" t="s">
        <v>102</v>
      </c>
      <c r="F44" s="124" t="s">
        <v>99</v>
      </c>
      <c r="G44" s="124" t="s">
        <v>100</v>
      </c>
      <c r="H44" s="125" t="s">
        <v>101</v>
      </c>
      <c r="I44" s="125" t="s">
        <v>52</v>
      </c>
      <c r="J44" s="33"/>
      <c r="K44" s="33"/>
      <c r="L44" s="33"/>
      <c r="M44" s="33"/>
      <c r="N44" s="33"/>
      <c r="O44" s="33"/>
      <c r="P44" s="33"/>
      <c r="Q44" s="33"/>
    </row>
    <row r="45" spans="1:21">
      <c r="A45" s="101" t="s">
        <v>89</v>
      </c>
      <c r="B45" s="42" t="s">
        <v>124</v>
      </c>
      <c r="C45" s="43">
        <f>(D2-$D$37)/$E$37</f>
        <v>-0.32290182613605711</v>
      </c>
      <c r="D45" s="41">
        <f>(I2-$F$37)/$G$37</f>
        <v>-0.58176620349076902</v>
      </c>
      <c r="E45" s="41">
        <f>(J2-$J$37)/$K$37</f>
        <v>0.6454972243679028</v>
      </c>
      <c r="F45" s="43">
        <f>(K2-$H$37)/$I$37</f>
        <v>0.6454972243679028</v>
      </c>
      <c r="G45" s="41">
        <f>(L2-$L$37)/$M$37</f>
        <v>0.40824829046386296</v>
      </c>
      <c r="H45" s="155">
        <f>IF($O$37=0,0,((M2-$N$37)/$O$37))</f>
        <v>0</v>
      </c>
      <c r="I45" s="155">
        <f>IF($Q$37=0,0,((N2-$P$37)/$Q$37))</f>
        <v>-0.40824829046386302</v>
      </c>
      <c r="J45" s="24"/>
      <c r="K45" s="24"/>
      <c r="L45" s="24"/>
      <c r="M45" s="24"/>
      <c r="N45" s="24"/>
      <c r="O45" s="24"/>
      <c r="P45" s="24"/>
      <c r="Q45" s="24"/>
    </row>
    <row r="46" spans="1:21">
      <c r="A46" s="25" t="s">
        <v>90</v>
      </c>
      <c r="B46" s="34" t="s">
        <v>125</v>
      </c>
      <c r="C46" s="43">
        <f>(D3-$D$38)/$E$38</f>
        <v>-0.46905221893385435</v>
      </c>
      <c r="D46" s="41">
        <f>(I3-$F$38)/$G$38</f>
        <v>-0.58639337865694785</v>
      </c>
      <c r="E46" s="41">
        <f>(J3-$J$38)/$K$38</f>
        <v>0.6454972243679028</v>
      </c>
      <c r="F46" s="43">
        <f>(K3-$H$38)/$I$38</f>
        <v>0.40824829046386307</v>
      </c>
      <c r="G46" s="41">
        <f>(L3-$L$38)/$M$38</f>
        <v>0.40824829046386296</v>
      </c>
      <c r="H46" s="155">
        <f>IF($O$38=0,0,((M3-$N$38)/$O$38))</f>
        <v>0</v>
      </c>
      <c r="I46" s="155">
        <f>IF($Q$38=0,0,((N3-$P$38)/$Q$38))</f>
        <v>-0.40824829046386302</v>
      </c>
      <c r="J46" s="24"/>
      <c r="K46" s="24"/>
      <c r="L46" s="24"/>
      <c r="M46" s="24"/>
      <c r="N46" s="24"/>
      <c r="O46" s="24"/>
      <c r="P46" s="24"/>
      <c r="Q46" s="24"/>
    </row>
    <row r="47" spans="1:21">
      <c r="A47" s="25" t="s">
        <v>91</v>
      </c>
      <c r="B47" s="34" t="s">
        <v>126</v>
      </c>
      <c r="C47" s="43">
        <f>(D4-$D$39)/$E$39</f>
        <v>-0.46417740946494801</v>
      </c>
      <c r="D47" s="41">
        <f>(I4-$F$39)/$G$39</f>
        <v>-0.58543610490518205</v>
      </c>
      <c r="E47" s="41">
        <f>(J4-$J$39)/$K$39</f>
        <v>0.6454972243679028</v>
      </c>
      <c r="F47" s="43">
        <f>(K4-$H$39)/$I$39</f>
        <v>-0.14256648712805023</v>
      </c>
      <c r="G47" s="41">
        <f>(L4-$L$39)/$M$39</f>
        <v>0.40824829046386296</v>
      </c>
      <c r="H47" s="155">
        <f>IF($O$39=0,0,((M4-$N$39)/$O$39))</f>
        <v>0</v>
      </c>
      <c r="I47" s="155">
        <f>IF($Q$39=0,0,((N4-$P$39)/$Q$39))</f>
        <v>-0.9128709291752769</v>
      </c>
      <c r="J47" s="24"/>
      <c r="K47" s="24"/>
      <c r="L47" s="24"/>
      <c r="M47" s="24"/>
      <c r="N47" s="24"/>
      <c r="O47" s="24"/>
      <c r="P47" s="24"/>
      <c r="Q47" s="24"/>
    </row>
    <row r="48" spans="1:21">
      <c r="A48" s="25" t="s">
        <v>107</v>
      </c>
      <c r="B48" s="34" t="s">
        <v>127</v>
      </c>
      <c r="C48" s="43">
        <f>(D5-$D$40)/$E$40</f>
        <v>-0.27726099688510913</v>
      </c>
      <c r="D48" s="41">
        <f>(I5-$F$40)/$G$40</f>
        <v>-0.559616355090234</v>
      </c>
      <c r="E48" s="41">
        <f>(J5-$J$40)/$K$40</f>
        <v>0.6454972243679028</v>
      </c>
      <c r="F48" s="43">
        <f>(K5-$H$40)/$I$40</f>
        <v>0.6454972243679028</v>
      </c>
      <c r="G48" s="41">
        <f>(L5-$L$40)/$M$40</f>
        <v>0.40824829046386296</v>
      </c>
      <c r="H48" s="155">
        <f>IF($O$40=0,0,((M5-$N$40)/$O$40))</f>
        <v>0</v>
      </c>
      <c r="I48" s="155">
        <f>IF($Q$40=0,0,((N5-$P$40)/$Q$40))</f>
        <v>-0.40824829046386302</v>
      </c>
      <c r="J48" s="24"/>
      <c r="K48" s="24"/>
      <c r="L48" s="24"/>
      <c r="M48" s="24"/>
      <c r="N48" s="24"/>
      <c r="O48" s="24"/>
      <c r="P48" s="24"/>
      <c r="Q48" s="24"/>
    </row>
    <row r="49" spans="1:17">
      <c r="A49" s="25" t="s">
        <v>92</v>
      </c>
      <c r="B49" s="34" t="s">
        <v>128</v>
      </c>
      <c r="C49" s="43">
        <f>(D6-$D$41)/$E$41</f>
        <v>-0.57752989057320003</v>
      </c>
      <c r="D49" s="41">
        <f>(I6-$F$41)/$G$41</f>
        <v>-0.57391705285885031</v>
      </c>
      <c r="E49" s="41">
        <f>(J6-$J$41)/$K$41</f>
        <v>0.6454972243679028</v>
      </c>
      <c r="F49" s="43">
        <f>(K6-$H$41)/$I$41</f>
        <v>0</v>
      </c>
      <c r="G49" s="41">
        <f>(L6-$L$41)/$M$41</f>
        <v>0.40824829046386296</v>
      </c>
      <c r="H49" s="155">
        <f>IF($O$41=0,0,((M6-$N$41)/$O$41))</f>
        <v>-0.40824829046386302</v>
      </c>
      <c r="I49" s="155">
        <f>IF($Q$41=0,0,((N6-$P$41)/$Q$41))</f>
        <v>-0.40824829046386302</v>
      </c>
      <c r="J49" s="24"/>
      <c r="K49" s="24"/>
      <c r="L49" s="24"/>
      <c r="M49" s="24"/>
      <c r="N49" s="24"/>
      <c r="O49" s="24"/>
      <c r="P49" s="24"/>
      <c r="Q49" s="24"/>
    </row>
    <row r="50" spans="1:17">
      <c r="A50" s="25" t="s">
        <v>89</v>
      </c>
      <c r="B50" s="34" t="s">
        <v>114</v>
      </c>
      <c r="C50" s="43">
        <f>(D7-$D$37)/$E$37</f>
        <v>1.5079650454776548</v>
      </c>
      <c r="D50" s="41">
        <f>(I7-$F$37)/$G$37</f>
        <v>1.1911674963915031</v>
      </c>
      <c r="E50" s="41">
        <f>(J7-$J$37)/$K$37</f>
        <v>-1.2909944487358054</v>
      </c>
      <c r="F50" s="43">
        <f>(K7-$H$37)/$I$37</f>
        <v>0.6454972243679028</v>
      </c>
      <c r="G50" s="41">
        <f>(L7-$L$37)/$M$37</f>
        <v>0.40824829046386296</v>
      </c>
      <c r="H50" s="155">
        <f>IF($O$37=0,0,((M7-$N$37)/$O$37))</f>
        <v>0</v>
      </c>
      <c r="I50" s="155">
        <f>IF($Q$37=0,0,((N7-$P$37)/$Q$37))</f>
        <v>2.0412414523193152</v>
      </c>
      <c r="J50" s="24"/>
      <c r="K50" s="24"/>
      <c r="L50" s="24"/>
      <c r="M50" s="24"/>
      <c r="N50" s="24"/>
      <c r="O50" s="24"/>
      <c r="P50" s="24"/>
      <c r="Q50" s="24"/>
    </row>
    <row r="51" spans="1:17">
      <c r="A51" s="101" t="s">
        <v>90</v>
      </c>
      <c r="B51" s="42" t="s">
        <v>115</v>
      </c>
      <c r="C51" s="43">
        <f>(D8-$D$38)/$E$38</f>
        <v>1.5663402096456358</v>
      </c>
      <c r="D51" s="41">
        <f>(I8-$F$38)/$G$38</f>
        <v>1.0278020084936748</v>
      </c>
      <c r="E51" s="41">
        <f>(J8-$J$38)/$K$38</f>
        <v>-1.2909944487358054</v>
      </c>
      <c r="F51" s="43">
        <f>(K8-$H$38)/$I$38</f>
        <v>0.40824829046386307</v>
      </c>
      <c r="G51" s="41">
        <f>(L8-$L$38)/$M$38</f>
        <v>0.40824829046386296</v>
      </c>
      <c r="H51" s="155">
        <f>IF($O$38=0,0,((M8-$N$38)/$O$38))</f>
        <v>0</v>
      </c>
      <c r="I51" s="155">
        <f>IF($Q$38=0,0,((N8-$P$38)/$Q$38))</f>
        <v>2.0412414523193152</v>
      </c>
      <c r="J51" s="24"/>
      <c r="K51" s="24"/>
      <c r="L51" s="24"/>
      <c r="M51" s="24"/>
      <c r="N51" s="24"/>
      <c r="O51" s="24"/>
      <c r="P51" s="24"/>
      <c r="Q51" s="24"/>
    </row>
    <row r="52" spans="1:17">
      <c r="A52" s="25" t="s">
        <v>91</v>
      </c>
      <c r="B52" s="34" t="s">
        <v>116</v>
      </c>
      <c r="C52" s="43">
        <f>(D9-$D$39)/$E$39</f>
        <v>1.5657041382386219</v>
      </c>
      <c r="D52" s="41">
        <f>(I9-$F$39)/$G$39</f>
        <v>0.91147051498038245</v>
      </c>
      <c r="E52" s="41">
        <f>(J9-$J$39)/$K$39</f>
        <v>-1.2909944487358054</v>
      </c>
      <c r="F52" s="43">
        <f>(K9-$H$39)/$I$39</f>
        <v>0.71283243564025134</v>
      </c>
      <c r="G52" s="41">
        <f>(L9-$L$39)/$M$39</f>
        <v>0.40824829046386296</v>
      </c>
      <c r="H52" s="155">
        <f>IF($O$39=0,0,((M9-$N$39)/$O$39))</f>
        <v>0</v>
      </c>
      <c r="I52" s="155">
        <f>IF($Q$39=0,0,((N9-$P$39)/$Q$39))</f>
        <v>0.9128709291752769</v>
      </c>
      <c r="J52" s="24"/>
      <c r="K52" s="24"/>
      <c r="L52" s="24"/>
      <c r="M52" s="24"/>
      <c r="N52" s="24"/>
      <c r="O52" s="24"/>
      <c r="P52" s="24"/>
      <c r="Q52" s="24"/>
    </row>
    <row r="53" spans="1:17">
      <c r="A53" s="25" t="s">
        <v>107</v>
      </c>
      <c r="B53" s="34" t="s">
        <v>117</v>
      </c>
      <c r="C53" s="43">
        <f>(D10-$D$40)/$E$40</f>
        <v>1.4758028008025741</v>
      </c>
      <c r="D53" s="41">
        <f>(I10-$F$40)/$G$40</f>
        <v>1.4197898240099025</v>
      </c>
      <c r="E53" s="41">
        <f>(J10-$J$40)/$K$40</f>
        <v>-1.2909944487358054</v>
      </c>
      <c r="F53" s="43">
        <f>(K10-$H$40)/$I$40</f>
        <v>0.6454972243679028</v>
      </c>
      <c r="G53" s="41">
        <f>(L10-$L$40)/$M$40</f>
        <v>0.40824829046386296</v>
      </c>
      <c r="H53" s="155">
        <f>IF($O$40=0,0,((M10-$N$40)/$O$40))</f>
        <v>0</v>
      </c>
      <c r="I53" s="155">
        <f>IF($Q$40=0,0,((N10-$P$40)/$Q$40))</f>
        <v>2.0412414523193152</v>
      </c>
      <c r="J53" s="24"/>
      <c r="K53" s="24"/>
      <c r="L53" s="24"/>
      <c r="M53" s="24"/>
      <c r="N53" s="24"/>
      <c r="O53" s="24"/>
      <c r="P53" s="24"/>
      <c r="Q53" s="24"/>
    </row>
    <row r="54" spans="1:17">
      <c r="A54" s="25" t="s">
        <v>92</v>
      </c>
      <c r="B54" s="34" t="s">
        <v>118</v>
      </c>
      <c r="C54" s="43">
        <f>(D11-$D$41)/$E$41</f>
        <v>1.5471617198780472</v>
      </c>
      <c r="D54" s="41">
        <f>(I11-$F$41)/$G$41</f>
        <v>0.66558003048464565</v>
      </c>
      <c r="E54" s="41">
        <f>(J11-$J$41)/$K$41</f>
        <v>-1.2909944487358054</v>
      </c>
      <c r="F54" s="43">
        <f>(K11-$H$41)/$I$41</f>
        <v>0.91287092917527679</v>
      </c>
      <c r="G54" s="41">
        <f>(L11-$L$41)/$M$41</f>
        <v>0.40824829046386296</v>
      </c>
      <c r="H54" s="155">
        <f>IF($O$41=0,0,((M11-$N$41)/$O$41))</f>
        <v>2.0412414523193152</v>
      </c>
      <c r="I54" s="155">
        <f>IF($Q$41=0,0,((N11-$P$41)/$Q$41))</f>
        <v>2.0412414523193152</v>
      </c>
      <c r="J54" s="24"/>
      <c r="K54" s="24"/>
      <c r="L54" s="24"/>
      <c r="M54" s="24"/>
      <c r="N54" s="24"/>
      <c r="O54" s="24"/>
      <c r="P54" s="24"/>
      <c r="Q54" s="24"/>
    </row>
    <row r="55" spans="1:17">
      <c r="A55" s="25" t="s">
        <v>89</v>
      </c>
      <c r="B55" s="34" t="s">
        <v>129</v>
      </c>
      <c r="C55" s="43">
        <f>(D12-$D$37)/$E$37</f>
        <v>-1.0459143563369546</v>
      </c>
      <c r="D55" s="41">
        <f>(I12-$F$37)/$G$37</f>
        <v>-1.117563191232807</v>
      </c>
      <c r="E55" s="41">
        <f>(J12-$J$37)/$K$37</f>
        <v>0.6454972243679028</v>
      </c>
      <c r="F55" s="43">
        <f>(K12-$H$37)/$I$37</f>
        <v>-1.2909944487358054</v>
      </c>
      <c r="G55" s="41">
        <f>(L12-$L$37)/$M$37</f>
        <v>0.40824829046386296</v>
      </c>
      <c r="H55" s="155">
        <f>IF($O$37=0,0,((M12-$N$37)/$O$37))</f>
        <v>0</v>
      </c>
      <c r="I55" s="155">
        <f>IF($Q$37=0,0,((N12-$P$37)/$Q$37))</f>
        <v>-0.40824829046386302</v>
      </c>
      <c r="J55" s="24"/>
      <c r="K55" s="24"/>
      <c r="L55" s="24"/>
      <c r="M55" s="24"/>
      <c r="N55" s="24"/>
      <c r="O55" s="24"/>
      <c r="P55" s="24"/>
      <c r="Q55" s="24"/>
    </row>
    <row r="56" spans="1:17">
      <c r="A56" s="25" t="s">
        <v>90</v>
      </c>
      <c r="B56" s="34" t="s">
        <v>130</v>
      </c>
      <c r="C56" s="43">
        <f>(D13-$D$38)/$E$38</f>
        <v>-1.2728322493420394</v>
      </c>
      <c r="D56" s="41">
        <f>(I13-$F$38)/$G$38</f>
        <v>-1.0742181778131872</v>
      </c>
      <c r="E56" s="41">
        <f>(J13-$J$38)/$K$38</f>
        <v>0.6454972243679028</v>
      </c>
      <c r="F56" s="43">
        <f>(K13-$H$38)/$I$38</f>
        <v>-2.0412414523193152</v>
      </c>
      <c r="G56" s="41">
        <f>(L13-$L$38)/$M$38</f>
        <v>0.40824829046386296</v>
      </c>
      <c r="H56" s="155">
        <f>IF($O$38=0,0,((M13-$N$38)/$O$38))</f>
        <v>0</v>
      </c>
      <c r="I56" s="155">
        <f>IF($Q$38=0,0,((N13-$P$38)/$Q$38))</f>
        <v>-0.40824829046386302</v>
      </c>
      <c r="J56" s="24"/>
      <c r="K56" s="24"/>
      <c r="L56" s="24"/>
      <c r="M56" s="24"/>
      <c r="N56" s="24"/>
      <c r="O56" s="24"/>
      <c r="P56" s="24"/>
      <c r="Q56" s="24"/>
    </row>
    <row r="57" spans="1:17">
      <c r="A57" s="101" t="s">
        <v>91</v>
      </c>
      <c r="B57" s="42" t="s">
        <v>131</v>
      </c>
      <c r="C57" s="43">
        <f>(D14-$D$39)/$E$39</f>
        <v>-1.2657811833754538</v>
      </c>
      <c r="D57" s="41">
        <f>(I14-$F$39)/$G$39</f>
        <v>-1.03781515208504</v>
      </c>
      <c r="E57" s="41">
        <f>(J14-$J$39)/$K$39</f>
        <v>0.6454972243679028</v>
      </c>
      <c r="F57" s="43">
        <f>(K14-$H$39)/$I$39</f>
        <v>-1.8533643326646532</v>
      </c>
      <c r="G57" s="41">
        <f>(L14-$L$39)/$M$39</f>
        <v>0.40824829046386296</v>
      </c>
      <c r="H57" s="155">
        <f>IF($O$39=0,0,((M14-$N$39)/$O$39))</f>
        <v>0</v>
      </c>
      <c r="I57" s="155">
        <f>IF($Q$39=0,0,((N14-$P$39)/$Q$39))</f>
        <v>-0.9128709291752769</v>
      </c>
      <c r="J57" s="24"/>
      <c r="K57" s="24"/>
      <c r="L57" s="24"/>
      <c r="M57" s="24"/>
      <c r="N57" s="24"/>
      <c r="O57" s="24"/>
      <c r="P57" s="24"/>
      <c r="Q57" s="24"/>
    </row>
    <row r="58" spans="1:17">
      <c r="A58" s="25" t="s">
        <v>107</v>
      </c>
      <c r="B58" s="34" t="s">
        <v>132</v>
      </c>
      <c r="C58" s="43">
        <f>(D15-$D$40)/$E$40</f>
        <v>-0.96954895709742805</v>
      </c>
      <c r="D58" s="41">
        <f>(I15-$F$40)/$G$40</f>
        <v>-1.1578112387174411</v>
      </c>
      <c r="E58" s="41">
        <f>(J15-$J$40)/$K$40</f>
        <v>0.6454972243679028</v>
      </c>
      <c r="F58" s="43">
        <f>(K15-$H$40)/$I$40</f>
        <v>-1.2909944487358054</v>
      </c>
      <c r="G58" s="41">
        <f>(L15-$L$40)/$M$40</f>
        <v>0.40824829046386296</v>
      </c>
      <c r="H58" s="155">
        <f>IF($O$40=0,0,((M15-$N$40)/$O$40))</f>
        <v>0</v>
      </c>
      <c r="I58" s="155">
        <f>IF($Q$40=0,0,((N15-$P$40)/$Q$40))</f>
        <v>-0.40824829046386302</v>
      </c>
      <c r="J58" s="24"/>
      <c r="K58" s="24"/>
      <c r="L58" s="24"/>
      <c r="M58" s="24"/>
      <c r="N58" s="24"/>
      <c r="O58" s="24"/>
      <c r="P58" s="24"/>
      <c r="Q58" s="24"/>
    </row>
    <row r="59" spans="1:17">
      <c r="A59" s="25" t="s">
        <v>92</v>
      </c>
      <c r="B59" s="34" t="s">
        <v>133</v>
      </c>
      <c r="C59" s="43">
        <f>(D16-$D$41)/$E$41</f>
        <v>-1.416574324107027</v>
      </c>
      <c r="D59" s="41">
        <f>(I16-$F$41)/$G$41</f>
        <v>-0.94850455357282881</v>
      </c>
      <c r="E59" s="41">
        <f>(J16-$J$41)/$K$41</f>
        <v>0.6454972243679028</v>
      </c>
      <c r="F59" s="43">
        <f>(K16-$H$41)/$I$41</f>
        <v>-1.8257418583505536</v>
      </c>
      <c r="G59" s="41">
        <f>(L16-$L$41)/$M$41</f>
        <v>0.40824829046386296</v>
      </c>
      <c r="H59" s="155">
        <f>IF($O$41=0,0,((M16-$N$41)/$O$41))</f>
        <v>-0.40824829046386302</v>
      </c>
      <c r="I59" s="155">
        <f>IF($Q$41=0,0,((N16-$P$41)/$Q$41))</f>
        <v>-0.40824829046386302</v>
      </c>
      <c r="J59" s="24"/>
      <c r="K59" s="24"/>
      <c r="L59" s="24"/>
      <c r="M59" s="24"/>
      <c r="N59" s="24"/>
      <c r="O59" s="24"/>
      <c r="P59" s="24"/>
      <c r="Q59" s="24"/>
    </row>
    <row r="60" spans="1:17">
      <c r="A60" s="25" t="s">
        <v>89</v>
      </c>
      <c r="B60" s="34" t="s">
        <v>108</v>
      </c>
      <c r="C60" s="43">
        <f>(D17-$D$37)/$E$37</f>
        <v>0.52023665845744249</v>
      </c>
      <c r="D60" s="41">
        <f>(I17-$F$37)/$G$37</f>
        <v>-0.70293762687222772</v>
      </c>
      <c r="E60" s="41">
        <f>(J17-$J$37)/$K$37</f>
        <v>0.6454972243679028</v>
      </c>
      <c r="F60" s="43">
        <f>(K17-$H$37)/$I$37</f>
        <v>0.6454972243679028</v>
      </c>
      <c r="G60" s="41">
        <f>(L17-$L$37)/$M$37</f>
        <v>0.40824829046386296</v>
      </c>
      <c r="H60" s="155">
        <f>IF($O$37=0,0,((M17-$N$37)/$O$37))</f>
        <v>0</v>
      </c>
      <c r="I60" s="155">
        <f>IF($Q$37=0,0,((N17-$P$37)/$Q$37))</f>
        <v>-0.40824829046386302</v>
      </c>
      <c r="J60" s="24"/>
      <c r="K60" s="24"/>
      <c r="L60" s="24"/>
      <c r="M60" s="24"/>
      <c r="N60" s="24"/>
      <c r="O60" s="24"/>
      <c r="P60" s="24"/>
      <c r="Q60" s="24"/>
    </row>
    <row r="61" spans="1:17">
      <c r="A61" s="25" t="s">
        <v>90</v>
      </c>
      <c r="B61" s="34" t="s">
        <v>109</v>
      </c>
      <c r="C61" s="43">
        <f>(D18-$D$38)/$E$38</f>
        <v>0.46827299809463441</v>
      </c>
      <c r="D61" s="41">
        <f>(I18-$F$38)/$G$38</f>
        <v>-0.69671580791068388</v>
      </c>
      <c r="E61" s="41">
        <f>(J18-$J$38)/$K$38</f>
        <v>0.6454972243679028</v>
      </c>
      <c r="F61" s="43">
        <f>(K18-$H$38)/$I$38</f>
        <v>0.40824829046386307</v>
      </c>
      <c r="G61" s="41">
        <f>(L18-$L$38)/$M$38</f>
        <v>0.40824829046386296</v>
      </c>
      <c r="H61" s="155">
        <f>IF($O$38=0,0,((M18-$N$38)/$O$38))</f>
        <v>0</v>
      </c>
      <c r="I61" s="155">
        <f>IF($Q$38=0,0,((N18-$P$38)/$Q$38))</f>
        <v>-0.40824829046386302</v>
      </c>
      <c r="J61" s="24"/>
      <c r="K61" s="24"/>
      <c r="L61" s="24"/>
      <c r="M61" s="24"/>
      <c r="N61" s="24"/>
      <c r="O61" s="24"/>
      <c r="P61" s="24"/>
      <c r="Q61" s="24"/>
    </row>
    <row r="62" spans="1:17">
      <c r="A62" s="25" t="s">
        <v>91</v>
      </c>
      <c r="B62" s="34" t="s">
        <v>110</v>
      </c>
      <c r="C62" s="43">
        <f>(D19-$D$39)/$E$39</f>
        <v>0.47060997380700875</v>
      </c>
      <c r="D62" s="41">
        <f>(I19-$F$39)/$G$39</f>
        <v>-0.68774241552057958</v>
      </c>
      <c r="E62" s="41">
        <f>(J19-$J$39)/$K$39</f>
        <v>0.6454972243679028</v>
      </c>
      <c r="F62" s="43">
        <f>(K19-$H$39)/$I$39</f>
        <v>0.71283243564025134</v>
      </c>
      <c r="G62" s="41">
        <f>(L19-$L$39)/$M$39</f>
        <v>0.40824829046386296</v>
      </c>
      <c r="H62" s="155">
        <f>IF($O$39=0,0,((M19-$N$39)/$O$39))</f>
        <v>0</v>
      </c>
      <c r="I62" s="155">
        <f>IF($Q$39=0,0,((N19-$P$39)/$Q$39))</f>
        <v>0.9128709291752769</v>
      </c>
      <c r="J62" s="24"/>
      <c r="K62" s="24"/>
      <c r="L62" s="24"/>
      <c r="M62" s="24"/>
      <c r="N62" s="24"/>
      <c r="O62" s="24"/>
      <c r="P62" s="24"/>
      <c r="Q62" s="24"/>
    </row>
    <row r="63" spans="1:17">
      <c r="A63" s="101" t="s">
        <v>107</v>
      </c>
      <c r="B63" s="42" t="s">
        <v>111</v>
      </c>
      <c r="C63" s="43">
        <f>(D20-$D$40)/$E$40</f>
        <v>0.53004813994762723</v>
      </c>
      <c r="D63" s="41">
        <f>(I20-$F$40)/$G$40</f>
        <v>-0.69489917146827707</v>
      </c>
      <c r="E63" s="41">
        <f>(J20-$J$40)/$K$40</f>
        <v>0.6454972243679028</v>
      </c>
      <c r="F63" s="43">
        <f>(K20-$H$40)/$I$40</f>
        <v>0.6454972243679028</v>
      </c>
      <c r="G63" s="41">
        <f>(L20-$L$40)/$M$40</f>
        <v>0.40824829046386296</v>
      </c>
      <c r="H63" s="155">
        <f>IF($O$40=0,0,((M20-$N$40)/$O$40))</f>
        <v>0</v>
      </c>
      <c r="I63" s="155">
        <f>IF($Q$40=0,0,((N20-$P$40)/$Q$40))</f>
        <v>-0.40824829046386302</v>
      </c>
      <c r="J63" s="24"/>
      <c r="K63" s="24"/>
      <c r="L63" s="24"/>
      <c r="M63" s="24"/>
      <c r="N63" s="24"/>
      <c r="O63" s="24"/>
      <c r="P63" s="24"/>
      <c r="Q63" s="24"/>
    </row>
    <row r="64" spans="1:17">
      <c r="A64" s="25" t="s">
        <v>92</v>
      </c>
      <c r="B64" s="34" t="s">
        <v>112</v>
      </c>
      <c r="C64" s="43">
        <f>(D21-$D$41)/$E$41</f>
        <v>0.40091878444458146</v>
      </c>
      <c r="D64" s="41">
        <f>(I21-$F$41)/$G$41</f>
        <v>-0.65863066954732008</v>
      </c>
      <c r="E64" s="41">
        <f>(J21-$J$41)/$K$41</f>
        <v>0.6454972243679028</v>
      </c>
      <c r="F64" s="43">
        <f>(K21-$H$41)/$I$41</f>
        <v>0.91287092917527679</v>
      </c>
      <c r="G64" s="41">
        <f>(L21-$L$41)/$M$41</f>
        <v>0.40824829046386296</v>
      </c>
      <c r="H64" s="155">
        <f>IF($O$41=0,0,((M21-$N$41)/$O$41))</f>
        <v>-0.40824829046386302</v>
      </c>
      <c r="I64" s="155">
        <f>IF($Q$41=0,0,((N21-$P$41)/$Q$41))</f>
        <v>-0.40824829046386302</v>
      </c>
      <c r="J64" s="24"/>
      <c r="K64" s="24"/>
      <c r="L64" s="24"/>
      <c r="M64" s="24"/>
      <c r="N64" s="24"/>
      <c r="O64" s="24"/>
      <c r="P64" s="24"/>
      <c r="Q64" s="24"/>
    </row>
    <row r="65" spans="1:17">
      <c r="A65" s="25" t="s">
        <v>89</v>
      </c>
      <c r="B65" s="34" t="s">
        <v>119</v>
      </c>
      <c r="C65" s="43">
        <f>(D22-$D$37)/$E$37</f>
        <v>0.39134752168872577</v>
      </c>
      <c r="D65" s="41">
        <f>(I22-$F$37)/$G$37</f>
        <v>-1.3408336290691174E-2</v>
      </c>
      <c r="E65" s="41">
        <f>(J22-$J$37)/$K$37</f>
        <v>0.6454972243679028</v>
      </c>
      <c r="F65" s="43">
        <f>(K22-$H$37)/$I$37</f>
        <v>0.6454972243679028</v>
      </c>
      <c r="G65" s="41">
        <f>(L22-$L$37)/$M$37</f>
        <v>0.40824829046386296</v>
      </c>
      <c r="H65" s="155">
        <f>IF($O$37=0,0,((M22-$N$37)/$O$37))</f>
        <v>0</v>
      </c>
      <c r="I65" s="155">
        <f>IF($Q$37=0,0,((N22-$P$37)/$Q$37))</f>
        <v>-0.40824829046386302</v>
      </c>
      <c r="J65" s="24"/>
      <c r="K65" s="24"/>
      <c r="L65" s="24"/>
      <c r="M65" s="24"/>
      <c r="N65" s="24"/>
      <c r="O65" s="24"/>
      <c r="P65" s="24"/>
      <c r="Q65" s="24"/>
    </row>
    <row r="66" spans="1:17">
      <c r="A66" s="25" t="s">
        <v>90</v>
      </c>
      <c r="B66" s="34" t="s">
        <v>120</v>
      </c>
      <c r="C66" s="43">
        <f>(D23-$D$38)/$E$38</f>
        <v>0.32498569677710742</v>
      </c>
      <c r="D66" s="41">
        <f>(I23-$F$38)/$G$38</f>
        <v>-6.8923014397950802E-2</v>
      </c>
      <c r="E66" s="41">
        <f>(J23-$J$38)/$K$38</f>
        <v>0.6454972243679028</v>
      </c>
      <c r="F66" s="43">
        <f>(K23-$H$38)/$I$38</f>
        <v>0.40824829046386307</v>
      </c>
      <c r="G66" s="41">
        <f>(L23-$L$38)/$M$38</f>
        <v>0.40824829046386296</v>
      </c>
      <c r="H66" s="155">
        <f>IF($O$38=0,0,((M23-$N$38)/$O$38))</f>
        <v>0</v>
      </c>
      <c r="I66" s="155">
        <f>IF($Q$38=0,0,((N23-$P$38)/$Q$38))</f>
        <v>-0.40824829046386302</v>
      </c>
      <c r="J66" s="24"/>
      <c r="K66" s="24"/>
      <c r="L66" s="24"/>
      <c r="M66" s="24"/>
      <c r="N66" s="24"/>
      <c r="O66" s="24"/>
      <c r="P66" s="24"/>
      <c r="Q66" s="24"/>
    </row>
    <row r="67" spans="1:17">
      <c r="A67" s="25" t="s">
        <v>91</v>
      </c>
      <c r="B67" s="34" t="s">
        <v>121</v>
      </c>
      <c r="C67" s="43">
        <f>(D24-$D$39)/$E$39</f>
        <v>0.32771062679131741</v>
      </c>
      <c r="D67" s="41">
        <f>(I24-$F$39)/$G$39</f>
        <v>-0.10556556381708047</v>
      </c>
      <c r="E67" s="41">
        <f>(J24-$J$39)/$K$39</f>
        <v>0.6454972243679028</v>
      </c>
      <c r="F67" s="43">
        <f>(K24-$H$39)/$I$39</f>
        <v>0.71283243564025134</v>
      </c>
      <c r="G67" s="41">
        <f>(L24-$L$39)/$M$39</f>
        <v>0.40824829046386296</v>
      </c>
      <c r="H67" s="155">
        <f>IF($O$39=0,0,((M24-$N$39)/$O$39))</f>
        <v>0</v>
      </c>
      <c r="I67" s="155">
        <f>IF($Q$39=0,0,((N24-$P$39)/$Q$39))</f>
        <v>0.9128709291752769</v>
      </c>
      <c r="J67" s="24"/>
      <c r="K67" s="24"/>
      <c r="L67" s="24"/>
      <c r="M67" s="24"/>
      <c r="N67" s="24"/>
      <c r="O67" s="24"/>
      <c r="P67" s="24"/>
      <c r="Q67" s="24"/>
    </row>
    <row r="68" spans="1:17">
      <c r="A68" s="25" t="s">
        <v>107</v>
      </c>
      <c r="B68" s="34" t="s">
        <v>122</v>
      </c>
      <c r="C68" s="43">
        <f>(D25-$D$40)/$E$40</f>
        <v>0.40663617423473875</v>
      </c>
      <c r="D68" s="41">
        <f>(I25-$F$40)/$G$40</f>
        <v>7.4931385950906079E-2</v>
      </c>
      <c r="E68" s="41">
        <f>(J25-$J$40)/$K$40</f>
        <v>0.6454972243679028</v>
      </c>
      <c r="F68" s="43">
        <f>(K25-$H$40)/$I$40</f>
        <v>0.6454972243679028</v>
      </c>
      <c r="G68" s="41">
        <f>(L25-$L$40)/$M$40</f>
        <v>0.40824829046386296</v>
      </c>
      <c r="H68" s="155">
        <f>IF($O$40=0,0,((M25-$N$40)/$O$40))</f>
        <v>0</v>
      </c>
      <c r="I68" s="155">
        <f>IF($Q$40=0,0,((N25-$P$40)/$Q$40))</f>
        <v>-0.40824829046386302</v>
      </c>
      <c r="J68" s="24"/>
      <c r="K68" s="24"/>
      <c r="L68" s="24"/>
      <c r="M68" s="24"/>
      <c r="N68" s="24"/>
      <c r="O68" s="24"/>
      <c r="P68" s="24"/>
      <c r="Q68" s="24"/>
    </row>
    <row r="69" spans="1:17">
      <c r="A69" s="101" t="s">
        <v>92</v>
      </c>
      <c r="B69" s="42" t="s">
        <v>123</v>
      </c>
      <c r="C69" s="43">
        <f>(D26-$D$41)/$E$41</f>
        <v>0.25134501050359126</v>
      </c>
      <c r="D69" s="41">
        <f>(I26-$F$41)/$G$41</f>
        <v>-0.17656552260331651</v>
      </c>
      <c r="E69" s="41">
        <f>(J26-$J$41)/$K$41</f>
        <v>0.6454972243679028</v>
      </c>
      <c r="F69" s="43">
        <f>(K26-$H$41)/$I$41</f>
        <v>0</v>
      </c>
      <c r="G69" s="41">
        <f>(L26-$L$41)/$M$41</f>
        <v>0.40824829046386296</v>
      </c>
      <c r="H69" s="155">
        <f>IF($O$41=0,0,((M26-$N$41)/$O$41))</f>
        <v>-0.40824829046386302</v>
      </c>
      <c r="I69" s="155">
        <f>IF($Q$41=0,0,((N26-$P$41)/$Q$41))</f>
        <v>-0.40824829046386302</v>
      </c>
      <c r="J69" s="24"/>
      <c r="K69" s="24"/>
      <c r="L69" s="24"/>
      <c r="M69" s="24"/>
      <c r="N69" s="24"/>
      <c r="O69" s="24"/>
      <c r="P69" s="24"/>
      <c r="Q69" s="24"/>
    </row>
    <row r="70" spans="1:17">
      <c r="A70" s="25" t="s">
        <v>89</v>
      </c>
      <c r="B70" s="34" t="s">
        <v>26</v>
      </c>
      <c r="C70" s="43">
        <f>(D27-$D$37)/$E$37</f>
        <v>-1.050733043150812</v>
      </c>
      <c r="D70" s="41">
        <f>(I27-$F$37)/$G$37</f>
        <v>1.2245078614949916</v>
      </c>
      <c r="E70" s="41">
        <f>(J27-$J$37)/$K$37</f>
        <v>-1.2909944487358054</v>
      </c>
      <c r="F70" s="43">
        <f>(K27-$H$37)/$I$37</f>
        <v>-1.2909944487358054</v>
      </c>
      <c r="G70" s="41">
        <f>(L27-$L$37)/$M$37</f>
        <v>-2.0412414523193156</v>
      </c>
      <c r="H70" s="155">
        <f>IF($O$37=0,0,((M27-$N$37)/$O$37))</f>
        <v>0</v>
      </c>
      <c r="I70" s="155">
        <f>IF($Q$37=0,0,((N27-$P$37)/$Q$37))</f>
        <v>-0.40824829046386302</v>
      </c>
      <c r="J70" s="24"/>
      <c r="K70" s="24"/>
      <c r="L70" s="24"/>
      <c r="M70" s="24"/>
      <c r="N70" s="24"/>
      <c r="O70" s="24"/>
      <c r="P70" s="24"/>
      <c r="Q70" s="24"/>
    </row>
    <row r="71" spans="1:17" s="24" customFormat="1" ht="14.25" customHeight="1">
      <c r="A71" s="25" t="s">
        <v>90</v>
      </c>
      <c r="B71" s="34" t="s">
        <v>27</v>
      </c>
      <c r="C71" s="43">
        <f>(D28-$D$38)/$E$38</f>
        <v>-0.61771443624148192</v>
      </c>
      <c r="D71" s="41">
        <f>(I28-$F$38)/$G$38</f>
        <v>1.3984483702850949</v>
      </c>
      <c r="E71" s="41">
        <f>(J28-$J$38)/$K$38</f>
        <v>-1.2909944487358054</v>
      </c>
      <c r="F71" s="43">
        <f>(K28-$H$38)/$I$38</f>
        <v>0.40824829046386307</v>
      </c>
      <c r="G71" s="41">
        <f>(L28-$L$38)/$M$38</f>
        <v>-2.0412414523193156</v>
      </c>
      <c r="H71" s="155">
        <f>IF($O$38=0,0,((M28-$N$38)/$O$38))</f>
        <v>0</v>
      </c>
      <c r="I71" s="155">
        <f>IF($Q$38=0,0,((N28-$P$38)/$Q$38))</f>
        <v>-0.40824829046386302</v>
      </c>
    </row>
    <row r="72" spans="1:17" s="24" customFormat="1">
      <c r="A72" s="25" t="s">
        <v>91</v>
      </c>
      <c r="B72" s="34" t="s">
        <v>28</v>
      </c>
      <c r="C72" s="43">
        <f>(D29-$D$39)/$E$39</f>
        <v>-0.63406614599654632</v>
      </c>
      <c r="D72" s="41">
        <f>(I29-$F$39)/$G$39</f>
        <v>1.5050887213474997</v>
      </c>
      <c r="E72" s="41">
        <f>(J29-$J$39)/$K$39</f>
        <v>-1.2909944487358054</v>
      </c>
      <c r="F72" s="43">
        <f>(K29-$H$39)/$I$39</f>
        <v>-0.14256648712805023</v>
      </c>
      <c r="G72" s="41">
        <f>(L29-$L$39)/$M$39</f>
        <v>-2.0412414523193156</v>
      </c>
      <c r="H72" s="155">
        <f>IF($O$39=0,0,((M29-$N$39)/$O$39))</f>
        <v>0</v>
      </c>
      <c r="I72" s="155">
        <f>IF($Q$39=0,0,((N29-$P$39)/$Q$39))</f>
        <v>-0.9128709291752769</v>
      </c>
    </row>
    <row r="73" spans="1:17" s="24" customFormat="1">
      <c r="A73" s="25" t="s">
        <v>107</v>
      </c>
      <c r="B73" s="34" t="s">
        <v>29</v>
      </c>
      <c r="C73" s="43">
        <f>(D30-$D$40)/$E$40</f>
        <v>-1.165677161002403</v>
      </c>
      <c r="D73" s="41">
        <f>(I30-$F$40)/$G$40</f>
        <v>0.91760555531514354</v>
      </c>
      <c r="E73" s="41">
        <f>(J30-$J$40)/$K$40</f>
        <v>-1.2909944487358054</v>
      </c>
      <c r="F73" s="43">
        <f>(K30-$H$40)/$I$40</f>
        <v>-1.2909944487358054</v>
      </c>
      <c r="G73" s="41">
        <f>(L30-$L$40)/$M$40</f>
        <v>-2.0412414523193156</v>
      </c>
      <c r="H73" s="155">
        <f>IF($O$40=0,0,((M30-$N$40)/$O$40))</f>
        <v>0</v>
      </c>
      <c r="I73" s="155">
        <f>IF($Q$40=0,0,((N30-$P$40)/$Q$40))</f>
        <v>-0.40824829046386302</v>
      </c>
    </row>
    <row r="74" spans="1:17" s="24" customFormat="1">
      <c r="A74" s="25" t="s">
        <v>92</v>
      </c>
      <c r="B74" s="34" t="s">
        <v>30</v>
      </c>
      <c r="C74" s="43">
        <f>(D31-$D$41)/$E$41</f>
        <v>-0.20532130014599123</v>
      </c>
      <c r="D74" s="41">
        <f>(I31-$F$41)/$G$41</f>
        <v>1.6920377680976706</v>
      </c>
      <c r="E74" s="41">
        <f>(J31-$J$41)/$K$41</f>
        <v>-1.2909944487358054</v>
      </c>
      <c r="F74" s="43">
        <f>(K31-$H$41)/$I$41</f>
        <v>0</v>
      </c>
      <c r="G74" s="41">
        <f>(L31-$L$41)/$M$41</f>
        <v>-2.0412414523193156</v>
      </c>
      <c r="H74" s="155">
        <f>IF($O$41=0,0,((M31-$N$41)/$O$41))</f>
        <v>-0.40824829046386302</v>
      </c>
      <c r="I74" s="155">
        <f>IF($Q$41=0,0,((N31-$P$41)/$Q$41))</f>
        <v>-0.40824829046386302</v>
      </c>
    </row>
    <row r="75" spans="1:17" s="24" customFormat="1" ht="15.75" customHeight="1" thickBot="1">
      <c r="B75" s="28"/>
      <c r="C75" s="36"/>
      <c r="G75" s="30"/>
    </row>
    <row r="76" spans="1:17" s="24" customFormat="1" ht="15.75" customHeight="1" thickBot="1">
      <c r="A76" s="126" t="s">
        <v>62</v>
      </c>
      <c r="B76" s="127"/>
      <c r="C76" s="127"/>
      <c r="D76" s="127"/>
      <c r="E76" s="127"/>
      <c r="F76" s="127"/>
      <c r="G76" s="127"/>
      <c r="H76" s="127"/>
      <c r="I76" s="128"/>
    </row>
    <row r="77" spans="1:17" s="24" customFormat="1" ht="15.75" customHeight="1">
      <c r="A77" s="122"/>
      <c r="B77" s="123" t="s">
        <v>141</v>
      </c>
      <c r="C77" s="124" t="s">
        <v>113</v>
      </c>
      <c r="D77" s="124" t="s">
        <v>343</v>
      </c>
      <c r="E77" s="124" t="s">
        <v>102</v>
      </c>
      <c r="F77" s="124" t="s">
        <v>99</v>
      </c>
      <c r="G77" s="124" t="s">
        <v>100</v>
      </c>
      <c r="H77" s="125" t="s">
        <v>101</v>
      </c>
      <c r="I77" s="125" t="s">
        <v>52</v>
      </c>
      <c r="J77" s="129"/>
    </row>
    <row r="78" spans="1:17" s="24" customFormat="1" ht="15.75" customHeight="1">
      <c r="A78" s="101" t="s">
        <v>89</v>
      </c>
      <c r="B78" s="42" t="s">
        <v>124</v>
      </c>
      <c r="C78" s="156">
        <f>C45*InputsAssumptions!$C$3</f>
        <v>-0.32290182613605711</v>
      </c>
      <c r="D78" s="157">
        <f>D45*InputsAssumptions!$C$4</f>
        <v>-5.2358958314169213</v>
      </c>
      <c r="E78" s="158">
        <f>E45*InputsAssumptions!$C$5</f>
        <v>0.6454972243679028</v>
      </c>
      <c r="F78" s="156">
        <f>F45*InputsAssumptions!$C$6</f>
        <v>0</v>
      </c>
      <c r="G78" s="158">
        <f>G45*InputsAssumptions!$C$7</f>
        <v>0</v>
      </c>
      <c r="H78" s="158">
        <f>H45*InputsAssumptions!$C$8</f>
        <v>0</v>
      </c>
      <c r="I78" s="158">
        <f>I45*InputsAssumptions!$C$9</f>
        <v>-0.40824829046386302</v>
      </c>
      <c r="J78" s="37"/>
    </row>
    <row r="79" spans="1:17" s="24" customFormat="1" ht="15.75" customHeight="1">
      <c r="A79" s="25" t="s">
        <v>90</v>
      </c>
      <c r="B79" s="34" t="s">
        <v>125</v>
      </c>
      <c r="C79" s="156">
        <f>C46*InputsAssumptions!$C$3</f>
        <v>-0.46905221893385435</v>
      </c>
      <c r="D79" s="157">
        <f>D46*InputsAssumptions!$C$4</f>
        <v>-5.2775404079125305</v>
      </c>
      <c r="E79" s="158">
        <f>E46*InputsAssumptions!$C$5</f>
        <v>0.6454972243679028</v>
      </c>
      <c r="F79" s="156">
        <f>F46*InputsAssumptions!$C$6</f>
        <v>0</v>
      </c>
      <c r="G79" s="158">
        <f>G46*InputsAssumptions!$C$7</f>
        <v>0</v>
      </c>
      <c r="H79" s="158">
        <f>H46*InputsAssumptions!$C$8</f>
        <v>0</v>
      </c>
      <c r="I79" s="158">
        <f>I46*InputsAssumptions!$C$9</f>
        <v>-0.40824829046386302</v>
      </c>
      <c r="J79" s="37"/>
    </row>
    <row r="80" spans="1:17" s="24" customFormat="1" ht="15.75" customHeight="1">
      <c r="A80" s="25" t="s">
        <v>91</v>
      </c>
      <c r="B80" s="34" t="s">
        <v>126</v>
      </c>
      <c r="C80" s="156">
        <f>C47*InputsAssumptions!$C$3</f>
        <v>-0.46417740946494801</v>
      </c>
      <c r="D80" s="157">
        <f>D47*InputsAssumptions!$C$4</f>
        <v>-5.2689249441466384</v>
      </c>
      <c r="E80" s="158">
        <f>E47*InputsAssumptions!$C$5</f>
        <v>0.6454972243679028</v>
      </c>
      <c r="F80" s="156">
        <f>F47*InputsAssumptions!$C$6</f>
        <v>0</v>
      </c>
      <c r="G80" s="158">
        <f>G47*InputsAssumptions!$C$7</f>
        <v>0</v>
      </c>
      <c r="H80" s="158">
        <f>H47*InputsAssumptions!$C$8</f>
        <v>0</v>
      </c>
      <c r="I80" s="158">
        <f>I47*InputsAssumptions!$C$9</f>
        <v>-0.9128709291752769</v>
      </c>
      <c r="J80" s="37"/>
    </row>
    <row r="81" spans="1:10" s="24" customFormat="1" ht="15.75" customHeight="1">
      <c r="A81" s="25" t="s">
        <v>107</v>
      </c>
      <c r="B81" s="34" t="s">
        <v>127</v>
      </c>
      <c r="C81" s="156">
        <f>C48*InputsAssumptions!$C$3</f>
        <v>-0.27726099688510913</v>
      </c>
      <c r="D81" s="157">
        <f>D48*InputsAssumptions!$C$4</f>
        <v>-5.0365471958121057</v>
      </c>
      <c r="E81" s="158">
        <f>E48*InputsAssumptions!$C$5</f>
        <v>0.6454972243679028</v>
      </c>
      <c r="F81" s="156">
        <f>F48*InputsAssumptions!$C$6</f>
        <v>0</v>
      </c>
      <c r="G81" s="158">
        <f>G48*InputsAssumptions!$C$7</f>
        <v>0</v>
      </c>
      <c r="H81" s="158">
        <f>H48*InputsAssumptions!$C$8</f>
        <v>0</v>
      </c>
      <c r="I81" s="158">
        <f>I48*InputsAssumptions!$C$9</f>
        <v>-0.40824829046386302</v>
      </c>
      <c r="J81" s="37"/>
    </row>
    <row r="82" spans="1:10" s="24" customFormat="1" ht="15.75" customHeight="1">
      <c r="A82" s="25" t="s">
        <v>92</v>
      </c>
      <c r="B82" s="34" t="s">
        <v>128</v>
      </c>
      <c r="C82" s="156">
        <f>C49*InputsAssumptions!$C$3</f>
        <v>-0.57752989057320003</v>
      </c>
      <c r="D82" s="157">
        <f>D49*InputsAssumptions!$C$4</f>
        <v>-5.1652534757296529</v>
      </c>
      <c r="E82" s="158">
        <f>E49*InputsAssumptions!$C$5</f>
        <v>0.6454972243679028</v>
      </c>
      <c r="F82" s="156">
        <f>F49*InputsAssumptions!$C$6</f>
        <v>0</v>
      </c>
      <c r="G82" s="158">
        <f>G49*InputsAssumptions!$C$7</f>
        <v>0</v>
      </c>
      <c r="H82" s="158">
        <f>H49*InputsAssumptions!$C$8</f>
        <v>-0.40824829046386302</v>
      </c>
      <c r="I82" s="158">
        <f>I49*InputsAssumptions!$C$9</f>
        <v>-0.40824829046386302</v>
      </c>
      <c r="J82" s="37"/>
    </row>
    <row r="83" spans="1:10" s="24" customFormat="1" ht="15.75" customHeight="1">
      <c r="A83" s="25" t="s">
        <v>89</v>
      </c>
      <c r="B83" s="34" t="s">
        <v>114</v>
      </c>
      <c r="C83" s="156">
        <f>C50*InputsAssumptions!$C$3</f>
        <v>1.5079650454776548</v>
      </c>
      <c r="D83" s="157">
        <f>D50*InputsAssumptions!$C$4</f>
        <v>10.720507467523529</v>
      </c>
      <c r="E83" s="158">
        <f>E50*InputsAssumptions!$C$5</f>
        <v>-1.2909944487358054</v>
      </c>
      <c r="F83" s="156">
        <f>F50*InputsAssumptions!$C$6</f>
        <v>0</v>
      </c>
      <c r="G83" s="158">
        <f>G50*InputsAssumptions!$C$7</f>
        <v>0</v>
      </c>
      <c r="H83" s="158">
        <f>H50*InputsAssumptions!$C$8</f>
        <v>0</v>
      </c>
      <c r="I83" s="158">
        <f>I50*InputsAssumptions!$C$9</f>
        <v>2.0412414523193152</v>
      </c>
      <c r="J83" s="37"/>
    </row>
    <row r="84" spans="1:10" s="24" customFormat="1" ht="15.75" customHeight="1">
      <c r="A84" s="101" t="s">
        <v>90</v>
      </c>
      <c r="B84" s="42" t="s">
        <v>115</v>
      </c>
      <c r="C84" s="156">
        <f>C51*InputsAssumptions!$C$3</f>
        <v>1.5663402096456358</v>
      </c>
      <c r="D84" s="157">
        <f>D51*InputsAssumptions!$C$4</f>
        <v>9.2502180764430726</v>
      </c>
      <c r="E84" s="158">
        <f>E51*InputsAssumptions!$C$5</f>
        <v>-1.2909944487358054</v>
      </c>
      <c r="F84" s="156">
        <f>F51*InputsAssumptions!$C$6</f>
        <v>0</v>
      </c>
      <c r="G84" s="158">
        <f>G51*InputsAssumptions!$C$7</f>
        <v>0</v>
      </c>
      <c r="H84" s="158">
        <f>H51*InputsAssumptions!$C$8</f>
        <v>0</v>
      </c>
      <c r="I84" s="158">
        <f>I51*InputsAssumptions!$C$9</f>
        <v>2.0412414523193152</v>
      </c>
      <c r="J84" s="37"/>
    </row>
    <row r="85" spans="1:10" s="24" customFormat="1" ht="15.75" customHeight="1">
      <c r="A85" s="25" t="s">
        <v>91</v>
      </c>
      <c r="B85" s="34" t="s">
        <v>116</v>
      </c>
      <c r="C85" s="156">
        <f>C52*InputsAssumptions!$C$3</f>
        <v>1.5657041382386219</v>
      </c>
      <c r="D85" s="157">
        <f>D52*InputsAssumptions!$C$4</f>
        <v>8.203234634823442</v>
      </c>
      <c r="E85" s="158">
        <f>E52*InputsAssumptions!$C$5</f>
        <v>-1.2909944487358054</v>
      </c>
      <c r="F85" s="156">
        <f>F52*InputsAssumptions!$C$6</f>
        <v>0</v>
      </c>
      <c r="G85" s="158">
        <f>G52*InputsAssumptions!$C$7</f>
        <v>0</v>
      </c>
      <c r="H85" s="158">
        <f>H52*InputsAssumptions!$C$8</f>
        <v>0</v>
      </c>
      <c r="I85" s="158">
        <f>I52*InputsAssumptions!$C$9</f>
        <v>0.9128709291752769</v>
      </c>
      <c r="J85" s="37"/>
    </row>
    <row r="86" spans="1:10">
      <c r="A86" s="25" t="s">
        <v>107</v>
      </c>
      <c r="B86" s="34" t="s">
        <v>117</v>
      </c>
      <c r="C86" s="156">
        <f>C53*InputsAssumptions!$C$3</f>
        <v>1.4758028008025741</v>
      </c>
      <c r="D86" s="157">
        <f>D53*InputsAssumptions!$C$4</f>
        <v>12.778108416089122</v>
      </c>
      <c r="E86" s="158">
        <f>E53*InputsAssumptions!$C$5</f>
        <v>-1.2909944487358054</v>
      </c>
      <c r="F86" s="156">
        <f>F53*InputsAssumptions!$C$6</f>
        <v>0</v>
      </c>
      <c r="G86" s="158">
        <f>G53*InputsAssumptions!$C$7</f>
        <v>0</v>
      </c>
      <c r="H86" s="158">
        <f>H53*InputsAssumptions!$C$8</f>
        <v>0</v>
      </c>
      <c r="I86" s="158">
        <f>I53*InputsAssumptions!$C$9</f>
        <v>2.0412414523193152</v>
      </c>
      <c r="J86" s="37"/>
    </row>
    <row r="87" spans="1:10">
      <c r="A87" s="25" t="s">
        <v>92</v>
      </c>
      <c r="B87" s="34" t="s">
        <v>118</v>
      </c>
      <c r="C87" s="156">
        <f>C54*InputsAssumptions!$C$3</f>
        <v>1.5471617198780472</v>
      </c>
      <c r="D87" s="157">
        <f>D54*InputsAssumptions!$C$4</f>
        <v>5.9902202743618105</v>
      </c>
      <c r="E87" s="158">
        <f>E54*InputsAssumptions!$C$5</f>
        <v>-1.2909944487358054</v>
      </c>
      <c r="F87" s="156">
        <f>F54*InputsAssumptions!$C$6</f>
        <v>0</v>
      </c>
      <c r="G87" s="158">
        <f>G54*InputsAssumptions!$C$7</f>
        <v>0</v>
      </c>
      <c r="H87" s="158">
        <f>H54*InputsAssumptions!$C$8</f>
        <v>2.0412414523193152</v>
      </c>
      <c r="I87" s="158">
        <f>I54*InputsAssumptions!$C$9</f>
        <v>2.0412414523193152</v>
      </c>
      <c r="J87" s="37"/>
    </row>
    <row r="88" spans="1:10">
      <c r="A88" s="25" t="s">
        <v>89</v>
      </c>
      <c r="B88" s="34" t="s">
        <v>129</v>
      </c>
      <c r="C88" s="156">
        <f>C55*InputsAssumptions!$C$3</f>
        <v>-1.0459143563369546</v>
      </c>
      <c r="D88" s="157">
        <f>D55*InputsAssumptions!$C$4</f>
        <v>-10.058068721095264</v>
      </c>
      <c r="E88" s="158">
        <f>E55*InputsAssumptions!$C$5</f>
        <v>0.6454972243679028</v>
      </c>
      <c r="F88" s="156">
        <f>F55*InputsAssumptions!$C$6</f>
        <v>0</v>
      </c>
      <c r="G88" s="158">
        <f>G55*InputsAssumptions!$C$7</f>
        <v>0</v>
      </c>
      <c r="H88" s="158">
        <f>H55*InputsAssumptions!$C$8</f>
        <v>0</v>
      </c>
      <c r="I88" s="158">
        <f>I55*InputsAssumptions!$C$9</f>
        <v>-0.40824829046386302</v>
      </c>
      <c r="J88" s="37"/>
    </row>
    <row r="89" spans="1:10">
      <c r="A89" s="25" t="s">
        <v>90</v>
      </c>
      <c r="B89" s="34" t="s">
        <v>130</v>
      </c>
      <c r="C89" s="156">
        <f>C56*InputsAssumptions!$C$3</f>
        <v>-1.2728322493420394</v>
      </c>
      <c r="D89" s="157">
        <f>D56*InputsAssumptions!$C$4</f>
        <v>-9.667963600318684</v>
      </c>
      <c r="E89" s="158">
        <f>E56*InputsAssumptions!$C$5</f>
        <v>0.6454972243679028</v>
      </c>
      <c r="F89" s="156">
        <f>F56*InputsAssumptions!$C$6</f>
        <v>0</v>
      </c>
      <c r="G89" s="158">
        <f>G56*InputsAssumptions!$C$7</f>
        <v>0</v>
      </c>
      <c r="H89" s="158">
        <f>H56*InputsAssumptions!$C$8</f>
        <v>0</v>
      </c>
      <c r="I89" s="158">
        <f>I56*InputsAssumptions!$C$9</f>
        <v>-0.40824829046386302</v>
      </c>
      <c r="J89" s="37"/>
    </row>
    <row r="90" spans="1:10">
      <c r="A90" s="101" t="s">
        <v>91</v>
      </c>
      <c r="B90" s="42" t="s">
        <v>131</v>
      </c>
      <c r="C90" s="156">
        <f>C57*InputsAssumptions!$C$3</f>
        <v>-1.2657811833754538</v>
      </c>
      <c r="D90" s="157">
        <f>D57*InputsAssumptions!$C$4</f>
        <v>-9.3403363687653602</v>
      </c>
      <c r="E90" s="158">
        <f>E57*InputsAssumptions!$C$5</f>
        <v>0.6454972243679028</v>
      </c>
      <c r="F90" s="156">
        <f>F57*InputsAssumptions!$C$6</f>
        <v>0</v>
      </c>
      <c r="G90" s="158">
        <f>G57*InputsAssumptions!$C$7</f>
        <v>0</v>
      </c>
      <c r="H90" s="158">
        <f>H57*InputsAssumptions!$C$8</f>
        <v>0</v>
      </c>
      <c r="I90" s="158">
        <f>I57*InputsAssumptions!$C$9</f>
        <v>-0.9128709291752769</v>
      </c>
      <c r="J90" s="37"/>
    </row>
    <row r="91" spans="1:10">
      <c r="A91" s="25" t="s">
        <v>107</v>
      </c>
      <c r="B91" s="34" t="s">
        <v>132</v>
      </c>
      <c r="C91" s="156">
        <f>C58*InputsAssumptions!$C$3</f>
        <v>-0.96954895709742805</v>
      </c>
      <c r="D91" s="157">
        <f>D58*InputsAssumptions!$C$4</f>
        <v>-10.42030114845697</v>
      </c>
      <c r="E91" s="158">
        <f>E58*InputsAssumptions!$C$5</f>
        <v>0.6454972243679028</v>
      </c>
      <c r="F91" s="156">
        <f>F58*InputsAssumptions!$C$6</f>
        <v>0</v>
      </c>
      <c r="G91" s="158">
        <f>G58*InputsAssumptions!$C$7</f>
        <v>0</v>
      </c>
      <c r="H91" s="158">
        <f>H58*InputsAssumptions!$C$8</f>
        <v>0</v>
      </c>
      <c r="I91" s="158">
        <f>I58*InputsAssumptions!$C$9</f>
        <v>-0.40824829046386302</v>
      </c>
      <c r="J91" s="37"/>
    </row>
    <row r="92" spans="1:10">
      <c r="A92" s="25" t="s">
        <v>92</v>
      </c>
      <c r="B92" s="34" t="s">
        <v>133</v>
      </c>
      <c r="C92" s="156">
        <f>C59*InputsAssumptions!$C$3</f>
        <v>-1.416574324107027</v>
      </c>
      <c r="D92" s="157">
        <f>D59*InputsAssumptions!$C$4</f>
        <v>-8.5365409821554596</v>
      </c>
      <c r="E92" s="158">
        <f>E59*InputsAssumptions!$C$5</f>
        <v>0.6454972243679028</v>
      </c>
      <c r="F92" s="156">
        <f>F59*InputsAssumptions!$C$6</f>
        <v>0</v>
      </c>
      <c r="G92" s="158">
        <f>G59*InputsAssumptions!$C$7</f>
        <v>0</v>
      </c>
      <c r="H92" s="158">
        <f>H59*InputsAssumptions!$C$8</f>
        <v>-0.40824829046386302</v>
      </c>
      <c r="I92" s="158">
        <f>I59*InputsAssumptions!$C$9</f>
        <v>-0.40824829046386302</v>
      </c>
      <c r="J92" s="37"/>
    </row>
    <row r="93" spans="1:10">
      <c r="A93" s="25" t="s">
        <v>89</v>
      </c>
      <c r="B93" s="34" t="s">
        <v>108</v>
      </c>
      <c r="C93" s="156">
        <f>C60*InputsAssumptions!$C$3</f>
        <v>0.52023665845744249</v>
      </c>
      <c r="D93" s="157">
        <f>D60*InputsAssumptions!$C$4</f>
        <v>-6.3264386418500491</v>
      </c>
      <c r="E93" s="158">
        <f>E60*InputsAssumptions!$C$5</f>
        <v>0.6454972243679028</v>
      </c>
      <c r="F93" s="156">
        <f>F60*InputsAssumptions!$C$6</f>
        <v>0</v>
      </c>
      <c r="G93" s="158">
        <f>G60*InputsAssumptions!$C$7</f>
        <v>0</v>
      </c>
      <c r="H93" s="158">
        <f>H60*InputsAssumptions!$C$8</f>
        <v>0</v>
      </c>
      <c r="I93" s="158">
        <f>I60*InputsAssumptions!$C$9</f>
        <v>-0.40824829046386302</v>
      </c>
      <c r="J93" s="37"/>
    </row>
    <row r="94" spans="1:10">
      <c r="A94" s="25" t="s">
        <v>90</v>
      </c>
      <c r="B94" s="34" t="s">
        <v>109</v>
      </c>
      <c r="C94" s="156">
        <f>C61*InputsAssumptions!$C$3</f>
        <v>0.46827299809463441</v>
      </c>
      <c r="D94" s="157">
        <f>D61*InputsAssumptions!$C$4</f>
        <v>-6.2704422711961545</v>
      </c>
      <c r="E94" s="158">
        <f>E61*InputsAssumptions!$C$5</f>
        <v>0.6454972243679028</v>
      </c>
      <c r="F94" s="156">
        <f>F61*InputsAssumptions!$C$6</f>
        <v>0</v>
      </c>
      <c r="G94" s="158">
        <f>G61*InputsAssumptions!$C$7</f>
        <v>0</v>
      </c>
      <c r="H94" s="158">
        <f>H61*InputsAssumptions!$C$8</f>
        <v>0</v>
      </c>
      <c r="I94" s="158">
        <f>I61*InputsAssumptions!$C$9</f>
        <v>-0.40824829046386302</v>
      </c>
      <c r="J94" s="37"/>
    </row>
    <row r="95" spans="1:10">
      <c r="A95" s="25" t="s">
        <v>91</v>
      </c>
      <c r="B95" s="34" t="s">
        <v>110</v>
      </c>
      <c r="C95" s="156">
        <f>C62*InputsAssumptions!$C$3</f>
        <v>0.47060997380700875</v>
      </c>
      <c r="D95" s="157">
        <f>D62*InputsAssumptions!$C$4</f>
        <v>-6.1896817396852164</v>
      </c>
      <c r="E95" s="158">
        <f>E62*InputsAssumptions!$C$5</f>
        <v>0.6454972243679028</v>
      </c>
      <c r="F95" s="156">
        <f>F62*InputsAssumptions!$C$6</f>
        <v>0</v>
      </c>
      <c r="G95" s="158">
        <f>G62*InputsAssumptions!$C$7</f>
        <v>0</v>
      </c>
      <c r="H95" s="158">
        <f>H62*InputsAssumptions!$C$8</f>
        <v>0</v>
      </c>
      <c r="I95" s="158">
        <f>I62*InputsAssumptions!$C$9</f>
        <v>0.9128709291752769</v>
      </c>
      <c r="J95" s="37"/>
    </row>
    <row r="96" spans="1:10">
      <c r="A96" s="101" t="s">
        <v>107</v>
      </c>
      <c r="B96" s="42" t="s">
        <v>111</v>
      </c>
      <c r="C96" s="156">
        <f>C63*InputsAssumptions!$C$3</f>
        <v>0.53004813994762723</v>
      </c>
      <c r="D96" s="157">
        <f>D63*InputsAssumptions!$C$4</f>
        <v>-6.2540925432144938</v>
      </c>
      <c r="E96" s="158">
        <f>E63*InputsAssumptions!$C$5</f>
        <v>0.6454972243679028</v>
      </c>
      <c r="F96" s="156">
        <f>F63*InputsAssumptions!$C$6</f>
        <v>0</v>
      </c>
      <c r="G96" s="158">
        <f>G63*InputsAssumptions!$C$7</f>
        <v>0</v>
      </c>
      <c r="H96" s="158">
        <f>H63*InputsAssumptions!$C$8</f>
        <v>0</v>
      </c>
      <c r="I96" s="158">
        <f>I63*InputsAssumptions!$C$9</f>
        <v>-0.40824829046386302</v>
      </c>
      <c r="J96" s="37"/>
    </row>
    <row r="97" spans="1:10">
      <c r="A97" s="25" t="s">
        <v>92</v>
      </c>
      <c r="B97" s="34" t="s">
        <v>112</v>
      </c>
      <c r="C97" s="156">
        <f>C64*InputsAssumptions!$C$3</f>
        <v>0.40091878444458146</v>
      </c>
      <c r="D97" s="157">
        <f>D64*InputsAssumptions!$C$4</f>
        <v>-5.9276760259258809</v>
      </c>
      <c r="E97" s="158">
        <f>E64*InputsAssumptions!$C$5</f>
        <v>0.6454972243679028</v>
      </c>
      <c r="F97" s="156">
        <f>F64*InputsAssumptions!$C$6</f>
        <v>0</v>
      </c>
      <c r="G97" s="158">
        <f>G64*InputsAssumptions!$C$7</f>
        <v>0</v>
      </c>
      <c r="H97" s="158">
        <f>H64*InputsAssumptions!$C$8</f>
        <v>-0.40824829046386302</v>
      </c>
      <c r="I97" s="158">
        <f>I64*InputsAssumptions!$C$9</f>
        <v>-0.40824829046386302</v>
      </c>
      <c r="J97" s="37"/>
    </row>
    <row r="98" spans="1:10">
      <c r="A98" s="25" t="s">
        <v>89</v>
      </c>
      <c r="B98" s="34" t="s">
        <v>119</v>
      </c>
      <c r="C98" s="156">
        <f>C65*InputsAssumptions!$C$3</f>
        <v>0.39134752168872577</v>
      </c>
      <c r="D98" s="157">
        <f>D65*InputsAssumptions!$C$4</f>
        <v>-0.12067502661622057</v>
      </c>
      <c r="E98" s="158">
        <f>E65*InputsAssumptions!$C$5</f>
        <v>0.6454972243679028</v>
      </c>
      <c r="F98" s="156">
        <f>F65*InputsAssumptions!$C$6</f>
        <v>0</v>
      </c>
      <c r="G98" s="158">
        <f>G65*InputsAssumptions!$C$7</f>
        <v>0</v>
      </c>
      <c r="H98" s="158">
        <f>H65*InputsAssumptions!$C$8</f>
        <v>0</v>
      </c>
      <c r="I98" s="158">
        <f>I65*InputsAssumptions!$C$9</f>
        <v>-0.40824829046386302</v>
      </c>
      <c r="J98" s="37"/>
    </row>
    <row r="99" spans="1:10">
      <c r="A99" s="25" t="s">
        <v>90</v>
      </c>
      <c r="B99" s="34" t="s">
        <v>120</v>
      </c>
      <c r="C99" s="156">
        <f>C66*InputsAssumptions!$C$3</f>
        <v>0.32498569677710742</v>
      </c>
      <c r="D99" s="157">
        <f>D66*InputsAssumptions!$C$4</f>
        <v>-0.6203071295815572</v>
      </c>
      <c r="E99" s="158">
        <f>E66*InputsAssumptions!$C$5</f>
        <v>0.6454972243679028</v>
      </c>
      <c r="F99" s="156">
        <f>F66*InputsAssumptions!$C$6</f>
        <v>0</v>
      </c>
      <c r="G99" s="158">
        <f>G66*InputsAssumptions!$C$7</f>
        <v>0</v>
      </c>
      <c r="H99" s="158">
        <f>H66*InputsAssumptions!$C$8</f>
        <v>0</v>
      </c>
      <c r="I99" s="158">
        <f>I66*InputsAssumptions!$C$9</f>
        <v>-0.40824829046386302</v>
      </c>
      <c r="J99" s="37"/>
    </row>
    <row r="100" spans="1:10">
      <c r="A100" s="25" t="s">
        <v>91</v>
      </c>
      <c r="B100" s="34" t="s">
        <v>121</v>
      </c>
      <c r="C100" s="156">
        <f>C67*InputsAssumptions!$C$3</f>
        <v>0.32771062679131741</v>
      </c>
      <c r="D100" s="157">
        <f>D67*InputsAssumptions!$C$4</f>
        <v>-0.95009007435372428</v>
      </c>
      <c r="E100" s="158">
        <f>E67*InputsAssumptions!$C$5</f>
        <v>0.6454972243679028</v>
      </c>
      <c r="F100" s="156">
        <f>F67*InputsAssumptions!$C$6</f>
        <v>0</v>
      </c>
      <c r="G100" s="158">
        <f>G67*InputsAssumptions!$C$7</f>
        <v>0</v>
      </c>
      <c r="H100" s="158">
        <f>H67*InputsAssumptions!$C$8</f>
        <v>0</v>
      </c>
      <c r="I100" s="158">
        <f>I67*InputsAssumptions!$C$9</f>
        <v>0.9128709291752769</v>
      </c>
      <c r="J100" s="37"/>
    </row>
    <row r="101" spans="1:10">
      <c r="A101" s="25" t="s">
        <v>107</v>
      </c>
      <c r="B101" s="34" t="s">
        <v>122</v>
      </c>
      <c r="C101" s="156">
        <f>C68*InputsAssumptions!$C$3</f>
        <v>0.40663617423473875</v>
      </c>
      <c r="D101" s="157">
        <f>D68*InputsAssumptions!$C$4</f>
        <v>0.67438247355815473</v>
      </c>
      <c r="E101" s="158">
        <f>E68*InputsAssumptions!$C$5</f>
        <v>0.6454972243679028</v>
      </c>
      <c r="F101" s="156">
        <f>F68*InputsAssumptions!$C$6</f>
        <v>0</v>
      </c>
      <c r="G101" s="158">
        <f>G68*InputsAssumptions!$C$7</f>
        <v>0</v>
      </c>
      <c r="H101" s="158">
        <f>H68*InputsAssumptions!$C$8</f>
        <v>0</v>
      </c>
      <c r="I101" s="158">
        <f>I68*InputsAssumptions!$C$9</f>
        <v>-0.40824829046386302</v>
      </c>
      <c r="J101" s="37"/>
    </row>
    <row r="102" spans="1:10">
      <c r="A102" s="101" t="s">
        <v>92</v>
      </c>
      <c r="B102" s="42" t="s">
        <v>123</v>
      </c>
      <c r="C102" s="156">
        <f>C69*InputsAssumptions!$C$3</f>
        <v>0.25134501050359126</v>
      </c>
      <c r="D102" s="157">
        <f>D69*InputsAssumptions!$C$4</f>
        <v>-1.5890897034298486</v>
      </c>
      <c r="E102" s="158">
        <f>E69*InputsAssumptions!$C$5</f>
        <v>0.6454972243679028</v>
      </c>
      <c r="F102" s="156">
        <f>F69*InputsAssumptions!$C$6</f>
        <v>0</v>
      </c>
      <c r="G102" s="158">
        <f>G69*InputsAssumptions!$C$7</f>
        <v>0</v>
      </c>
      <c r="H102" s="158">
        <f>H69*InputsAssumptions!$C$8</f>
        <v>-0.40824829046386302</v>
      </c>
      <c r="I102" s="158">
        <f>I69*InputsAssumptions!$C$9</f>
        <v>-0.40824829046386302</v>
      </c>
      <c r="J102" s="37"/>
    </row>
    <row r="103" spans="1:10">
      <c r="A103" s="25" t="s">
        <v>89</v>
      </c>
      <c r="B103" s="34" t="s">
        <v>26</v>
      </c>
      <c r="C103" s="156">
        <f>C70*InputsAssumptions!$C$3</f>
        <v>-1.050733043150812</v>
      </c>
      <c r="D103" s="157">
        <f>D70*InputsAssumptions!$C$4</f>
        <v>11.020570753454924</v>
      </c>
      <c r="E103" s="158">
        <f>E70*InputsAssumptions!$C$5</f>
        <v>-1.2909944487358054</v>
      </c>
      <c r="F103" s="156">
        <f>F70*InputsAssumptions!$C$6</f>
        <v>0</v>
      </c>
      <c r="G103" s="158">
        <f>G70*InputsAssumptions!$C$7</f>
        <v>0</v>
      </c>
      <c r="H103" s="158">
        <f>H70*InputsAssumptions!$C$8</f>
        <v>0</v>
      </c>
      <c r="I103" s="158">
        <f>I70*InputsAssumptions!$C$9</f>
        <v>-0.40824829046386302</v>
      </c>
      <c r="J103" s="37"/>
    </row>
    <row r="104" spans="1:10">
      <c r="A104" s="25" t="s">
        <v>90</v>
      </c>
      <c r="B104" s="34" t="s">
        <v>27</v>
      </c>
      <c r="C104" s="156">
        <f>C71*InputsAssumptions!$C$3</f>
        <v>-0.61771443624148192</v>
      </c>
      <c r="D104" s="157">
        <f>D71*InputsAssumptions!$C$4</f>
        <v>12.586035332565855</v>
      </c>
      <c r="E104" s="158">
        <f>E71*InputsAssumptions!$C$5</f>
        <v>-1.2909944487358054</v>
      </c>
      <c r="F104" s="156">
        <f>F71*InputsAssumptions!$C$6</f>
        <v>0</v>
      </c>
      <c r="G104" s="158">
        <f>G71*InputsAssumptions!$C$7</f>
        <v>0</v>
      </c>
      <c r="H104" s="158">
        <f>H71*InputsAssumptions!$C$8</f>
        <v>0</v>
      </c>
      <c r="I104" s="158">
        <f>I71*InputsAssumptions!$C$9</f>
        <v>-0.40824829046386302</v>
      </c>
      <c r="J104" s="37"/>
    </row>
    <row r="105" spans="1:10">
      <c r="A105" s="25" t="s">
        <v>91</v>
      </c>
      <c r="B105" s="34" t="s">
        <v>28</v>
      </c>
      <c r="C105" s="156">
        <f>C72*InputsAssumptions!$C$3</f>
        <v>-0.63406614599654632</v>
      </c>
      <c r="D105" s="157">
        <f>D72*InputsAssumptions!$C$4</f>
        <v>13.545798492127497</v>
      </c>
      <c r="E105" s="158">
        <f>E72*InputsAssumptions!$C$5</f>
        <v>-1.2909944487358054</v>
      </c>
      <c r="F105" s="156">
        <f>F72*InputsAssumptions!$C$6</f>
        <v>0</v>
      </c>
      <c r="G105" s="158">
        <f>G72*InputsAssumptions!$C$7</f>
        <v>0</v>
      </c>
      <c r="H105" s="158">
        <f>H72*InputsAssumptions!$C$8</f>
        <v>0</v>
      </c>
      <c r="I105" s="158">
        <f>I72*InputsAssumptions!$C$9</f>
        <v>-0.9128709291752769</v>
      </c>
      <c r="J105" s="37"/>
    </row>
    <row r="106" spans="1:10">
      <c r="A106" s="25" t="s">
        <v>107</v>
      </c>
      <c r="B106" s="34" t="s">
        <v>29</v>
      </c>
      <c r="C106" s="156">
        <f>C73*InputsAssumptions!$C$3</f>
        <v>-1.165677161002403</v>
      </c>
      <c r="D106" s="157">
        <f>D73*InputsAssumptions!$C$4</f>
        <v>8.2584499978362924</v>
      </c>
      <c r="E106" s="158">
        <f>E73*InputsAssumptions!$C$5</f>
        <v>-1.2909944487358054</v>
      </c>
      <c r="F106" s="156">
        <f>F73*InputsAssumptions!$C$6</f>
        <v>0</v>
      </c>
      <c r="G106" s="158">
        <f>G73*InputsAssumptions!$C$7</f>
        <v>0</v>
      </c>
      <c r="H106" s="158">
        <f>H73*InputsAssumptions!$C$8</f>
        <v>0</v>
      </c>
      <c r="I106" s="158">
        <f>I73*InputsAssumptions!$C$9</f>
        <v>-0.40824829046386302</v>
      </c>
      <c r="J106" s="37"/>
    </row>
    <row r="107" spans="1:10">
      <c r="A107" s="25" t="s">
        <v>92</v>
      </c>
      <c r="B107" s="34" t="s">
        <v>30</v>
      </c>
      <c r="C107" s="156">
        <f>C74*InputsAssumptions!$C$3</f>
        <v>-0.20532130014599123</v>
      </c>
      <c r="D107" s="157">
        <f>D74*InputsAssumptions!$C$4</f>
        <v>15.228339912879035</v>
      </c>
      <c r="E107" s="158">
        <f>E74*InputsAssumptions!$C$5</f>
        <v>-1.2909944487358054</v>
      </c>
      <c r="F107" s="156">
        <f>F74*InputsAssumptions!$C$6</f>
        <v>0</v>
      </c>
      <c r="G107" s="158">
        <f>G74*InputsAssumptions!$C$7</f>
        <v>0</v>
      </c>
      <c r="H107" s="158">
        <f>H74*InputsAssumptions!$C$8</f>
        <v>-0.40824829046386302</v>
      </c>
      <c r="I107" s="158">
        <f>I74*InputsAssumptions!$C$9</f>
        <v>-0.40824829046386302</v>
      </c>
      <c r="J107" s="37"/>
    </row>
    <row r="108" spans="1:10">
      <c r="G108" s="24"/>
    </row>
    <row r="109" spans="1:10">
      <c r="B109" s="30"/>
      <c r="C109" s="139" t="s">
        <v>89</v>
      </c>
      <c r="D109" s="139" t="s">
        <v>90</v>
      </c>
      <c r="E109" s="139" t="s">
        <v>91</v>
      </c>
      <c r="F109" s="139" t="s">
        <v>107</v>
      </c>
      <c r="G109" s="139" t="s">
        <v>92</v>
      </c>
    </row>
    <row r="110" spans="1:10">
      <c r="B110" s="140" t="s">
        <v>96</v>
      </c>
      <c r="C110" s="141">
        <f>SUM(C78:I78)</f>
        <v>-5.3215487236489389</v>
      </c>
      <c r="D110" s="141">
        <f>SUM(C79:I79)</f>
        <v>-5.5093436929423456</v>
      </c>
      <c r="E110" s="141">
        <f>SUM(C80:I80)</f>
        <v>-6.0004760584189611</v>
      </c>
      <c r="F110" s="141">
        <f>SUM(C81:I81)</f>
        <v>-5.0765592587931749</v>
      </c>
      <c r="G110" s="141">
        <f>SUM(C82:I82)</f>
        <v>-5.9137827228626767</v>
      </c>
    </row>
    <row r="111" spans="1:10">
      <c r="B111" s="140" t="s">
        <v>94</v>
      </c>
      <c r="C111" s="141">
        <f>SUM(C83:I83)</f>
        <v>12.978719516584693</v>
      </c>
      <c r="D111" s="141">
        <f>SUM(C84:I84)</f>
        <v>11.566805289672219</v>
      </c>
      <c r="E111" s="141">
        <f>SUM(C85:I85)</f>
        <v>9.3908152535015361</v>
      </c>
      <c r="F111" s="141">
        <f>SUM(C86:I86)</f>
        <v>15.004158220475206</v>
      </c>
      <c r="G111" s="141">
        <f>SUM(C87:I87)</f>
        <v>10.328870450142682</v>
      </c>
    </row>
    <row r="112" spans="1:10">
      <c r="B112" s="140" t="s">
        <v>97</v>
      </c>
      <c r="C112" s="141">
        <f>SUM(C88:I88)</f>
        <v>-10.866734143528179</v>
      </c>
      <c r="D112" s="141">
        <f>SUM(C89:I89)</f>
        <v>-10.703546915756684</v>
      </c>
      <c r="E112" s="141">
        <f>SUM(C90:I90)</f>
        <v>-10.873491256948189</v>
      </c>
      <c r="F112" s="141">
        <f>SUM(C91:I91)</f>
        <v>-11.152601171650359</v>
      </c>
      <c r="G112" s="141">
        <f>SUM(C92:I92)</f>
        <v>-10.12411466282231</v>
      </c>
    </row>
    <row r="113" spans="2:11">
      <c r="B113" s="140" t="s">
        <v>93</v>
      </c>
      <c r="C113" s="141">
        <f>SUM(C93:I93)</f>
        <v>-5.5689530494885666</v>
      </c>
      <c r="D113" s="141">
        <f>SUM(C94:I94)</f>
        <v>-5.5649203391974806</v>
      </c>
      <c r="E113" s="141">
        <f>SUM(C95:I95)</f>
        <v>-4.1607036123350278</v>
      </c>
      <c r="F113" s="141">
        <f>SUM(C96:I96)</f>
        <v>-5.4867954693628267</v>
      </c>
      <c r="G113" s="141">
        <f>SUM(C97:I97)</f>
        <v>-5.6977565980411233</v>
      </c>
    </row>
    <row r="114" spans="2:11">
      <c r="B114" s="140" t="s">
        <v>95</v>
      </c>
      <c r="C114" s="141">
        <f>SUM(C98:I98)</f>
        <v>0.50792142897654502</v>
      </c>
      <c r="D114" s="141">
        <f>SUM(C99:I99)</f>
        <v>-5.8072498900409997E-2</v>
      </c>
      <c r="E114" s="141">
        <f>SUM(C100:I100)</f>
        <v>0.93598870598077277</v>
      </c>
      <c r="F114" s="141">
        <f>SUM(C101:I101)</f>
        <v>1.3182675816969329</v>
      </c>
      <c r="G114" s="141">
        <f>SUM(C102:I102)</f>
        <v>-1.5087440494860807</v>
      </c>
    </row>
    <row r="115" spans="2:11">
      <c r="B115" s="140" t="s">
        <v>24</v>
      </c>
      <c r="C115" s="141">
        <f>SUM(C103:I103)</f>
        <v>8.270594971104444</v>
      </c>
      <c r="D115" s="141">
        <f>SUM(C104:I104)</f>
        <v>10.269078157124705</v>
      </c>
      <c r="E115" s="141">
        <f>SUM(C105:I105)</f>
        <v>10.707866968219868</v>
      </c>
      <c r="F115" s="141">
        <f>SUM(C106:I106)</f>
        <v>5.3935300976342209</v>
      </c>
      <c r="G115" s="141">
        <f>SUM(C107:I107)</f>
        <v>12.915527583069512</v>
      </c>
      <c r="H115" s="19">
        <f>SUM(C115:G115)</f>
        <v>47.556597777152746</v>
      </c>
    </row>
    <row r="116" spans="2:11">
      <c r="B116" s="10"/>
      <c r="C116" s="10"/>
      <c r="D116" s="10"/>
      <c r="E116" s="10"/>
      <c r="F116" s="10"/>
      <c r="G116" s="30"/>
    </row>
    <row r="117" spans="2:11" ht="15.75" thickBot="1">
      <c r="B117" s="30"/>
      <c r="C117" s="33" t="s">
        <v>89</v>
      </c>
      <c r="D117" s="33" t="s">
        <v>90</v>
      </c>
      <c r="E117" s="33" t="s">
        <v>91</v>
      </c>
      <c r="F117" s="33" t="s">
        <v>107</v>
      </c>
      <c r="G117" s="33" t="s">
        <v>92</v>
      </c>
    </row>
    <row r="118" spans="2:11">
      <c r="B118" s="144" t="s">
        <v>96</v>
      </c>
      <c r="C118" s="130">
        <v>0</v>
      </c>
      <c r="D118" s="131">
        <v>0</v>
      </c>
      <c r="E118" s="131">
        <v>0</v>
      </c>
      <c r="F118" s="131">
        <v>0</v>
      </c>
      <c r="G118" s="132">
        <v>0</v>
      </c>
      <c r="H118" s="146">
        <f t="shared" ref="H118:H123" si="6">SUM(C118:G118)</f>
        <v>0</v>
      </c>
      <c r="I118" s="2" t="s">
        <v>388</v>
      </c>
      <c r="J118" s="143">
        <v>0</v>
      </c>
      <c r="K118" s="145"/>
    </row>
    <row r="119" spans="2:11">
      <c r="B119" s="144" t="s">
        <v>94</v>
      </c>
      <c r="C119" s="133">
        <v>0</v>
      </c>
      <c r="D119" s="134">
        <v>0</v>
      </c>
      <c r="E119" s="134">
        <v>0</v>
      </c>
      <c r="F119" s="134">
        <v>0</v>
      </c>
      <c r="G119" s="135">
        <v>0</v>
      </c>
      <c r="H119" s="146">
        <f t="shared" si="6"/>
        <v>0</v>
      </c>
      <c r="I119" s="2" t="s">
        <v>388</v>
      </c>
      <c r="J119" s="143">
        <v>0</v>
      </c>
      <c r="K119" s="145"/>
    </row>
    <row r="120" spans="2:11">
      <c r="B120" s="142" t="s">
        <v>97</v>
      </c>
      <c r="C120" s="133">
        <v>0</v>
      </c>
      <c r="D120" s="134">
        <v>0</v>
      </c>
      <c r="E120" s="134">
        <v>0</v>
      </c>
      <c r="F120" s="134">
        <v>0</v>
      </c>
      <c r="G120" s="135">
        <v>0</v>
      </c>
      <c r="H120" s="146">
        <f t="shared" si="6"/>
        <v>0</v>
      </c>
      <c r="I120" s="2" t="s">
        <v>388</v>
      </c>
      <c r="J120" s="143">
        <v>0</v>
      </c>
      <c r="K120" s="145"/>
    </row>
    <row r="121" spans="2:11">
      <c r="B121" s="142" t="s">
        <v>93</v>
      </c>
      <c r="C121" s="133">
        <v>0</v>
      </c>
      <c r="D121" s="134">
        <v>0</v>
      </c>
      <c r="E121" s="134">
        <v>0</v>
      </c>
      <c r="F121" s="134">
        <v>0</v>
      </c>
      <c r="G121" s="135">
        <v>0</v>
      </c>
      <c r="H121" s="146">
        <f t="shared" si="6"/>
        <v>0</v>
      </c>
      <c r="I121" s="2" t="s">
        <v>388</v>
      </c>
      <c r="J121" s="143">
        <v>0</v>
      </c>
      <c r="K121" s="145"/>
    </row>
    <row r="122" spans="2:11">
      <c r="B122" s="142" t="s">
        <v>95</v>
      </c>
      <c r="C122" s="133">
        <v>0</v>
      </c>
      <c r="D122" s="134">
        <v>0</v>
      </c>
      <c r="E122" s="134">
        <v>0</v>
      </c>
      <c r="F122" s="134">
        <v>0</v>
      </c>
      <c r="G122" s="135">
        <v>0</v>
      </c>
      <c r="H122" s="146">
        <f t="shared" si="6"/>
        <v>0</v>
      </c>
      <c r="I122" s="2" t="s">
        <v>388</v>
      </c>
      <c r="J122" s="143">
        <v>1</v>
      </c>
      <c r="K122" s="145"/>
    </row>
    <row r="123" spans="2:11" ht="15.75" thickBot="1">
      <c r="B123" s="142" t="s">
        <v>24</v>
      </c>
      <c r="C123" s="136">
        <v>1</v>
      </c>
      <c r="D123" s="137">
        <v>1</v>
      </c>
      <c r="E123" s="137">
        <v>1</v>
      </c>
      <c r="F123" s="137">
        <v>1</v>
      </c>
      <c r="G123" s="138">
        <v>1</v>
      </c>
      <c r="H123" s="146">
        <f t="shared" si="6"/>
        <v>5</v>
      </c>
      <c r="I123" s="2" t="s">
        <v>388</v>
      </c>
      <c r="J123" s="143">
        <v>5</v>
      </c>
      <c r="K123" s="145"/>
    </row>
    <row r="124" spans="2:11">
      <c r="C124" s="146">
        <f>SUM(C118:C123)</f>
        <v>1</v>
      </c>
      <c r="D124" s="146">
        <f>SUM(D118:D123)</f>
        <v>1</v>
      </c>
      <c r="E124" s="146">
        <f>SUM(E118:E123)</f>
        <v>1</v>
      </c>
      <c r="F124" s="146">
        <f>SUM(F118:F123)</f>
        <v>1</v>
      </c>
      <c r="G124" s="146">
        <f>SUM(G118:G123)</f>
        <v>1</v>
      </c>
    </row>
    <row r="125" spans="2:11">
      <c r="C125" s="147" t="s">
        <v>87</v>
      </c>
      <c r="D125" s="147" t="s">
        <v>87</v>
      </c>
      <c r="E125" s="147" t="s">
        <v>87</v>
      </c>
      <c r="F125" s="147" t="s">
        <v>87</v>
      </c>
      <c r="G125" s="147" t="s">
        <v>87</v>
      </c>
    </row>
    <row r="126" spans="2:11">
      <c r="C126" s="146">
        <v>1</v>
      </c>
      <c r="D126" s="146">
        <v>1</v>
      </c>
      <c r="E126" s="146">
        <v>1</v>
      </c>
      <c r="F126" s="146">
        <v>1</v>
      </c>
      <c r="G126" s="146">
        <v>1</v>
      </c>
    </row>
    <row r="127" spans="2:11" ht="15.75" thickBot="1">
      <c r="G127" s="24"/>
    </row>
    <row r="128" spans="2:11" ht="15.75" thickBot="1">
      <c r="B128" t="s">
        <v>61</v>
      </c>
      <c r="C128" s="159">
        <f>SUMPRODUCT(C110:G115,C118:G123)</f>
        <v>47.556597777152746</v>
      </c>
      <c r="G128" s="24"/>
    </row>
    <row r="129" spans="7:7">
      <c r="G129" s="24"/>
    </row>
    <row r="130" spans="7:7">
      <c r="G130" s="24"/>
    </row>
    <row r="131" spans="7:7">
      <c r="G131" s="24"/>
    </row>
    <row r="132" spans="7:7">
      <c r="G132" s="24"/>
    </row>
    <row r="133" spans="7:7">
      <c r="G133" s="24"/>
    </row>
    <row r="134" spans="7:7">
      <c r="G134" s="24"/>
    </row>
    <row r="135" spans="7:7">
      <c r="G135" s="24"/>
    </row>
    <row r="136" spans="7:7">
      <c r="G136" s="24"/>
    </row>
    <row r="137" spans="7:7">
      <c r="G137" s="24"/>
    </row>
    <row r="138" spans="7:7">
      <c r="G138" s="24"/>
    </row>
    <row r="139" spans="7:7">
      <c r="G139" s="24"/>
    </row>
    <row r="140" spans="7:7">
      <c r="G140" s="24"/>
    </row>
    <row r="141" spans="7:7">
      <c r="G141" s="24"/>
    </row>
    <row r="142" spans="7:7">
      <c r="G142" s="24"/>
    </row>
    <row r="143" spans="7:7">
      <c r="G143" s="24"/>
    </row>
    <row r="144" spans="7:7">
      <c r="G144" s="24"/>
    </row>
    <row r="145" spans="7:7">
      <c r="G145" s="24"/>
    </row>
    <row r="146" spans="7:7">
      <c r="G146" s="24"/>
    </row>
    <row r="147" spans="7:7">
      <c r="G147" s="24"/>
    </row>
    <row r="148" spans="7:7">
      <c r="G148" s="24"/>
    </row>
    <row r="149" spans="7:7">
      <c r="G149" s="24"/>
    </row>
    <row r="150" spans="7:7">
      <c r="G150" s="24"/>
    </row>
    <row r="151" spans="7:7">
      <c r="G151" s="24"/>
    </row>
    <row r="152" spans="7:7">
      <c r="G152" s="24"/>
    </row>
    <row r="153" spans="7:7">
      <c r="G153" s="24"/>
    </row>
    <row r="154" spans="7:7">
      <c r="G154" s="24"/>
    </row>
    <row r="155" spans="7:7">
      <c r="G155" s="24"/>
    </row>
    <row r="156" spans="7:7">
      <c r="G156" s="24"/>
    </row>
    <row r="157" spans="7:7">
      <c r="G157" s="24"/>
    </row>
    <row r="158" spans="7:7">
      <c r="G158" s="24"/>
    </row>
    <row r="159" spans="7:7">
      <c r="G159" s="24"/>
    </row>
    <row r="160" spans="7:7">
      <c r="G160" s="24"/>
    </row>
    <row r="161" spans="7:7">
      <c r="G161" s="24"/>
    </row>
    <row r="162" spans="7:7">
      <c r="G162" s="24"/>
    </row>
    <row r="163" spans="7:7">
      <c r="G163" s="24"/>
    </row>
    <row r="164" spans="7:7">
      <c r="G164" s="24"/>
    </row>
    <row r="165" spans="7:7">
      <c r="G165" s="24"/>
    </row>
    <row r="166" spans="7:7">
      <c r="G166" s="24"/>
    </row>
    <row r="167" spans="7:7">
      <c r="G167" s="24"/>
    </row>
    <row r="168" spans="7:7">
      <c r="G168" s="24"/>
    </row>
    <row r="169" spans="7:7">
      <c r="G169" s="24"/>
    </row>
    <row r="170" spans="7:7">
      <c r="G170" s="24"/>
    </row>
    <row r="171" spans="7:7">
      <c r="G171" s="24"/>
    </row>
    <row r="172" spans="7:7">
      <c r="G172" s="24"/>
    </row>
    <row r="173" spans="7:7">
      <c r="G173" s="24"/>
    </row>
    <row r="174" spans="7:7">
      <c r="G174" s="24"/>
    </row>
    <row r="175" spans="7:7">
      <c r="G175" s="24"/>
    </row>
    <row r="176" spans="7:7">
      <c r="G176" s="24"/>
    </row>
    <row r="177" spans="7:7">
      <c r="G177" s="24"/>
    </row>
    <row r="178" spans="7:7">
      <c r="G178" s="24"/>
    </row>
    <row r="179" spans="7:7">
      <c r="G179" s="24"/>
    </row>
    <row r="180" spans="7:7">
      <c r="G180" s="24"/>
    </row>
    <row r="181" spans="7:7">
      <c r="G181" s="24"/>
    </row>
    <row r="182" spans="7:7">
      <c r="G182" s="24"/>
    </row>
    <row r="183" spans="7:7">
      <c r="G183" s="24"/>
    </row>
    <row r="184" spans="7:7">
      <c r="G184" s="24"/>
    </row>
    <row r="185" spans="7:7">
      <c r="G185" s="24"/>
    </row>
    <row r="186" spans="7:7">
      <c r="G186" s="24"/>
    </row>
    <row r="187" spans="7:7">
      <c r="G187" s="24"/>
    </row>
    <row r="188" spans="7:7">
      <c r="G188" s="24"/>
    </row>
    <row r="189" spans="7:7">
      <c r="G189" s="24"/>
    </row>
    <row r="190" spans="7:7">
      <c r="G190" s="24"/>
    </row>
    <row r="191" spans="7:7">
      <c r="G191" s="24"/>
    </row>
    <row r="192" spans="7:7">
      <c r="G192" s="24"/>
    </row>
    <row r="193" spans="7:7">
      <c r="G193" s="24"/>
    </row>
    <row r="194" spans="7:7">
      <c r="G194" s="24"/>
    </row>
    <row r="195" spans="7:7">
      <c r="G195" s="24"/>
    </row>
    <row r="196" spans="7:7">
      <c r="G196" s="24"/>
    </row>
    <row r="197" spans="7:7">
      <c r="G197" s="24"/>
    </row>
    <row r="198" spans="7:7">
      <c r="G198" s="24"/>
    </row>
    <row r="199" spans="7:7">
      <c r="G199" s="24"/>
    </row>
    <row r="200" spans="7:7">
      <c r="G200" s="24"/>
    </row>
    <row r="201" spans="7:7">
      <c r="G201" s="24"/>
    </row>
    <row r="202" spans="7:7">
      <c r="G202" s="24"/>
    </row>
    <row r="203" spans="7:7">
      <c r="G203" s="24"/>
    </row>
    <row r="204" spans="7:7">
      <c r="G204" s="24"/>
    </row>
    <row r="205" spans="7:7">
      <c r="G205" s="24"/>
    </row>
    <row r="206" spans="7:7">
      <c r="G206" s="24"/>
    </row>
    <row r="207" spans="7:7">
      <c r="G207" s="24"/>
    </row>
    <row r="208" spans="7:7">
      <c r="G208" s="24"/>
    </row>
    <row r="209" spans="7:7">
      <c r="G209" s="24"/>
    </row>
    <row r="210" spans="7:7">
      <c r="G210" s="24"/>
    </row>
    <row r="211" spans="7:7">
      <c r="G211" s="24"/>
    </row>
    <row r="212" spans="7:7">
      <c r="G212" s="24"/>
    </row>
    <row r="213" spans="7:7">
      <c r="G213" s="24"/>
    </row>
    <row r="214" spans="7:7">
      <c r="G214" s="24"/>
    </row>
    <row r="215" spans="7:7">
      <c r="G215" s="24"/>
    </row>
    <row r="216" spans="7:7">
      <c r="G216" s="24"/>
    </row>
    <row r="217" spans="7:7">
      <c r="G217" s="24"/>
    </row>
    <row r="218" spans="7:7">
      <c r="G218" s="24"/>
    </row>
    <row r="219" spans="7:7">
      <c r="G219" s="24"/>
    </row>
    <row r="220" spans="7:7">
      <c r="G220" s="24"/>
    </row>
    <row r="221" spans="7:7">
      <c r="G221" s="24"/>
    </row>
    <row r="222" spans="7:7">
      <c r="G222" s="24"/>
    </row>
    <row r="223" spans="7:7">
      <c r="G223" s="24"/>
    </row>
    <row r="224" spans="7:7">
      <c r="G224" s="24"/>
    </row>
    <row r="225" spans="7:7">
      <c r="G225" s="24"/>
    </row>
    <row r="226" spans="7:7">
      <c r="G226" s="24"/>
    </row>
    <row r="227" spans="7:7">
      <c r="G227" s="24"/>
    </row>
    <row r="228" spans="7:7">
      <c r="G228" s="24"/>
    </row>
    <row r="229" spans="7:7">
      <c r="G229" s="24"/>
    </row>
  </sheetData>
  <phoneticPr fontId="8" type="noConversion"/>
  <pageMargins left="0.7" right="0.7" top="0.75" bottom="0.75" header="0.3" footer="0.3"/>
  <pageSetup paperSize="0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tabSelected="1" zoomScale="70" zoomScaleNormal="70" zoomScalePageLayoutView="70" workbookViewId="0">
      <pane xSplit="1" ySplit="1" topLeftCell="D2" activePane="bottomRight" state="frozen"/>
      <selection pane="topRight" activeCell="B1" sqref="B1"/>
      <selection pane="bottomLeft" activeCell="A3" sqref="A3"/>
      <selection pane="bottomRight" activeCell="N41" sqref="N41"/>
    </sheetView>
  </sheetViews>
  <sheetFormatPr defaultColWidth="8.85546875" defaultRowHeight="15"/>
  <cols>
    <col min="1" max="1" width="18.42578125" customWidth="1"/>
    <col min="2" max="2" width="21.28515625" hidden="1" customWidth="1"/>
    <col min="3" max="3" width="27.28515625" style="2" hidden="1" customWidth="1"/>
    <col min="4" max="4" width="16.42578125" style="2" bestFit="1" customWidth="1"/>
    <col min="5" max="5" width="16.42578125" style="2" hidden="1" customWidth="1"/>
    <col min="6" max="6" width="19.7109375" style="2" hidden="1" customWidth="1"/>
    <col min="7" max="7" width="16.28515625" style="2" bestFit="1" customWidth="1"/>
    <col min="8" max="8" width="13" hidden="1" customWidth="1"/>
    <col min="9" max="10" width="21.28515625" hidden="1" customWidth="1"/>
    <col min="11" max="11" width="14.28515625" style="2" bestFit="1" customWidth="1"/>
    <col min="12" max="12" width="13" customWidth="1"/>
    <col min="14" max="14" width="11.42578125" bestFit="1" customWidth="1"/>
  </cols>
  <sheetData>
    <row r="1" spans="1:20" s="48" customFormat="1">
      <c r="A1" s="85" t="s">
        <v>10</v>
      </c>
      <c r="B1" s="85" t="s">
        <v>253</v>
      </c>
      <c r="C1" s="85" t="s">
        <v>259</v>
      </c>
      <c r="D1" s="85" t="s">
        <v>255</v>
      </c>
      <c r="E1" s="85" t="s">
        <v>103</v>
      </c>
      <c r="F1" s="85" t="s">
        <v>260</v>
      </c>
      <c r="G1" s="85" t="s">
        <v>256</v>
      </c>
      <c r="H1" s="85" t="s">
        <v>104</v>
      </c>
      <c r="I1" s="50" t="s">
        <v>253</v>
      </c>
      <c r="J1" s="50" t="s">
        <v>378</v>
      </c>
      <c r="K1" s="4" t="s">
        <v>379</v>
      </c>
      <c r="L1" s="85" t="s">
        <v>43</v>
      </c>
    </row>
    <row r="2" spans="1:20">
      <c r="A2" t="s">
        <v>89</v>
      </c>
      <c r="B2" s="7">
        <v>40070</v>
      </c>
      <c r="C2" s="2" t="s">
        <v>350</v>
      </c>
      <c r="D2" s="5">
        <v>2.6</v>
      </c>
      <c r="E2" s="5">
        <v>4</v>
      </c>
      <c r="F2" s="5" t="s">
        <v>294</v>
      </c>
      <c r="G2" s="5">
        <v>3.5</v>
      </c>
      <c r="H2">
        <v>7</v>
      </c>
      <c r="I2" s="7">
        <v>40077</v>
      </c>
      <c r="J2" s="8" t="s">
        <v>24</v>
      </c>
      <c r="K2" s="5">
        <v>3.9</v>
      </c>
      <c r="L2" s="94"/>
      <c r="P2" t="s">
        <v>89</v>
      </c>
      <c r="Q2" t="s">
        <v>90</v>
      </c>
      <c r="R2" t="s">
        <v>91</v>
      </c>
      <c r="S2" t="s">
        <v>107</v>
      </c>
      <c r="T2" t="s">
        <v>92</v>
      </c>
    </row>
    <row r="3" spans="1:20">
      <c r="A3" t="s">
        <v>89</v>
      </c>
      <c r="B3" s="7">
        <v>40077</v>
      </c>
      <c r="C3" s="2" t="s">
        <v>220</v>
      </c>
      <c r="D3" s="5">
        <v>6.1</v>
      </c>
      <c r="E3" s="5">
        <v>10</v>
      </c>
      <c r="F3" s="2" t="s">
        <v>221</v>
      </c>
      <c r="G3" s="5">
        <v>9</v>
      </c>
      <c r="H3">
        <v>15</v>
      </c>
      <c r="I3" s="3">
        <v>40084</v>
      </c>
      <c r="J3" s="8" t="s">
        <v>24</v>
      </c>
      <c r="K3" s="2">
        <v>3.6</v>
      </c>
      <c r="L3" s="94"/>
      <c r="N3" s="20">
        <f>L11</f>
        <v>17.130555555555556</v>
      </c>
      <c r="O3" t="s">
        <v>89</v>
      </c>
      <c r="P3" s="99">
        <f>N3/$N$3</f>
        <v>1</v>
      </c>
      <c r="Q3" s="93">
        <f>N3/$N$4</f>
        <v>0.98758907838898247</v>
      </c>
      <c r="R3" s="93">
        <f>N3/$N$5</f>
        <v>1.0640096618357489</v>
      </c>
      <c r="S3" s="93">
        <f>N3/$N$6</f>
        <v>0.89878306492749394</v>
      </c>
      <c r="T3" s="93">
        <f>N3/$N$7</f>
        <v>1.3043570219966161</v>
      </c>
    </row>
    <row r="4" spans="1:20">
      <c r="A4" t="s">
        <v>89</v>
      </c>
      <c r="B4" s="3">
        <v>40084</v>
      </c>
      <c r="C4" s="2" t="s">
        <v>302</v>
      </c>
      <c r="D4" s="2">
        <v>6.2</v>
      </c>
      <c r="E4" s="2">
        <v>10</v>
      </c>
      <c r="F4" s="2" t="s">
        <v>272</v>
      </c>
      <c r="G4" s="2">
        <v>9.1</v>
      </c>
      <c r="H4">
        <v>15</v>
      </c>
      <c r="I4" s="1">
        <v>40091</v>
      </c>
      <c r="J4" s="8" t="s">
        <v>24</v>
      </c>
      <c r="K4" s="2">
        <v>3</v>
      </c>
      <c r="L4" s="94"/>
      <c r="N4" s="20">
        <f>L21</f>
        <v>17.345833333333331</v>
      </c>
      <c r="O4" t="s">
        <v>90</v>
      </c>
      <c r="P4" s="93">
        <f>N4/$N$3</f>
        <v>1.0125668882763093</v>
      </c>
      <c r="Q4" s="99">
        <f>N4/$N$4</f>
        <v>1</v>
      </c>
      <c r="R4" s="93">
        <f>N4/$N$5</f>
        <v>1.0773809523809521</v>
      </c>
      <c r="S4" s="93">
        <f>N4/$N$6</f>
        <v>0.91007797128907653</v>
      </c>
      <c r="T4" s="93">
        <f>N4/$N$7</f>
        <v>1.320748730964467</v>
      </c>
    </row>
    <row r="5" spans="1:20">
      <c r="A5" t="s">
        <v>89</v>
      </c>
      <c r="B5" s="1">
        <v>40091</v>
      </c>
      <c r="C5" s="2" t="s">
        <v>302</v>
      </c>
      <c r="D5" s="2">
        <v>6.1</v>
      </c>
      <c r="E5" s="2">
        <v>10</v>
      </c>
      <c r="F5" s="2" t="s">
        <v>272</v>
      </c>
      <c r="G5" s="2">
        <v>8.6999999999999993</v>
      </c>
      <c r="H5">
        <v>14</v>
      </c>
      <c r="I5" s="1">
        <v>40098</v>
      </c>
      <c r="J5" s="8" t="s">
        <v>24</v>
      </c>
      <c r="K5" s="2">
        <v>3.3</v>
      </c>
      <c r="L5" s="94"/>
      <c r="N5" s="20">
        <f>L31</f>
        <v>16.100000000000001</v>
      </c>
      <c r="O5" t="s">
        <v>91</v>
      </c>
      <c r="P5" s="93">
        <f>N5/$N$3</f>
        <v>0.93984108967082869</v>
      </c>
      <c r="Q5" s="93">
        <f>N5/$N$4</f>
        <v>0.92817679558011068</v>
      </c>
      <c r="R5" s="99">
        <f>N5/$N$5</f>
        <v>1</v>
      </c>
      <c r="S5" s="93">
        <f>N5/$N$6</f>
        <v>0.84471325511914308</v>
      </c>
      <c r="T5" s="93">
        <f>N5/$N$7</f>
        <v>1.2258883248730965</v>
      </c>
    </row>
    <row r="6" spans="1:20">
      <c r="A6" t="s">
        <v>89</v>
      </c>
      <c r="B6" s="1">
        <v>40098</v>
      </c>
      <c r="C6" s="2" t="s">
        <v>302</v>
      </c>
      <c r="D6" s="2">
        <v>6.5</v>
      </c>
      <c r="E6" s="2">
        <v>11</v>
      </c>
      <c r="F6" s="2" t="s">
        <v>272</v>
      </c>
      <c r="G6" s="2">
        <v>8.5</v>
      </c>
      <c r="H6">
        <v>14</v>
      </c>
      <c r="I6" s="1">
        <v>40105</v>
      </c>
      <c r="J6" s="8" t="s">
        <v>24</v>
      </c>
      <c r="K6" s="2">
        <v>3.1</v>
      </c>
      <c r="L6" s="94"/>
      <c r="N6" s="20">
        <f>L41</f>
        <v>19.059722222222224</v>
      </c>
      <c r="O6" t="s">
        <v>107</v>
      </c>
      <c r="P6" s="93">
        <f>N6/$N$3</f>
        <v>1.1126155342954436</v>
      </c>
      <c r="Q6" s="93">
        <f>N6/$N$4</f>
        <v>1.0988069501161024</v>
      </c>
      <c r="R6" s="93">
        <f>N6/$N$5</f>
        <v>1.1838336783988959</v>
      </c>
      <c r="S6" s="99">
        <f>N6/$N$6</f>
        <v>1</v>
      </c>
      <c r="T6" s="93">
        <f>N6/$N$7</f>
        <v>1.4512478849407784</v>
      </c>
    </row>
    <row r="7" spans="1:20">
      <c r="A7" t="s">
        <v>89</v>
      </c>
      <c r="B7" s="1">
        <v>40105</v>
      </c>
      <c r="C7" s="2" t="s">
        <v>270</v>
      </c>
      <c r="D7" s="2">
        <v>6.5</v>
      </c>
      <c r="E7" s="2">
        <v>11</v>
      </c>
      <c r="F7" s="2" t="s">
        <v>272</v>
      </c>
      <c r="G7" s="2">
        <v>8.5</v>
      </c>
      <c r="H7">
        <v>14</v>
      </c>
      <c r="I7" s="1">
        <v>40112</v>
      </c>
      <c r="J7" s="8" t="s">
        <v>24</v>
      </c>
      <c r="K7" s="2">
        <v>3.2</v>
      </c>
      <c r="L7" s="94"/>
      <c r="N7" s="20">
        <f>L51</f>
        <v>13.133333333333333</v>
      </c>
      <c r="O7" t="s">
        <v>92</v>
      </c>
      <c r="P7" s="93">
        <f>N7/$N$3</f>
        <v>0.76666126155342951</v>
      </c>
      <c r="Q7" s="93">
        <f>N7/$N$4</f>
        <v>0.75714628873408607</v>
      </c>
      <c r="R7" s="93">
        <f>N7/$N$5</f>
        <v>0.81573498964803304</v>
      </c>
      <c r="S7" s="93">
        <f>N7/$N$6</f>
        <v>0.68906215842017049</v>
      </c>
      <c r="T7" s="99">
        <f>N7/$N$7</f>
        <v>1</v>
      </c>
    </row>
    <row r="8" spans="1:20">
      <c r="A8" t="s">
        <v>89</v>
      </c>
      <c r="B8" s="1">
        <v>40112</v>
      </c>
      <c r="C8" s="2" t="s">
        <v>270</v>
      </c>
      <c r="D8" s="2">
        <v>6.8</v>
      </c>
      <c r="E8" s="2">
        <v>11</v>
      </c>
      <c r="F8" s="2" t="s">
        <v>294</v>
      </c>
      <c r="G8" s="2">
        <v>7.6</v>
      </c>
      <c r="H8">
        <v>13</v>
      </c>
      <c r="I8" s="1">
        <v>40119</v>
      </c>
      <c r="J8" s="8" t="s">
        <v>24</v>
      </c>
      <c r="K8" s="2">
        <v>2.6</v>
      </c>
      <c r="L8" s="94"/>
    </row>
    <row r="9" spans="1:20">
      <c r="A9" t="s">
        <v>89</v>
      </c>
      <c r="B9" s="1">
        <v>40119</v>
      </c>
      <c r="C9" s="2" t="s">
        <v>270</v>
      </c>
      <c r="D9" s="2">
        <v>6.4</v>
      </c>
      <c r="E9" s="2">
        <v>11</v>
      </c>
      <c r="F9" s="2" t="s">
        <v>272</v>
      </c>
      <c r="G9" s="2">
        <v>8</v>
      </c>
      <c r="H9">
        <v>13</v>
      </c>
      <c r="I9" s="1">
        <v>40126</v>
      </c>
      <c r="J9" s="8" t="s">
        <v>24</v>
      </c>
      <c r="K9" s="2">
        <v>2.7</v>
      </c>
      <c r="L9" s="94"/>
    </row>
    <row r="10" spans="1:20">
      <c r="A10" t="s">
        <v>89</v>
      </c>
      <c r="B10" s="1">
        <v>40126</v>
      </c>
      <c r="C10" s="2" t="s">
        <v>270</v>
      </c>
      <c r="D10" s="2">
        <v>6.3</v>
      </c>
      <c r="E10" s="2">
        <v>11</v>
      </c>
      <c r="F10" s="2" t="s">
        <v>272</v>
      </c>
      <c r="G10" s="2">
        <v>9.1999999999999993</v>
      </c>
      <c r="H10">
        <v>15</v>
      </c>
      <c r="I10" s="1"/>
      <c r="J10" s="8"/>
      <c r="K10" s="18"/>
      <c r="L10" s="94"/>
    </row>
    <row r="11" spans="1:20" s="94" customFormat="1">
      <c r="A11" s="94" t="s">
        <v>42</v>
      </c>
      <c r="B11" s="95"/>
      <c r="C11" s="4"/>
      <c r="D11" s="96">
        <f>AVERAGE(D2:D10)</f>
        <v>5.9444444444444438</v>
      </c>
      <c r="E11" s="96">
        <f t="shared" ref="E11:K11" si="0">AVERAGE(E2:E10)</f>
        <v>9.8888888888888893</v>
      </c>
      <c r="F11" s="96" t="e">
        <f t="shared" si="0"/>
        <v>#DIV/0!</v>
      </c>
      <c r="G11" s="96">
        <f t="shared" si="0"/>
        <v>8.0111111111111111</v>
      </c>
      <c r="H11" s="96">
        <f t="shared" si="0"/>
        <v>13.333333333333334</v>
      </c>
      <c r="I11" s="96">
        <f t="shared" si="0"/>
        <v>40101.5</v>
      </c>
      <c r="J11" s="96" t="e">
        <f t="shared" si="0"/>
        <v>#DIV/0!</v>
      </c>
      <c r="K11" s="96">
        <f t="shared" si="0"/>
        <v>3.1750000000000003</v>
      </c>
      <c r="L11" s="98">
        <f>K11+G11+D11</f>
        <v>17.130555555555556</v>
      </c>
    </row>
    <row r="12" spans="1:20">
      <c r="A12" t="s">
        <v>90</v>
      </c>
      <c r="B12" s="7">
        <v>40071</v>
      </c>
      <c r="C12" s="2" t="s">
        <v>353</v>
      </c>
      <c r="D12" s="5">
        <v>4.4000000000000004</v>
      </c>
      <c r="E12" s="5">
        <v>7</v>
      </c>
      <c r="F12" s="2" t="s">
        <v>351</v>
      </c>
      <c r="G12" s="5">
        <v>4.8</v>
      </c>
      <c r="H12">
        <v>8</v>
      </c>
      <c r="I12" s="7">
        <v>40078</v>
      </c>
      <c r="J12" s="8" t="s">
        <v>24</v>
      </c>
      <c r="K12" s="5">
        <v>4.5999999999999996</v>
      </c>
      <c r="L12" s="94"/>
    </row>
    <row r="13" spans="1:20">
      <c r="A13" t="s">
        <v>90</v>
      </c>
      <c r="B13" s="7">
        <v>40078</v>
      </c>
      <c r="C13" s="2" t="s">
        <v>362</v>
      </c>
      <c r="D13" s="5">
        <v>9.1999999999999993</v>
      </c>
      <c r="E13" s="5">
        <v>16</v>
      </c>
      <c r="F13" s="2" t="s">
        <v>364</v>
      </c>
      <c r="G13" s="5">
        <v>6.3</v>
      </c>
      <c r="H13">
        <v>11</v>
      </c>
      <c r="I13" s="3">
        <v>40085</v>
      </c>
      <c r="J13" s="8" t="s">
        <v>24</v>
      </c>
      <c r="K13" s="5">
        <v>4.4000000000000004</v>
      </c>
      <c r="L13" s="94"/>
    </row>
    <row r="14" spans="1:20">
      <c r="A14" t="s">
        <v>90</v>
      </c>
      <c r="B14" s="3">
        <v>40085</v>
      </c>
      <c r="C14" s="2" t="s">
        <v>300</v>
      </c>
      <c r="D14" s="2">
        <v>9.1</v>
      </c>
      <c r="E14" s="2">
        <v>16</v>
      </c>
      <c r="F14" s="2" t="s">
        <v>282</v>
      </c>
      <c r="G14" s="2">
        <v>5</v>
      </c>
      <c r="H14">
        <v>9</v>
      </c>
      <c r="I14" s="1">
        <v>40092</v>
      </c>
      <c r="J14" s="8" t="s">
        <v>24</v>
      </c>
      <c r="K14" s="2">
        <v>4</v>
      </c>
      <c r="L14" s="94"/>
    </row>
    <row r="15" spans="1:20">
      <c r="A15" t="s">
        <v>90</v>
      </c>
      <c r="B15" s="1">
        <v>40092</v>
      </c>
      <c r="C15" s="2" t="s">
        <v>261</v>
      </c>
      <c r="D15" s="2">
        <v>8.9</v>
      </c>
      <c r="E15" s="2">
        <v>15</v>
      </c>
      <c r="F15" s="2" t="s">
        <v>282</v>
      </c>
      <c r="G15" s="2">
        <v>5</v>
      </c>
      <c r="H15">
        <v>9</v>
      </c>
      <c r="I15" s="1">
        <v>40099</v>
      </c>
      <c r="J15" s="8" t="s">
        <v>24</v>
      </c>
      <c r="K15" s="2">
        <v>3.8</v>
      </c>
      <c r="L15" s="94"/>
    </row>
    <row r="16" spans="1:20">
      <c r="A16" t="s">
        <v>90</v>
      </c>
      <c r="B16" s="1">
        <v>40099</v>
      </c>
      <c r="C16" s="2" t="s">
        <v>300</v>
      </c>
      <c r="D16" s="2">
        <v>8.6999999999999993</v>
      </c>
      <c r="E16" s="2">
        <v>15</v>
      </c>
      <c r="F16" s="2" t="s">
        <v>262</v>
      </c>
      <c r="G16" s="2">
        <v>4.9000000000000004</v>
      </c>
      <c r="H16">
        <v>9</v>
      </c>
      <c r="I16" s="1">
        <v>40106</v>
      </c>
      <c r="J16" s="8" t="s">
        <v>24</v>
      </c>
      <c r="K16" s="2">
        <v>3.6</v>
      </c>
      <c r="L16" s="94"/>
    </row>
    <row r="17" spans="1:12">
      <c r="A17" t="s">
        <v>90</v>
      </c>
      <c r="B17" s="1">
        <v>40106</v>
      </c>
      <c r="C17" s="2" t="s">
        <v>282</v>
      </c>
      <c r="D17" s="2">
        <v>4.8</v>
      </c>
      <c r="E17" s="2">
        <v>8</v>
      </c>
      <c r="F17" s="2" t="s">
        <v>261</v>
      </c>
      <c r="G17" s="2">
        <v>8.8000000000000007</v>
      </c>
      <c r="H17">
        <v>15</v>
      </c>
      <c r="I17" s="1">
        <v>40113</v>
      </c>
      <c r="J17" s="8" t="s">
        <v>24</v>
      </c>
      <c r="K17" s="2">
        <v>3.9</v>
      </c>
      <c r="L17" s="94"/>
    </row>
    <row r="18" spans="1:12">
      <c r="A18" t="s">
        <v>90</v>
      </c>
      <c r="B18" s="1">
        <v>40113</v>
      </c>
      <c r="C18" s="2" t="s">
        <v>282</v>
      </c>
      <c r="D18" s="2">
        <v>5.5</v>
      </c>
      <c r="E18" s="2">
        <v>9</v>
      </c>
      <c r="F18" s="2" t="s">
        <v>309</v>
      </c>
      <c r="G18" s="2">
        <v>6.4</v>
      </c>
      <c r="H18">
        <v>11</v>
      </c>
      <c r="I18" s="1">
        <v>40120</v>
      </c>
      <c r="J18" s="8" t="s">
        <v>24</v>
      </c>
      <c r="K18" s="2">
        <v>4</v>
      </c>
      <c r="L18" s="94"/>
    </row>
    <row r="19" spans="1:12">
      <c r="A19" t="s">
        <v>90</v>
      </c>
      <c r="B19" s="1">
        <v>40120</v>
      </c>
      <c r="C19" s="2" t="s">
        <v>282</v>
      </c>
      <c r="D19" s="2">
        <v>4.7</v>
      </c>
      <c r="E19" s="2">
        <v>8</v>
      </c>
      <c r="F19" s="2" t="s">
        <v>261</v>
      </c>
      <c r="G19" s="2">
        <v>8.6</v>
      </c>
      <c r="H19">
        <v>15</v>
      </c>
      <c r="I19" s="1">
        <v>40127</v>
      </c>
      <c r="J19" s="8" t="s">
        <v>24</v>
      </c>
      <c r="K19" s="2">
        <v>3.8</v>
      </c>
      <c r="L19" s="94"/>
    </row>
    <row r="20" spans="1:12">
      <c r="A20" t="s">
        <v>90</v>
      </c>
      <c r="B20" s="1">
        <v>40127</v>
      </c>
      <c r="C20" s="2" t="s">
        <v>269</v>
      </c>
      <c r="D20" s="2">
        <v>6.1</v>
      </c>
      <c r="E20" s="2">
        <v>10</v>
      </c>
      <c r="F20" s="2" t="s">
        <v>300</v>
      </c>
      <c r="G20" s="2">
        <v>8.8000000000000007</v>
      </c>
      <c r="H20">
        <v>15</v>
      </c>
      <c r="I20" s="1"/>
      <c r="J20" s="8"/>
      <c r="L20" s="94"/>
    </row>
    <row r="21" spans="1:12">
      <c r="A21" s="94" t="s">
        <v>42</v>
      </c>
      <c r="B21" s="1"/>
      <c r="D21" s="97">
        <f>AVERAGE(D12:D20)</f>
        <v>6.822222222222222</v>
      </c>
      <c r="E21" s="97">
        <f t="shared" ref="E21:K21" si="1">AVERAGE(E12:E20)</f>
        <v>11.555555555555555</v>
      </c>
      <c r="F21" s="97" t="e">
        <f t="shared" si="1"/>
        <v>#DIV/0!</v>
      </c>
      <c r="G21" s="97">
        <f t="shared" si="1"/>
        <v>6.5111111111111102</v>
      </c>
      <c r="H21" s="97">
        <f t="shared" si="1"/>
        <v>11.333333333333334</v>
      </c>
      <c r="I21" s="97">
        <f t="shared" si="1"/>
        <v>40102.5</v>
      </c>
      <c r="J21" s="97" t="e">
        <f t="shared" si="1"/>
        <v>#DIV/0!</v>
      </c>
      <c r="K21" s="97">
        <f t="shared" si="1"/>
        <v>4.0125000000000002</v>
      </c>
      <c r="L21" s="98">
        <f>K21+G21+D21</f>
        <v>17.345833333333331</v>
      </c>
    </row>
    <row r="22" spans="1:12">
      <c r="A22" t="s">
        <v>91</v>
      </c>
      <c r="B22" s="7">
        <v>40072</v>
      </c>
      <c r="C22" s="2" t="s">
        <v>356</v>
      </c>
      <c r="D22" s="5">
        <v>2.7</v>
      </c>
      <c r="E22" s="5">
        <v>5</v>
      </c>
      <c r="F22" s="2" t="s">
        <v>313</v>
      </c>
      <c r="G22" s="5">
        <v>5.2</v>
      </c>
      <c r="H22">
        <v>9</v>
      </c>
      <c r="I22" s="7">
        <v>40079</v>
      </c>
      <c r="J22" s="8" t="s">
        <v>24</v>
      </c>
      <c r="K22" s="5">
        <v>4.3</v>
      </c>
      <c r="L22" s="94"/>
    </row>
    <row r="23" spans="1:12">
      <c r="A23" t="s">
        <v>91</v>
      </c>
      <c r="B23" s="7">
        <v>40079</v>
      </c>
      <c r="C23" s="2" t="s">
        <v>368</v>
      </c>
      <c r="D23" s="5">
        <v>5.6</v>
      </c>
      <c r="E23" s="5">
        <v>10</v>
      </c>
      <c r="F23" s="2" t="s">
        <v>366</v>
      </c>
      <c r="G23" s="5">
        <v>9.1999999999999993</v>
      </c>
      <c r="H23">
        <v>16</v>
      </c>
      <c r="I23" s="3">
        <v>40086</v>
      </c>
      <c r="J23" s="8" t="s">
        <v>24</v>
      </c>
      <c r="K23" s="5">
        <v>4.0999999999999996</v>
      </c>
      <c r="L23" s="94"/>
    </row>
    <row r="24" spans="1:12">
      <c r="A24" t="s">
        <v>91</v>
      </c>
      <c r="B24" s="3">
        <v>40086</v>
      </c>
      <c r="C24" s="2" t="s">
        <v>288</v>
      </c>
      <c r="D24" s="2">
        <v>4.4000000000000004</v>
      </c>
      <c r="E24" s="2">
        <v>8</v>
      </c>
      <c r="F24" s="2" t="s">
        <v>324</v>
      </c>
      <c r="G24" s="2">
        <v>8.6</v>
      </c>
      <c r="H24">
        <v>15</v>
      </c>
      <c r="I24" s="1">
        <v>40093</v>
      </c>
      <c r="J24" s="8" t="s">
        <v>24</v>
      </c>
      <c r="K24" s="2">
        <v>3.9</v>
      </c>
      <c r="L24" s="94"/>
    </row>
    <row r="25" spans="1:12">
      <c r="A25" t="s">
        <v>91</v>
      </c>
      <c r="B25" s="1">
        <v>40093</v>
      </c>
      <c r="C25" s="2" t="s">
        <v>288</v>
      </c>
      <c r="D25" s="2">
        <v>3.6</v>
      </c>
      <c r="E25" s="2">
        <v>6</v>
      </c>
      <c r="F25" s="2" t="s">
        <v>285</v>
      </c>
      <c r="G25" s="2">
        <v>8.1999999999999993</v>
      </c>
      <c r="H25">
        <v>14</v>
      </c>
      <c r="I25" s="1">
        <v>40100</v>
      </c>
      <c r="J25" s="8" t="s">
        <v>24</v>
      </c>
      <c r="K25" s="2">
        <v>4</v>
      </c>
      <c r="L25" s="94"/>
    </row>
    <row r="26" spans="1:12">
      <c r="A26" t="s">
        <v>91</v>
      </c>
      <c r="B26" s="1">
        <v>40100</v>
      </c>
      <c r="C26" s="2" t="s">
        <v>288</v>
      </c>
      <c r="D26" s="2">
        <v>3.5</v>
      </c>
      <c r="E26" s="2">
        <v>6</v>
      </c>
      <c r="F26" s="2" t="s">
        <v>285</v>
      </c>
      <c r="G26" s="2">
        <v>8.8000000000000007</v>
      </c>
      <c r="H26">
        <v>15</v>
      </c>
      <c r="I26" s="1">
        <v>40107</v>
      </c>
      <c r="J26" s="8" t="s">
        <v>24</v>
      </c>
      <c r="K26" s="2">
        <v>3.5</v>
      </c>
      <c r="L26" s="94"/>
    </row>
    <row r="27" spans="1:12">
      <c r="A27" t="s">
        <v>91</v>
      </c>
      <c r="B27" s="1">
        <v>40107</v>
      </c>
      <c r="C27" s="2" t="s">
        <v>288</v>
      </c>
      <c r="D27" s="2">
        <v>3.5</v>
      </c>
      <c r="E27" s="2">
        <v>6</v>
      </c>
      <c r="F27" s="2" t="s">
        <v>285</v>
      </c>
      <c r="G27" s="2">
        <v>8.4</v>
      </c>
      <c r="H27">
        <v>14</v>
      </c>
      <c r="I27" s="1">
        <v>40114</v>
      </c>
      <c r="J27" s="8" t="s">
        <v>24</v>
      </c>
      <c r="K27" s="2">
        <v>3.3</v>
      </c>
      <c r="L27" s="94"/>
    </row>
    <row r="28" spans="1:12">
      <c r="A28" t="s">
        <v>91</v>
      </c>
      <c r="B28" s="1">
        <v>40114</v>
      </c>
      <c r="C28" s="2" t="s">
        <v>288</v>
      </c>
      <c r="D28" s="2">
        <v>3.3</v>
      </c>
      <c r="E28" s="2">
        <v>6</v>
      </c>
      <c r="F28" s="2" t="s">
        <v>313</v>
      </c>
      <c r="G28" s="2">
        <v>6.3</v>
      </c>
      <c r="H28">
        <v>10</v>
      </c>
      <c r="I28" s="1">
        <v>40121</v>
      </c>
      <c r="J28" s="8" t="s">
        <v>24</v>
      </c>
      <c r="K28" s="2">
        <v>3.3</v>
      </c>
      <c r="L28" s="94"/>
    </row>
    <row r="29" spans="1:12">
      <c r="A29" t="s">
        <v>91</v>
      </c>
      <c r="B29" s="1">
        <v>40121</v>
      </c>
      <c r="C29" s="2" t="s">
        <v>348</v>
      </c>
      <c r="D29" s="2">
        <v>3.1</v>
      </c>
      <c r="E29" s="2">
        <v>5</v>
      </c>
      <c r="F29" s="2" t="s">
        <v>285</v>
      </c>
      <c r="G29" s="2">
        <v>7.7</v>
      </c>
      <c r="H29">
        <v>13</v>
      </c>
      <c r="I29" s="1">
        <v>40128</v>
      </c>
      <c r="J29" s="8" t="s">
        <v>24</v>
      </c>
      <c r="K29" s="2">
        <v>3.2</v>
      </c>
      <c r="L29" s="94"/>
    </row>
    <row r="30" spans="1:12">
      <c r="A30" t="s">
        <v>91</v>
      </c>
      <c r="B30" s="1">
        <v>40128</v>
      </c>
      <c r="C30" s="2" t="s">
        <v>265</v>
      </c>
      <c r="D30" s="2">
        <v>10.199999999999999</v>
      </c>
      <c r="E30" s="2">
        <v>16</v>
      </c>
      <c r="F30" s="2" t="s">
        <v>285</v>
      </c>
      <c r="G30" s="2">
        <v>9.3000000000000007</v>
      </c>
      <c r="H30">
        <v>16</v>
      </c>
      <c r="I30" s="1"/>
      <c r="J30" s="8"/>
      <c r="L30" s="94"/>
    </row>
    <row r="31" spans="1:12">
      <c r="A31" s="94" t="s">
        <v>42</v>
      </c>
      <c r="B31" s="1"/>
      <c r="D31" s="97">
        <f t="shared" ref="D31:K31" si="2">AVERAGE(D22:D30)</f>
        <v>4.4333333333333336</v>
      </c>
      <c r="E31" s="97">
        <f t="shared" si="2"/>
        <v>7.5555555555555554</v>
      </c>
      <c r="F31" s="97" t="e">
        <f t="shared" si="2"/>
        <v>#DIV/0!</v>
      </c>
      <c r="G31" s="97">
        <f t="shared" si="2"/>
        <v>7.9666666666666668</v>
      </c>
      <c r="H31" s="97">
        <f t="shared" si="2"/>
        <v>13.555555555555555</v>
      </c>
      <c r="I31" s="97">
        <f t="shared" si="2"/>
        <v>40103.5</v>
      </c>
      <c r="J31" s="97" t="e">
        <f t="shared" si="2"/>
        <v>#DIV/0!</v>
      </c>
      <c r="K31" s="97">
        <f t="shared" si="2"/>
        <v>3.6999999999999997</v>
      </c>
      <c r="L31" s="98">
        <f>K31+G31+D31</f>
        <v>16.100000000000001</v>
      </c>
    </row>
    <row r="32" spans="1:12">
      <c r="A32" t="s">
        <v>107</v>
      </c>
      <c r="B32" s="7">
        <v>40073</v>
      </c>
      <c r="C32" s="2" t="s">
        <v>360</v>
      </c>
      <c r="D32" s="5">
        <v>2.4</v>
      </c>
      <c r="E32" s="5">
        <v>4</v>
      </c>
      <c r="F32" s="2" t="s">
        <v>298</v>
      </c>
      <c r="G32" s="5">
        <v>6.2</v>
      </c>
      <c r="H32">
        <v>11</v>
      </c>
      <c r="I32" s="7">
        <v>40080</v>
      </c>
      <c r="J32" s="8" t="s">
        <v>24</v>
      </c>
      <c r="K32" s="5">
        <v>3.5</v>
      </c>
      <c r="L32" s="94"/>
    </row>
    <row r="33" spans="1:12">
      <c r="A33" t="s">
        <v>107</v>
      </c>
      <c r="B33" s="7">
        <v>40080</v>
      </c>
      <c r="C33" s="2" t="s">
        <v>370</v>
      </c>
      <c r="D33" s="5">
        <v>10.9</v>
      </c>
      <c r="E33" s="5">
        <v>18</v>
      </c>
      <c r="F33" s="2" t="s">
        <v>372</v>
      </c>
      <c r="G33" s="5">
        <v>9.5</v>
      </c>
      <c r="H33">
        <v>16</v>
      </c>
      <c r="I33" s="1">
        <v>40087</v>
      </c>
      <c r="J33" s="8" t="s">
        <v>24</v>
      </c>
      <c r="K33" s="5">
        <v>3.3</v>
      </c>
      <c r="L33" s="94"/>
    </row>
    <row r="34" spans="1:12">
      <c r="A34" t="s">
        <v>107</v>
      </c>
      <c r="B34" s="1">
        <v>40087</v>
      </c>
      <c r="C34" s="2" t="s">
        <v>328</v>
      </c>
      <c r="D34" s="2">
        <v>7.6</v>
      </c>
      <c r="E34" s="2">
        <v>13</v>
      </c>
      <c r="F34" s="2" t="s">
        <v>305</v>
      </c>
      <c r="G34" s="2">
        <v>10.1</v>
      </c>
      <c r="H34">
        <v>17</v>
      </c>
      <c r="I34" s="1">
        <v>40094</v>
      </c>
      <c r="J34" s="8" t="s">
        <v>24</v>
      </c>
      <c r="K34" s="2">
        <v>3.1</v>
      </c>
      <c r="L34" s="94"/>
    </row>
    <row r="35" spans="1:12">
      <c r="A35" t="s">
        <v>107</v>
      </c>
      <c r="B35" s="1">
        <v>40094</v>
      </c>
      <c r="C35" s="2" t="s">
        <v>297</v>
      </c>
      <c r="D35" s="2">
        <v>6.2</v>
      </c>
      <c r="E35" s="2">
        <v>11</v>
      </c>
      <c r="F35" s="2" t="s">
        <v>305</v>
      </c>
      <c r="G35" s="2">
        <v>9.4</v>
      </c>
      <c r="H35">
        <v>16</v>
      </c>
      <c r="I35" s="1">
        <v>40101</v>
      </c>
      <c r="J35" s="8" t="s">
        <v>24</v>
      </c>
      <c r="K35" s="2">
        <v>3.4</v>
      </c>
      <c r="L35" s="94"/>
    </row>
    <row r="36" spans="1:12">
      <c r="A36" t="s">
        <v>107</v>
      </c>
      <c r="B36" s="1">
        <v>40101</v>
      </c>
      <c r="C36" s="2" t="s">
        <v>297</v>
      </c>
      <c r="D36" s="2">
        <v>6.8</v>
      </c>
      <c r="E36" s="2">
        <v>12</v>
      </c>
      <c r="F36" s="2" t="s">
        <v>305</v>
      </c>
      <c r="G36" s="2">
        <v>9.6999999999999993</v>
      </c>
      <c r="H36">
        <v>16</v>
      </c>
      <c r="I36" s="1">
        <v>40108</v>
      </c>
      <c r="J36" s="8" t="s">
        <v>24</v>
      </c>
      <c r="K36" s="2">
        <v>3.3</v>
      </c>
      <c r="L36" s="94"/>
    </row>
    <row r="37" spans="1:12">
      <c r="A37" t="s">
        <v>107</v>
      </c>
      <c r="B37" s="1">
        <v>40108</v>
      </c>
      <c r="C37" s="2" t="s">
        <v>297</v>
      </c>
      <c r="D37" s="2">
        <v>6.7</v>
      </c>
      <c r="E37" s="2">
        <v>11</v>
      </c>
      <c r="F37" s="2" t="s">
        <v>298</v>
      </c>
      <c r="G37" s="2">
        <v>7.6</v>
      </c>
      <c r="H37">
        <v>13</v>
      </c>
      <c r="I37" s="1">
        <v>40115</v>
      </c>
      <c r="J37" s="8" t="s">
        <v>24</v>
      </c>
      <c r="K37" s="2">
        <v>3</v>
      </c>
      <c r="L37" s="94"/>
    </row>
    <row r="38" spans="1:12">
      <c r="A38" t="s">
        <v>107</v>
      </c>
      <c r="B38" s="1">
        <v>40115</v>
      </c>
      <c r="C38" s="2" t="s">
        <v>317</v>
      </c>
      <c r="D38" s="2">
        <v>6.1</v>
      </c>
      <c r="E38" s="2">
        <v>10</v>
      </c>
      <c r="F38" s="2" t="s">
        <v>315</v>
      </c>
      <c r="G38" s="2">
        <v>9.6999999999999993</v>
      </c>
      <c r="H38">
        <v>16</v>
      </c>
      <c r="I38" s="1">
        <v>40122</v>
      </c>
      <c r="J38" s="8" t="s">
        <v>24</v>
      </c>
      <c r="K38" s="2">
        <v>3.2</v>
      </c>
      <c r="L38" s="94"/>
    </row>
    <row r="39" spans="1:12">
      <c r="A39" t="s">
        <v>107</v>
      </c>
      <c r="B39" s="1">
        <v>40122</v>
      </c>
      <c r="C39" s="2" t="s">
        <v>317</v>
      </c>
      <c r="D39" s="2">
        <v>6</v>
      </c>
      <c r="E39" s="2">
        <v>10</v>
      </c>
      <c r="F39" s="2" t="s">
        <v>305</v>
      </c>
      <c r="G39" s="2">
        <v>10.4</v>
      </c>
      <c r="H39">
        <v>18</v>
      </c>
      <c r="I39" s="1">
        <v>40129</v>
      </c>
      <c r="J39" s="8" t="s">
        <v>24</v>
      </c>
      <c r="K39" s="2">
        <v>3.1</v>
      </c>
      <c r="L39" s="94"/>
    </row>
    <row r="40" spans="1:12">
      <c r="A40" t="s">
        <v>107</v>
      </c>
      <c r="B40" s="1">
        <v>40129</v>
      </c>
      <c r="C40" s="2" t="s">
        <v>297</v>
      </c>
      <c r="D40" s="2">
        <v>6.7</v>
      </c>
      <c r="E40" s="2">
        <v>11</v>
      </c>
      <c r="F40" s="2" t="s">
        <v>305</v>
      </c>
      <c r="G40" s="2">
        <v>10.4</v>
      </c>
      <c r="H40">
        <v>18</v>
      </c>
      <c r="I40" s="1"/>
      <c r="J40" s="8"/>
      <c r="L40" s="94"/>
    </row>
    <row r="41" spans="1:12">
      <c r="A41" s="94" t="s">
        <v>42</v>
      </c>
      <c r="B41" s="1"/>
      <c r="D41" s="97">
        <f t="shared" ref="D41:K41" si="3">AVERAGE(D32:D40)</f>
        <v>6.6000000000000005</v>
      </c>
      <c r="E41" s="97">
        <f t="shared" si="3"/>
        <v>11.111111111111111</v>
      </c>
      <c r="F41" s="97" t="e">
        <f t="shared" si="3"/>
        <v>#DIV/0!</v>
      </c>
      <c r="G41" s="97">
        <f t="shared" si="3"/>
        <v>9.2222222222222214</v>
      </c>
      <c r="H41" s="97">
        <f t="shared" si="3"/>
        <v>15.666666666666666</v>
      </c>
      <c r="I41" s="97">
        <f t="shared" si="3"/>
        <v>40104.5</v>
      </c>
      <c r="J41" s="97" t="e">
        <f t="shared" si="3"/>
        <v>#DIV/0!</v>
      </c>
      <c r="K41" s="97">
        <f t="shared" si="3"/>
        <v>3.2375000000000003</v>
      </c>
      <c r="L41" s="98">
        <f>K41+G41+D41</f>
        <v>19.059722222222224</v>
      </c>
    </row>
    <row r="42" spans="1:12">
      <c r="A42" t="s">
        <v>92</v>
      </c>
      <c r="B42" s="7">
        <v>40074</v>
      </c>
      <c r="C42" s="2" t="s">
        <v>277</v>
      </c>
      <c r="D42" s="5">
        <v>4</v>
      </c>
      <c r="E42" s="5">
        <v>7</v>
      </c>
      <c r="F42" s="13" t="s">
        <v>218</v>
      </c>
      <c r="G42" s="5">
        <v>3</v>
      </c>
      <c r="H42">
        <v>6</v>
      </c>
      <c r="I42" s="7">
        <v>40081</v>
      </c>
      <c r="J42" s="8" t="s">
        <v>24</v>
      </c>
      <c r="K42" s="5">
        <v>3.9</v>
      </c>
      <c r="L42" s="94"/>
    </row>
    <row r="43" spans="1:12">
      <c r="A43" t="s">
        <v>92</v>
      </c>
      <c r="B43" s="7">
        <v>40081</v>
      </c>
      <c r="C43" s="2" t="s">
        <v>277</v>
      </c>
      <c r="D43" s="5">
        <v>5.0999999999999996</v>
      </c>
      <c r="E43" s="5">
        <v>9</v>
      </c>
      <c r="F43" s="2" t="s">
        <v>374</v>
      </c>
      <c r="G43" s="5">
        <v>5.3</v>
      </c>
      <c r="H43">
        <v>10</v>
      </c>
      <c r="I43" s="1">
        <v>40088</v>
      </c>
      <c r="J43" s="8" t="s">
        <v>24</v>
      </c>
      <c r="K43" s="5">
        <v>3.6</v>
      </c>
      <c r="L43" s="94"/>
    </row>
    <row r="44" spans="1:12">
      <c r="A44" t="s">
        <v>92</v>
      </c>
      <c r="B44" s="1">
        <v>40088</v>
      </c>
      <c r="C44" s="2" t="s">
        <v>277</v>
      </c>
      <c r="D44" s="2">
        <v>4.5</v>
      </c>
      <c r="E44" s="2">
        <v>8</v>
      </c>
      <c r="F44" s="2" t="s">
        <v>329</v>
      </c>
      <c r="G44" s="2">
        <v>5.0999999999999996</v>
      </c>
      <c r="H44">
        <v>9</v>
      </c>
      <c r="I44" s="1">
        <v>40095</v>
      </c>
      <c r="J44" s="8" t="s">
        <v>24</v>
      </c>
      <c r="K44" s="2">
        <v>3.5</v>
      </c>
      <c r="L44" s="94"/>
    </row>
    <row r="45" spans="1:12">
      <c r="A45" t="s">
        <v>92</v>
      </c>
      <c r="B45" s="1">
        <v>40095</v>
      </c>
      <c r="C45" s="2" t="s">
        <v>277</v>
      </c>
      <c r="D45" s="2">
        <v>4.5999999999999996</v>
      </c>
      <c r="E45" s="2">
        <v>8</v>
      </c>
      <c r="F45" s="2" t="s">
        <v>275</v>
      </c>
      <c r="G45" s="2">
        <v>4.9000000000000004</v>
      </c>
      <c r="H45">
        <v>9</v>
      </c>
      <c r="I45" s="1">
        <v>40102</v>
      </c>
      <c r="J45" s="8" t="s">
        <v>24</v>
      </c>
      <c r="K45" s="2">
        <v>3.4</v>
      </c>
      <c r="L45" s="94"/>
    </row>
    <row r="46" spans="1:12">
      <c r="A46" t="s">
        <v>92</v>
      </c>
      <c r="B46" s="1">
        <v>40102</v>
      </c>
      <c r="C46" s="2" t="s">
        <v>277</v>
      </c>
      <c r="D46" s="2">
        <v>4.9000000000000004</v>
      </c>
      <c r="E46" s="2">
        <v>9</v>
      </c>
      <c r="F46" s="2" t="s">
        <v>275</v>
      </c>
      <c r="G46" s="2">
        <v>5.0999999999999996</v>
      </c>
      <c r="H46">
        <v>9</v>
      </c>
      <c r="I46" s="1">
        <v>40109</v>
      </c>
      <c r="J46" s="8" t="s">
        <v>24</v>
      </c>
      <c r="K46" s="2">
        <v>4.0999999999999996</v>
      </c>
      <c r="L46" s="94"/>
    </row>
    <row r="47" spans="1:12">
      <c r="A47" t="s">
        <v>92</v>
      </c>
      <c r="B47" s="1">
        <v>40109</v>
      </c>
      <c r="C47" s="2" t="s">
        <v>290</v>
      </c>
      <c r="D47" s="2">
        <v>3.9</v>
      </c>
      <c r="E47" s="2">
        <v>7</v>
      </c>
      <c r="F47" s="2" t="s">
        <v>275</v>
      </c>
      <c r="G47" s="2">
        <v>5.2</v>
      </c>
      <c r="H47">
        <v>9</v>
      </c>
      <c r="I47" s="1">
        <v>40116</v>
      </c>
      <c r="J47" s="8" t="s">
        <v>24</v>
      </c>
      <c r="K47" s="2">
        <v>3.4</v>
      </c>
      <c r="L47" s="94"/>
    </row>
    <row r="48" spans="1:12">
      <c r="A48" t="s">
        <v>92</v>
      </c>
      <c r="B48" s="1">
        <v>40116</v>
      </c>
      <c r="C48" s="2" t="s">
        <v>277</v>
      </c>
      <c r="D48" s="2">
        <v>5</v>
      </c>
      <c r="E48" s="2">
        <v>9</v>
      </c>
      <c r="F48" s="2" t="s">
        <v>275</v>
      </c>
      <c r="G48" s="2">
        <v>5</v>
      </c>
      <c r="H48">
        <v>9</v>
      </c>
      <c r="I48" s="1">
        <v>40123</v>
      </c>
      <c r="J48" s="8" t="s">
        <v>24</v>
      </c>
      <c r="K48" s="2">
        <v>3.1</v>
      </c>
      <c r="L48" s="94"/>
    </row>
    <row r="49" spans="1:12">
      <c r="A49" t="s">
        <v>92</v>
      </c>
      <c r="B49" s="1">
        <v>40123</v>
      </c>
      <c r="C49" s="2" t="s">
        <v>277</v>
      </c>
      <c r="D49" s="2">
        <v>5.7</v>
      </c>
      <c r="E49" s="2">
        <v>10</v>
      </c>
      <c r="F49" s="2" t="s">
        <v>275</v>
      </c>
      <c r="G49" s="2">
        <v>5.3</v>
      </c>
      <c r="H49">
        <v>10</v>
      </c>
      <c r="I49" s="1">
        <v>40130</v>
      </c>
      <c r="J49" s="8" t="s">
        <v>24</v>
      </c>
      <c r="K49" s="2">
        <v>3</v>
      </c>
      <c r="L49" s="94"/>
    </row>
    <row r="50" spans="1:12">
      <c r="A50" t="s">
        <v>92</v>
      </c>
      <c r="B50" s="1">
        <v>40130</v>
      </c>
      <c r="C50" s="2" t="s">
        <v>277</v>
      </c>
      <c r="D50" s="2">
        <v>4.9000000000000004</v>
      </c>
      <c r="E50" s="2">
        <v>9</v>
      </c>
      <c r="F50" s="2" t="s">
        <v>275</v>
      </c>
      <c r="G50" s="2">
        <v>5.2</v>
      </c>
      <c r="H50">
        <v>9</v>
      </c>
      <c r="I50" s="1"/>
      <c r="J50" s="1"/>
      <c r="L50" s="94"/>
    </row>
    <row r="51" spans="1:12">
      <c r="A51" s="94" t="s">
        <v>42</v>
      </c>
      <c r="B51" s="1"/>
      <c r="D51" s="97">
        <f t="shared" ref="D51:K51" si="4">AVERAGE(D42:D50)</f>
        <v>4.7333333333333334</v>
      </c>
      <c r="E51" s="97">
        <f t="shared" si="4"/>
        <v>8.4444444444444446</v>
      </c>
      <c r="F51" s="97" t="e">
        <f t="shared" si="4"/>
        <v>#DIV/0!</v>
      </c>
      <c r="G51" s="97">
        <f t="shared" si="4"/>
        <v>4.8999999999999995</v>
      </c>
      <c r="H51" s="97">
        <f t="shared" si="4"/>
        <v>8.8888888888888893</v>
      </c>
      <c r="I51" s="97">
        <f t="shared" si="4"/>
        <v>40105.5</v>
      </c>
      <c r="J51" s="97" t="e">
        <f t="shared" si="4"/>
        <v>#DIV/0!</v>
      </c>
      <c r="K51" s="97">
        <f t="shared" si="4"/>
        <v>3.5</v>
      </c>
      <c r="L51" s="98">
        <f>K51+G51+D51</f>
        <v>13.133333333333333</v>
      </c>
    </row>
    <row r="52" spans="1:12">
      <c r="B52" s="19"/>
    </row>
    <row r="54" spans="1:12">
      <c r="I54" s="21"/>
      <c r="J54" s="21"/>
    </row>
    <row r="55" spans="1:12">
      <c r="B55" s="21"/>
    </row>
  </sheetData>
  <phoneticPr fontId="8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1"/>
  <sheetViews>
    <sheetView zoomScale="70" zoomScaleNormal="70" zoomScalePageLayoutView="70" workbookViewId="0">
      <selection activeCell="Q19" sqref="Q19"/>
    </sheetView>
  </sheetViews>
  <sheetFormatPr defaultColWidth="8.85546875" defaultRowHeight="15"/>
  <cols>
    <col min="1" max="1" width="22.140625" customWidth="1"/>
    <col min="2" max="3" width="19.42578125" customWidth="1"/>
  </cols>
  <sheetData>
    <row r="1" spans="1:3" s="49" customFormat="1" ht="30">
      <c r="A1" s="52" t="s">
        <v>79</v>
      </c>
      <c r="B1" s="52" t="s">
        <v>134</v>
      </c>
      <c r="C1" s="52" t="s">
        <v>135</v>
      </c>
    </row>
    <row r="2" spans="1:3">
      <c r="A2" s="105" t="s">
        <v>216</v>
      </c>
      <c r="B2" s="106">
        <v>101802.64</v>
      </c>
      <c r="C2" s="106">
        <v>15896.99</v>
      </c>
    </row>
    <row r="3" spans="1:3">
      <c r="A3" s="30" t="s">
        <v>83</v>
      </c>
      <c r="B3" s="107">
        <v>151267.72</v>
      </c>
      <c r="C3" s="107">
        <v>4546.43</v>
      </c>
    </row>
    <row r="4" spans="1:3">
      <c r="A4" s="30" t="s">
        <v>82</v>
      </c>
      <c r="B4" s="107">
        <v>82162.03</v>
      </c>
      <c r="C4" s="107">
        <v>14877.08</v>
      </c>
    </row>
    <row r="5" spans="1:3">
      <c r="A5" s="30" t="s">
        <v>183</v>
      </c>
      <c r="B5" s="107">
        <v>109648.54</v>
      </c>
      <c r="C5" s="107">
        <v>7042.34</v>
      </c>
    </row>
    <row r="6" spans="1:3">
      <c r="A6" s="53" t="s">
        <v>185</v>
      </c>
      <c r="B6" s="54">
        <v>89743.88</v>
      </c>
      <c r="C6" s="54">
        <v>9252.27</v>
      </c>
    </row>
    <row r="7" spans="1:3">
      <c r="A7" s="10" t="s">
        <v>136</v>
      </c>
      <c r="B7" s="51">
        <v>55081.440000000002</v>
      </c>
      <c r="C7" s="51"/>
    </row>
    <row r="8" spans="1:3">
      <c r="A8" s="10" t="s">
        <v>137</v>
      </c>
      <c r="B8" s="51">
        <v>67128.17</v>
      </c>
      <c r="C8" s="51"/>
    </row>
    <row r="9" spans="1:3">
      <c r="A9" s="10" t="s">
        <v>138</v>
      </c>
      <c r="B9" s="51">
        <v>62935.63</v>
      </c>
      <c r="C9" s="51"/>
    </row>
    <row r="10" spans="1:3">
      <c r="A10" s="10" t="s">
        <v>139</v>
      </c>
      <c r="B10" s="51">
        <v>57577.37</v>
      </c>
      <c r="C10" s="51"/>
    </row>
    <row r="11" spans="1:3">
      <c r="A11" s="10" t="s">
        <v>140</v>
      </c>
      <c r="B11" s="51">
        <v>49540.99</v>
      </c>
      <c r="C11" s="51"/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48"/>
  <sheetViews>
    <sheetView zoomScale="70" zoomScaleNormal="70" zoomScalePageLayoutView="70" workbookViewId="0">
      <pane ySplit="1" topLeftCell="A2" activePane="bottomLeft" state="frozen"/>
      <selection activeCell="L34" sqref="L34"/>
      <selection pane="bottomLeft" activeCell="I3" sqref="I3"/>
    </sheetView>
  </sheetViews>
  <sheetFormatPr defaultColWidth="8.85546875" defaultRowHeight="15"/>
  <cols>
    <col min="1" max="1" width="12.42578125" bestFit="1" customWidth="1"/>
    <col min="2" max="2" width="21.28515625" bestFit="1" customWidth="1"/>
    <col min="3" max="3" width="21.28515625" customWidth="1"/>
    <col min="4" max="4" width="16.85546875" style="2" bestFit="1" customWidth="1"/>
    <col min="5" max="5" width="16.85546875" style="2" customWidth="1"/>
    <col min="6" max="6" width="16.28515625" bestFit="1" customWidth="1"/>
    <col min="8" max="8" width="30.42578125" bestFit="1" customWidth="1"/>
    <col min="9" max="9" width="17.85546875" bestFit="1" customWidth="1"/>
    <col min="10" max="10" width="25.42578125" customWidth="1"/>
  </cols>
  <sheetData>
    <row r="1" spans="1:13" ht="30">
      <c r="A1" s="58" t="s">
        <v>10</v>
      </c>
      <c r="B1" s="50" t="s">
        <v>253</v>
      </c>
      <c r="C1" s="50" t="s">
        <v>378</v>
      </c>
      <c r="D1" s="50" t="s">
        <v>379</v>
      </c>
      <c r="E1" s="50" t="s">
        <v>78</v>
      </c>
      <c r="F1" s="50" t="s">
        <v>75</v>
      </c>
      <c r="G1" s="92"/>
      <c r="H1" s="85" t="s">
        <v>79</v>
      </c>
      <c r="I1" s="85" t="s">
        <v>80</v>
      </c>
      <c r="J1" s="85" t="s">
        <v>81</v>
      </c>
      <c r="K1" s="85" t="s">
        <v>84</v>
      </c>
      <c r="L1" s="85" t="s">
        <v>85</v>
      </c>
      <c r="M1" s="85"/>
    </row>
    <row r="2" spans="1:13">
      <c r="A2" t="s">
        <v>89</v>
      </c>
      <c r="B2" s="7">
        <v>40077</v>
      </c>
      <c r="C2" s="8" t="s">
        <v>24</v>
      </c>
      <c r="D2" s="18">
        <v>3.9</v>
      </c>
      <c r="E2" s="18">
        <v>6</v>
      </c>
      <c r="F2" s="91">
        <v>53640</v>
      </c>
      <c r="H2" s="86" t="s">
        <v>41</v>
      </c>
      <c r="I2" s="87"/>
      <c r="J2" s="87"/>
      <c r="K2" s="87"/>
      <c r="L2" s="88"/>
      <c r="M2" s="23"/>
    </row>
    <row r="3" spans="1:13">
      <c r="A3" t="s">
        <v>89</v>
      </c>
      <c r="B3" s="3">
        <v>40084</v>
      </c>
      <c r="C3" s="8" t="s">
        <v>24</v>
      </c>
      <c r="D3" s="18">
        <v>3.6</v>
      </c>
      <c r="E3" s="18">
        <v>6</v>
      </c>
      <c r="F3" s="91">
        <v>53640</v>
      </c>
      <c r="H3" s="2" t="s">
        <v>26</v>
      </c>
      <c r="I3" s="23">
        <f>AVERAGE($D$2:$D$9)</f>
        <v>3.1750000000000003</v>
      </c>
      <c r="J3" s="91">
        <f>F2/I3</f>
        <v>16894.488188976378</v>
      </c>
      <c r="K3" s="93">
        <f>MIN($D$2:$D$9)</f>
        <v>2.6</v>
      </c>
      <c r="L3" s="93">
        <f>MAX($D$2:$D$9)</f>
        <v>3.9</v>
      </c>
    </row>
    <row r="4" spans="1:13">
      <c r="A4" t="s">
        <v>89</v>
      </c>
      <c r="B4" s="1">
        <v>40091</v>
      </c>
      <c r="C4" s="8" t="s">
        <v>24</v>
      </c>
      <c r="D4" s="18">
        <v>3</v>
      </c>
      <c r="E4" s="18">
        <v>5</v>
      </c>
      <c r="F4" s="91">
        <v>53640</v>
      </c>
      <c r="H4" s="2" t="s">
        <v>27</v>
      </c>
      <c r="I4" s="23">
        <f>AVERAGE($D$10:$D$17)</f>
        <v>4.0125000000000002</v>
      </c>
      <c r="J4" s="91">
        <f>F10/I4</f>
        <v>16368.348909657319</v>
      </c>
      <c r="K4" s="93">
        <f>MIN($D$10:$D$17)</f>
        <v>3.6</v>
      </c>
      <c r="L4" s="93">
        <f>MAX($D$10:$D$17)</f>
        <v>4.5999999999999996</v>
      </c>
    </row>
    <row r="5" spans="1:13">
      <c r="A5" t="s">
        <v>89</v>
      </c>
      <c r="B5" s="1">
        <v>40098</v>
      </c>
      <c r="C5" s="8" t="s">
        <v>24</v>
      </c>
      <c r="D5" s="18">
        <v>3.3</v>
      </c>
      <c r="E5" s="18">
        <v>6</v>
      </c>
      <c r="F5" s="91">
        <v>53640</v>
      </c>
      <c r="H5" s="2" t="s">
        <v>28</v>
      </c>
      <c r="I5" s="23">
        <f>AVERAGE($D$18:$D$25)</f>
        <v>3.6999999999999997</v>
      </c>
      <c r="J5" s="91">
        <f>F18/I5</f>
        <v>16760</v>
      </c>
      <c r="K5" s="93">
        <f>MIN($D$18:$D$25)</f>
        <v>3.2</v>
      </c>
      <c r="L5" s="93">
        <f>MAX($D$18:$D$25)</f>
        <v>4.3</v>
      </c>
    </row>
    <row r="6" spans="1:13">
      <c r="A6" t="s">
        <v>89</v>
      </c>
      <c r="B6" s="1">
        <v>40105</v>
      </c>
      <c r="C6" s="8" t="s">
        <v>24</v>
      </c>
      <c r="D6" s="18">
        <v>3.1</v>
      </c>
      <c r="E6" s="18">
        <v>5</v>
      </c>
      <c r="F6" s="91">
        <v>53640</v>
      </c>
      <c r="H6" s="2" t="s">
        <v>29</v>
      </c>
      <c r="I6" s="23">
        <f>AVERAGE($D$26:$D$33)</f>
        <v>3.2375000000000003</v>
      </c>
      <c r="J6" s="91">
        <f>F26/I6</f>
        <v>17697.297297297297</v>
      </c>
      <c r="K6" s="93">
        <f>MIN($D$26:$D$33)</f>
        <v>3</v>
      </c>
      <c r="L6" s="93">
        <f>MAX($D$26:$D$33)</f>
        <v>3.5</v>
      </c>
    </row>
    <row r="7" spans="1:13">
      <c r="A7" t="s">
        <v>89</v>
      </c>
      <c r="B7" s="1">
        <v>40112</v>
      </c>
      <c r="C7" s="8" t="s">
        <v>24</v>
      </c>
      <c r="D7" s="18">
        <v>3.2</v>
      </c>
      <c r="E7" s="18">
        <v>5</v>
      </c>
      <c r="F7" s="91">
        <v>53640</v>
      </c>
      <c r="H7" s="2" t="s">
        <v>30</v>
      </c>
      <c r="I7" s="19">
        <f>AVERAGE($D$34:$D$41)</f>
        <v>3.5</v>
      </c>
      <c r="J7" s="91">
        <f>F34/I7</f>
        <v>13943.714285714286</v>
      </c>
      <c r="K7" s="93">
        <f>MIN($D$34:$D$41)</f>
        <v>3</v>
      </c>
      <c r="L7" s="93">
        <f>MAX($D$34:$D$41)</f>
        <v>4.0999999999999996</v>
      </c>
    </row>
    <row r="8" spans="1:13">
      <c r="A8" t="s">
        <v>89</v>
      </c>
      <c r="B8" s="1">
        <v>40119</v>
      </c>
      <c r="C8" s="8" t="s">
        <v>24</v>
      </c>
      <c r="D8" s="18">
        <v>2.6</v>
      </c>
      <c r="E8" s="18">
        <v>4</v>
      </c>
      <c r="F8" s="91">
        <v>53640</v>
      </c>
    </row>
    <row r="9" spans="1:13">
      <c r="A9" t="s">
        <v>89</v>
      </c>
      <c r="B9" s="1">
        <v>40126</v>
      </c>
      <c r="C9" s="8" t="s">
        <v>24</v>
      </c>
      <c r="D9" s="18">
        <v>2.7</v>
      </c>
      <c r="E9" s="18">
        <v>4</v>
      </c>
      <c r="F9" s="91">
        <v>53640</v>
      </c>
    </row>
    <row r="10" spans="1:13">
      <c r="A10" t="s">
        <v>90</v>
      </c>
      <c r="B10" s="7">
        <v>40078</v>
      </c>
      <c r="C10" s="8" t="s">
        <v>24</v>
      </c>
      <c r="D10" s="18">
        <v>4.5999999999999996</v>
      </c>
      <c r="E10" s="18">
        <v>8</v>
      </c>
      <c r="F10" s="91">
        <v>65678</v>
      </c>
    </row>
    <row r="11" spans="1:13">
      <c r="A11" t="s">
        <v>90</v>
      </c>
      <c r="B11" s="3">
        <v>40085</v>
      </c>
      <c r="C11" s="8" t="s">
        <v>24</v>
      </c>
      <c r="D11" s="18">
        <v>4.4000000000000004</v>
      </c>
      <c r="E11" s="18">
        <v>8</v>
      </c>
      <c r="F11" s="91">
        <v>65678</v>
      </c>
    </row>
    <row r="12" spans="1:13">
      <c r="A12" t="s">
        <v>90</v>
      </c>
      <c r="B12" s="1">
        <v>40092</v>
      </c>
      <c r="C12" s="8" t="s">
        <v>24</v>
      </c>
      <c r="D12" s="18">
        <v>4</v>
      </c>
      <c r="E12" s="18">
        <v>7</v>
      </c>
      <c r="F12" s="91">
        <v>65678</v>
      </c>
    </row>
    <row r="13" spans="1:13">
      <c r="A13" t="s">
        <v>90</v>
      </c>
      <c r="B13" s="1">
        <v>40099</v>
      </c>
      <c r="C13" s="8" t="s">
        <v>24</v>
      </c>
      <c r="D13" s="18">
        <v>3.8</v>
      </c>
      <c r="E13" s="18">
        <v>7</v>
      </c>
      <c r="F13" s="91">
        <v>65678</v>
      </c>
    </row>
    <row r="14" spans="1:13">
      <c r="A14" t="s">
        <v>90</v>
      </c>
      <c r="B14" s="1">
        <v>40106</v>
      </c>
      <c r="C14" s="8" t="s">
        <v>24</v>
      </c>
      <c r="D14" s="18">
        <v>3.6</v>
      </c>
      <c r="E14" s="18">
        <v>6</v>
      </c>
      <c r="F14" s="91">
        <v>65678</v>
      </c>
    </row>
    <row r="15" spans="1:13">
      <c r="A15" t="s">
        <v>90</v>
      </c>
      <c r="B15" s="1">
        <v>40113</v>
      </c>
      <c r="C15" s="8" t="s">
        <v>24</v>
      </c>
      <c r="D15" s="18">
        <v>3.9</v>
      </c>
      <c r="E15" s="18">
        <v>7</v>
      </c>
      <c r="F15" s="91">
        <v>65678</v>
      </c>
    </row>
    <row r="16" spans="1:13">
      <c r="A16" t="s">
        <v>90</v>
      </c>
      <c r="B16" s="1">
        <v>40120</v>
      </c>
      <c r="C16" s="8" t="s">
        <v>24</v>
      </c>
      <c r="D16" s="18">
        <v>4</v>
      </c>
      <c r="E16" s="18">
        <v>7</v>
      </c>
      <c r="F16" s="91">
        <v>65678</v>
      </c>
    </row>
    <row r="17" spans="1:24">
      <c r="A17" t="s">
        <v>90</v>
      </c>
      <c r="B17" s="1">
        <v>40127</v>
      </c>
      <c r="C17" s="8" t="s">
        <v>24</v>
      </c>
      <c r="D17" s="18">
        <v>3.8</v>
      </c>
      <c r="E17" s="18">
        <v>6</v>
      </c>
      <c r="F17" s="91">
        <v>65678</v>
      </c>
    </row>
    <row r="18" spans="1:24">
      <c r="A18" t="s">
        <v>91</v>
      </c>
      <c r="B18" s="7">
        <v>40079</v>
      </c>
      <c r="C18" s="8" t="s">
        <v>24</v>
      </c>
      <c r="D18" s="18">
        <v>4.3</v>
      </c>
      <c r="E18" s="18">
        <v>7</v>
      </c>
      <c r="F18" s="91">
        <v>62012</v>
      </c>
    </row>
    <row r="19" spans="1:24">
      <c r="A19" t="s">
        <v>91</v>
      </c>
      <c r="B19" s="3">
        <v>40086</v>
      </c>
      <c r="C19" s="8" t="s">
        <v>24</v>
      </c>
      <c r="D19" s="18">
        <v>4.0999999999999996</v>
      </c>
      <c r="E19" s="18">
        <v>7</v>
      </c>
      <c r="F19" s="91">
        <v>62012</v>
      </c>
    </row>
    <row r="20" spans="1:24">
      <c r="A20" t="s">
        <v>91</v>
      </c>
      <c r="B20" s="1">
        <v>40093</v>
      </c>
      <c r="C20" s="8" t="s">
        <v>24</v>
      </c>
      <c r="D20" s="18">
        <v>3.9</v>
      </c>
      <c r="E20" s="18">
        <v>7</v>
      </c>
      <c r="F20" s="91">
        <v>62012</v>
      </c>
    </row>
    <row r="21" spans="1:24">
      <c r="A21" t="s">
        <v>91</v>
      </c>
      <c r="B21" s="1">
        <v>40100</v>
      </c>
      <c r="C21" s="8" t="s">
        <v>24</v>
      </c>
      <c r="D21" s="18">
        <v>4</v>
      </c>
      <c r="E21" s="18">
        <v>7</v>
      </c>
      <c r="F21" s="91">
        <v>62012</v>
      </c>
    </row>
    <row r="22" spans="1:24">
      <c r="A22" t="s">
        <v>91</v>
      </c>
      <c r="B22" s="1">
        <v>40107</v>
      </c>
      <c r="C22" s="8" t="s">
        <v>24</v>
      </c>
      <c r="D22" s="18">
        <v>3.5</v>
      </c>
      <c r="E22" s="18">
        <v>6</v>
      </c>
      <c r="F22" s="91">
        <v>62012</v>
      </c>
    </row>
    <row r="23" spans="1:24" s="2" customFormat="1">
      <c r="A23" t="s">
        <v>91</v>
      </c>
      <c r="B23" s="1">
        <v>40114</v>
      </c>
      <c r="C23" s="8" t="s">
        <v>24</v>
      </c>
      <c r="D23" s="18">
        <v>3.3</v>
      </c>
      <c r="E23" s="18">
        <v>6</v>
      </c>
      <c r="F23" s="91">
        <v>62012</v>
      </c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s="2" customFormat="1">
      <c r="A24" t="s">
        <v>91</v>
      </c>
      <c r="B24" s="1">
        <v>40121</v>
      </c>
      <c r="C24" s="8" t="s">
        <v>24</v>
      </c>
      <c r="D24" s="18">
        <v>3.3</v>
      </c>
      <c r="E24" s="18">
        <v>6</v>
      </c>
      <c r="F24" s="91">
        <v>62012</v>
      </c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s="2" customFormat="1">
      <c r="A25" t="s">
        <v>91</v>
      </c>
      <c r="B25" s="1">
        <v>40128</v>
      </c>
      <c r="C25" s="8" t="s">
        <v>24</v>
      </c>
      <c r="D25" s="18">
        <v>3.2</v>
      </c>
      <c r="E25" s="18">
        <v>5</v>
      </c>
      <c r="F25" s="91">
        <v>62012</v>
      </c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s="2" customFormat="1">
      <c r="A26" t="s">
        <v>107</v>
      </c>
      <c r="B26" s="7">
        <v>40080</v>
      </c>
      <c r="C26" s="8" t="s">
        <v>24</v>
      </c>
      <c r="D26" s="18">
        <v>3.5</v>
      </c>
      <c r="E26" s="18">
        <v>6</v>
      </c>
      <c r="F26" s="91">
        <v>57295</v>
      </c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s="2" customFormat="1">
      <c r="A27" t="s">
        <v>107</v>
      </c>
      <c r="B27" s="1">
        <v>40087</v>
      </c>
      <c r="C27" s="8" t="s">
        <v>24</v>
      </c>
      <c r="D27" s="18">
        <v>3.3</v>
      </c>
      <c r="E27" s="18">
        <v>6</v>
      </c>
      <c r="F27" s="91">
        <v>57295</v>
      </c>
      <c r="G27"/>
      <c r="H27"/>
      <c r="I27"/>
      <c r="J27" s="23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s="2" customFormat="1">
      <c r="A28" t="s">
        <v>107</v>
      </c>
      <c r="B28" s="1">
        <v>40094</v>
      </c>
      <c r="C28" s="8" t="s">
        <v>24</v>
      </c>
      <c r="D28" s="18">
        <v>3.1</v>
      </c>
      <c r="E28" s="18">
        <v>5</v>
      </c>
      <c r="F28" s="91">
        <v>57295</v>
      </c>
      <c r="G28"/>
      <c r="H28"/>
      <c r="I28"/>
      <c r="J28" s="23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s="2" customFormat="1">
      <c r="A29" t="s">
        <v>107</v>
      </c>
      <c r="B29" s="1">
        <v>40101</v>
      </c>
      <c r="C29" s="8" t="s">
        <v>24</v>
      </c>
      <c r="D29" s="18">
        <v>3.4</v>
      </c>
      <c r="E29" s="18">
        <v>6</v>
      </c>
      <c r="F29" s="91">
        <v>57295</v>
      </c>
      <c r="G29"/>
      <c r="H29"/>
      <c r="I29"/>
      <c r="J29" s="23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s="2" customFormat="1">
      <c r="A30" t="s">
        <v>107</v>
      </c>
      <c r="B30" s="1">
        <v>40108</v>
      </c>
      <c r="C30" s="8" t="s">
        <v>24</v>
      </c>
      <c r="D30" s="18">
        <v>3.3</v>
      </c>
      <c r="E30" s="18">
        <v>6</v>
      </c>
      <c r="F30" s="91">
        <v>57295</v>
      </c>
      <c r="G30"/>
      <c r="H30"/>
      <c r="I30"/>
      <c r="J30" s="23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s="2" customFormat="1">
      <c r="A31" t="s">
        <v>107</v>
      </c>
      <c r="B31" s="1">
        <v>40115</v>
      </c>
      <c r="C31" s="8" t="s">
        <v>24</v>
      </c>
      <c r="D31" s="18">
        <v>3</v>
      </c>
      <c r="E31" s="18">
        <v>5</v>
      </c>
      <c r="F31" s="91">
        <v>57295</v>
      </c>
      <c r="G31"/>
      <c r="H31"/>
      <c r="I31"/>
      <c r="J31" s="23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s="2" customFormat="1">
      <c r="A32" t="s">
        <v>107</v>
      </c>
      <c r="B32" s="1">
        <v>40122</v>
      </c>
      <c r="C32" s="8" t="s">
        <v>24</v>
      </c>
      <c r="D32" s="18">
        <v>3.2</v>
      </c>
      <c r="E32" s="18">
        <v>6</v>
      </c>
      <c r="F32" s="91">
        <v>57295</v>
      </c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 s="2" customFormat="1">
      <c r="A33" t="s">
        <v>107</v>
      </c>
      <c r="B33" s="1">
        <v>40129</v>
      </c>
      <c r="C33" s="8" t="s">
        <v>24</v>
      </c>
      <c r="D33" s="18">
        <v>3.1</v>
      </c>
      <c r="E33" s="18">
        <v>5</v>
      </c>
      <c r="F33" s="91">
        <v>57295</v>
      </c>
      <c r="G33"/>
      <c r="H33"/>
      <c r="I33"/>
      <c r="J33"/>
      <c r="K33"/>
      <c r="L33"/>
      <c r="O33"/>
      <c r="P33"/>
      <c r="Q33"/>
      <c r="R33"/>
      <c r="S33"/>
      <c r="T33"/>
      <c r="U33"/>
      <c r="V33"/>
      <c r="W33"/>
      <c r="X33"/>
    </row>
    <row r="34" spans="1:24" s="2" customFormat="1">
      <c r="A34" t="s">
        <v>92</v>
      </c>
      <c r="B34" s="7">
        <v>40081</v>
      </c>
      <c r="C34" s="8" t="s">
        <v>24</v>
      </c>
      <c r="D34" s="18">
        <v>3.9</v>
      </c>
      <c r="E34" s="18">
        <v>7</v>
      </c>
      <c r="F34" s="91">
        <v>48803</v>
      </c>
      <c r="G34"/>
      <c r="H34"/>
      <c r="I34"/>
      <c r="J34"/>
      <c r="K34"/>
      <c r="L34"/>
      <c r="O34"/>
      <c r="P34"/>
      <c r="Q34"/>
      <c r="R34"/>
      <c r="S34"/>
      <c r="T34"/>
      <c r="U34"/>
      <c r="V34"/>
      <c r="W34"/>
      <c r="X34"/>
    </row>
    <row r="35" spans="1:24" s="2" customFormat="1">
      <c r="A35" t="s">
        <v>92</v>
      </c>
      <c r="B35" s="1">
        <v>40088</v>
      </c>
      <c r="C35" s="8" t="s">
        <v>24</v>
      </c>
      <c r="D35" s="18">
        <v>3.6</v>
      </c>
      <c r="E35" s="18">
        <v>7</v>
      </c>
      <c r="F35" s="91">
        <v>48803</v>
      </c>
      <c r="G35"/>
      <c r="H35"/>
      <c r="I35"/>
      <c r="J35"/>
      <c r="K35"/>
      <c r="L35"/>
      <c r="O35"/>
      <c r="P35"/>
      <c r="Q35"/>
      <c r="R35"/>
      <c r="S35"/>
      <c r="T35"/>
      <c r="U35"/>
      <c r="V35"/>
      <c r="W35"/>
      <c r="X35"/>
    </row>
    <row r="36" spans="1:24" s="2" customFormat="1">
      <c r="A36" t="s">
        <v>92</v>
      </c>
      <c r="B36" s="1">
        <v>40095</v>
      </c>
      <c r="C36" s="8" t="s">
        <v>24</v>
      </c>
      <c r="D36" s="18">
        <v>3.5</v>
      </c>
      <c r="E36" s="18">
        <v>7</v>
      </c>
      <c r="F36" s="91">
        <v>48803</v>
      </c>
      <c r="G36"/>
      <c r="H36"/>
      <c r="I36"/>
      <c r="J36"/>
      <c r="K36"/>
      <c r="L36"/>
      <c r="O36"/>
      <c r="P36"/>
      <c r="Q36"/>
      <c r="R36"/>
      <c r="S36"/>
      <c r="T36"/>
      <c r="U36"/>
      <c r="V36"/>
      <c r="W36"/>
      <c r="X36"/>
    </row>
    <row r="37" spans="1:24" s="2" customFormat="1">
      <c r="A37" t="s">
        <v>92</v>
      </c>
      <c r="B37" s="1">
        <v>40102</v>
      </c>
      <c r="C37" s="8" t="s">
        <v>24</v>
      </c>
      <c r="D37" s="18">
        <v>3.4</v>
      </c>
      <c r="E37" s="18">
        <v>6</v>
      </c>
      <c r="F37" s="91">
        <v>48803</v>
      </c>
      <c r="G37"/>
      <c r="H37"/>
      <c r="I37"/>
      <c r="J37"/>
      <c r="K37"/>
      <c r="L37"/>
      <c r="O37"/>
      <c r="P37"/>
      <c r="Q37"/>
      <c r="R37"/>
      <c r="S37"/>
      <c r="T37"/>
      <c r="U37"/>
      <c r="V37"/>
      <c r="W37"/>
      <c r="X37"/>
    </row>
    <row r="38" spans="1:24" s="2" customFormat="1">
      <c r="A38" t="s">
        <v>92</v>
      </c>
      <c r="B38" s="1">
        <v>40109</v>
      </c>
      <c r="C38" s="8" t="s">
        <v>24</v>
      </c>
      <c r="D38" s="18">
        <v>4.0999999999999996</v>
      </c>
      <c r="E38" s="18">
        <v>8</v>
      </c>
      <c r="F38" s="91">
        <v>48803</v>
      </c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s="2" customFormat="1">
      <c r="A39" t="s">
        <v>92</v>
      </c>
      <c r="B39" s="1">
        <v>40116</v>
      </c>
      <c r="C39" s="8" t="s">
        <v>24</v>
      </c>
      <c r="D39" s="18">
        <v>3.4</v>
      </c>
      <c r="E39" s="18">
        <v>6</v>
      </c>
      <c r="F39" s="91">
        <v>48803</v>
      </c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s="2" customFormat="1">
      <c r="A40" t="s">
        <v>92</v>
      </c>
      <c r="B40" s="1">
        <v>40123</v>
      </c>
      <c r="C40" s="8" t="s">
        <v>24</v>
      </c>
      <c r="D40" s="18">
        <v>3.1</v>
      </c>
      <c r="E40" s="18">
        <v>6</v>
      </c>
      <c r="F40" s="91">
        <v>48803</v>
      </c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24" s="2" customFormat="1">
      <c r="A41" t="s">
        <v>92</v>
      </c>
      <c r="B41" s="1">
        <v>40130</v>
      </c>
      <c r="C41" s="8" t="s">
        <v>24</v>
      </c>
      <c r="D41" s="18">
        <v>3</v>
      </c>
      <c r="E41" s="18">
        <v>5</v>
      </c>
      <c r="F41" s="91">
        <v>48803</v>
      </c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1:24" s="2" customFormat="1">
      <c r="A42"/>
      <c r="B42" s="1"/>
      <c r="C42" s="1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  <row r="43" spans="1:24" s="2" customFormat="1">
      <c r="A43"/>
      <c r="B43" s="19"/>
      <c r="C43" s="19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1:24" s="2" customFormat="1">
      <c r="A44"/>
      <c r="B44"/>
      <c r="C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  <row r="45" spans="1:24" s="2" customFormat="1">
      <c r="A45"/>
      <c r="B45"/>
      <c r="C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</row>
    <row r="46" spans="1:24" s="2" customFormat="1">
      <c r="A46"/>
      <c r="B46" s="21"/>
      <c r="C46" s="21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</row>
    <row r="48" spans="1:24" s="2" customFormat="1">
      <c r="A48"/>
      <c r="B48"/>
      <c r="C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</row>
  </sheetData>
  <autoFilter ref="A1:F41"/>
  <sortState ref="A3:E47">
    <sortCondition ref="A3:A47" customList="Sunday,Monday,Tuesday,Wednesday,Thursday,Friday,Saturday"/>
  </sortState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Y33"/>
  <sheetViews>
    <sheetView zoomScale="70" zoomScaleNormal="70" zoomScalePageLayoutView="70" workbookViewId="0">
      <pane ySplit="1" topLeftCell="A2" activePane="bottomLeft" state="frozen"/>
      <selection activeCell="L34" sqref="L34"/>
      <selection pane="bottomLeft" activeCell="F32" sqref="F32"/>
    </sheetView>
  </sheetViews>
  <sheetFormatPr defaultColWidth="8.85546875" defaultRowHeight="15"/>
  <cols>
    <col min="1" max="1" width="15.28515625" customWidth="1"/>
    <col min="2" max="2" width="14.7109375" bestFit="1" customWidth="1"/>
    <col min="3" max="3" width="24.28515625" bestFit="1" customWidth="1"/>
    <col min="4" max="4" width="14.28515625" bestFit="1" customWidth="1"/>
    <col min="6" max="6" width="16.42578125" bestFit="1" customWidth="1"/>
    <col min="7" max="7" width="7.28515625" customWidth="1"/>
    <col min="8" max="8" width="21" customWidth="1"/>
    <col min="9" max="9" width="17.85546875" bestFit="1" customWidth="1"/>
    <col min="10" max="10" width="24.42578125" bestFit="1" customWidth="1"/>
    <col min="11" max="11" width="5.7109375" bestFit="1" customWidth="1"/>
    <col min="12" max="12" width="6" bestFit="1" customWidth="1"/>
    <col min="13" max="13" width="10" bestFit="1" customWidth="1"/>
    <col min="349" max="349" width="9.140625" hidden="1" customWidth="1"/>
    <col min="350" max="760" width="8.85546875" style="10"/>
  </cols>
  <sheetData>
    <row r="1" spans="1:779" s="48" customFormat="1" ht="30">
      <c r="A1" s="58" t="s">
        <v>10</v>
      </c>
      <c r="B1" s="85" t="s">
        <v>253</v>
      </c>
      <c r="C1" s="85" t="s">
        <v>378</v>
      </c>
      <c r="D1" s="85" t="s">
        <v>379</v>
      </c>
      <c r="E1" s="85" t="s">
        <v>78</v>
      </c>
      <c r="F1" s="85" t="s">
        <v>75</v>
      </c>
      <c r="G1" s="85"/>
      <c r="H1" s="85" t="s">
        <v>79</v>
      </c>
      <c r="I1" s="85" t="s">
        <v>80</v>
      </c>
      <c r="J1" s="85" t="s">
        <v>81</v>
      </c>
      <c r="K1" s="85" t="s">
        <v>84</v>
      </c>
      <c r="L1" s="85" t="s">
        <v>85</v>
      </c>
      <c r="M1" s="85" t="s">
        <v>86</v>
      </c>
      <c r="ML1" s="57"/>
      <c r="MM1" s="57"/>
      <c r="MN1" s="57"/>
      <c r="MO1" s="57"/>
      <c r="MP1" s="57"/>
      <c r="MQ1" s="57"/>
      <c r="MR1" s="57"/>
      <c r="MS1" s="57"/>
      <c r="MT1" s="57"/>
      <c r="MU1" s="57"/>
      <c r="MV1" s="57"/>
      <c r="MW1" s="57"/>
      <c r="MX1" s="57"/>
      <c r="MY1" s="57"/>
      <c r="MZ1" s="57"/>
      <c r="NA1" s="57"/>
      <c r="NB1" s="57"/>
      <c r="NC1" s="57"/>
      <c r="ND1" s="57"/>
      <c r="NE1" s="57"/>
      <c r="NF1" s="57"/>
      <c r="NG1" s="57"/>
      <c r="NH1" s="57"/>
      <c r="NI1" s="57"/>
      <c r="NJ1" s="57"/>
      <c r="NK1" s="57"/>
      <c r="NL1" s="57"/>
      <c r="NM1" s="57"/>
      <c r="NN1" s="57"/>
      <c r="NO1" s="57"/>
      <c r="NP1" s="57"/>
      <c r="NQ1" s="57"/>
      <c r="NR1" s="57"/>
      <c r="NS1" s="57"/>
      <c r="NT1" s="57"/>
      <c r="NU1" s="57"/>
      <c r="NV1" s="57"/>
      <c r="NW1" s="57"/>
      <c r="NX1" s="57"/>
      <c r="NY1" s="57"/>
      <c r="NZ1" s="57"/>
      <c r="OA1" s="57"/>
      <c r="OB1" s="57"/>
      <c r="OC1" s="57"/>
      <c r="OD1" s="57"/>
      <c r="OE1" s="57"/>
      <c r="OF1" s="57"/>
      <c r="OG1" s="57"/>
      <c r="OH1" s="57"/>
      <c r="OI1" s="57"/>
      <c r="OJ1" s="57"/>
      <c r="OK1" s="57"/>
      <c r="OL1" s="57"/>
      <c r="OM1" s="57"/>
      <c r="ON1" s="57"/>
      <c r="OO1" s="57"/>
      <c r="OP1" s="57"/>
      <c r="OQ1" s="57"/>
      <c r="OR1" s="57"/>
      <c r="OS1" s="57"/>
      <c r="OT1" s="57"/>
      <c r="OU1" s="57"/>
      <c r="OV1" s="57"/>
      <c r="OW1" s="57"/>
      <c r="OX1" s="57"/>
      <c r="OY1" s="57"/>
      <c r="OZ1" s="57"/>
      <c r="PA1" s="57"/>
      <c r="PB1" s="57"/>
      <c r="PC1" s="57"/>
      <c r="PD1" s="57"/>
      <c r="PE1" s="57"/>
      <c r="PF1" s="57"/>
      <c r="PG1" s="57"/>
      <c r="PH1" s="57"/>
      <c r="PI1" s="57"/>
      <c r="PJ1" s="57"/>
      <c r="PK1" s="57"/>
      <c r="PL1" s="57"/>
      <c r="PM1" s="57"/>
      <c r="PN1" s="57"/>
      <c r="PO1" s="57"/>
      <c r="PP1" s="57"/>
      <c r="PQ1" s="57"/>
      <c r="PR1" s="57"/>
      <c r="PS1" s="57"/>
      <c r="PT1" s="57"/>
      <c r="PU1" s="57"/>
      <c r="PV1" s="57"/>
      <c r="PW1" s="57"/>
      <c r="PX1" s="57"/>
      <c r="PY1" s="57"/>
      <c r="PZ1" s="57"/>
      <c r="QA1" s="57"/>
      <c r="QB1" s="57"/>
      <c r="QC1" s="57"/>
      <c r="QD1" s="57"/>
      <c r="QE1" s="57"/>
      <c r="QF1" s="57"/>
      <c r="QG1" s="57"/>
      <c r="QH1" s="57"/>
      <c r="QI1" s="57"/>
      <c r="QJ1" s="57"/>
      <c r="QK1" s="57"/>
      <c r="QL1" s="57"/>
      <c r="QM1" s="57"/>
      <c r="QN1" s="57"/>
      <c r="QO1" s="57"/>
      <c r="QP1" s="57"/>
      <c r="QQ1" s="57"/>
      <c r="QR1" s="57"/>
      <c r="QS1" s="57"/>
      <c r="QT1" s="57"/>
      <c r="QU1" s="57"/>
      <c r="QV1" s="57"/>
      <c r="QW1" s="57"/>
      <c r="QX1" s="57"/>
      <c r="QY1" s="57"/>
      <c r="QZ1" s="57"/>
      <c r="RA1" s="57"/>
      <c r="RB1" s="57"/>
      <c r="RC1" s="57"/>
      <c r="RD1" s="57"/>
      <c r="RE1" s="57"/>
      <c r="RF1" s="57"/>
      <c r="RG1" s="57"/>
      <c r="RH1" s="57"/>
      <c r="RI1" s="57"/>
      <c r="RJ1" s="57"/>
      <c r="RK1" s="57"/>
      <c r="RL1" s="57"/>
      <c r="RM1" s="57"/>
      <c r="RN1" s="57"/>
      <c r="RO1" s="57"/>
      <c r="RP1" s="57"/>
      <c r="RQ1" s="57"/>
      <c r="RR1" s="57"/>
      <c r="RS1" s="57"/>
      <c r="RT1" s="57"/>
      <c r="RU1" s="57"/>
      <c r="RV1" s="57"/>
      <c r="RW1" s="57"/>
      <c r="RX1" s="57"/>
      <c r="RY1" s="57"/>
      <c r="RZ1" s="57"/>
      <c r="SA1" s="57"/>
      <c r="SB1" s="57"/>
      <c r="SC1" s="57"/>
      <c r="SD1" s="57"/>
      <c r="SE1" s="57"/>
      <c r="SF1" s="57"/>
      <c r="SG1" s="57"/>
      <c r="SH1" s="57"/>
      <c r="SI1" s="57"/>
      <c r="SJ1" s="57"/>
      <c r="SK1" s="57"/>
      <c r="SL1" s="57"/>
      <c r="SM1" s="57"/>
      <c r="SN1" s="57"/>
      <c r="SO1" s="57"/>
      <c r="SP1" s="57"/>
      <c r="SQ1" s="57"/>
      <c r="SR1" s="57"/>
      <c r="SS1" s="57"/>
      <c r="ST1" s="57"/>
      <c r="SU1" s="57"/>
      <c r="SV1" s="57"/>
      <c r="SW1" s="57"/>
      <c r="SX1" s="57"/>
      <c r="SY1" s="57"/>
      <c r="SZ1" s="57"/>
      <c r="TA1" s="57"/>
      <c r="TB1" s="57"/>
      <c r="TC1" s="57"/>
      <c r="TD1" s="57"/>
      <c r="TE1" s="57"/>
      <c r="TF1" s="57"/>
      <c r="TG1" s="57"/>
      <c r="TH1" s="57"/>
      <c r="TI1" s="57"/>
      <c r="TJ1" s="57"/>
      <c r="TK1" s="57"/>
      <c r="TL1" s="57"/>
      <c r="TM1" s="57"/>
      <c r="TN1" s="57"/>
      <c r="TO1" s="57"/>
      <c r="TP1" s="57"/>
      <c r="TQ1" s="57"/>
      <c r="TR1" s="57"/>
      <c r="TS1" s="57"/>
      <c r="TT1" s="57"/>
      <c r="TU1" s="57"/>
      <c r="TV1" s="57"/>
      <c r="TW1" s="57"/>
      <c r="TX1" s="57"/>
      <c r="TY1" s="57"/>
      <c r="TZ1" s="57"/>
      <c r="UA1" s="57"/>
      <c r="UB1" s="57"/>
      <c r="UC1" s="57"/>
      <c r="UD1" s="57"/>
      <c r="UE1" s="57"/>
      <c r="UF1" s="57"/>
      <c r="UG1" s="57"/>
      <c r="UH1" s="57"/>
      <c r="UI1" s="57"/>
      <c r="UJ1" s="57"/>
      <c r="UK1" s="57"/>
      <c r="UL1" s="57"/>
      <c r="UM1" s="57"/>
      <c r="UN1" s="57"/>
      <c r="UO1" s="57"/>
      <c r="UP1" s="57"/>
      <c r="UQ1" s="57"/>
      <c r="UR1" s="57"/>
      <c r="US1" s="57"/>
      <c r="UT1" s="57"/>
      <c r="UU1" s="57"/>
      <c r="UV1" s="57"/>
      <c r="UW1" s="57"/>
      <c r="UX1" s="57"/>
      <c r="UY1" s="57"/>
      <c r="UZ1" s="57"/>
      <c r="VA1" s="57"/>
      <c r="VB1" s="57"/>
      <c r="VC1" s="57"/>
      <c r="VD1" s="57"/>
      <c r="VE1" s="57"/>
      <c r="VF1" s="57"/>
      <c r="VG1" s="57"/>
      <c r="VH1" s="57"/>
      <c r="VI1" s="57"/>
      <c r="VJ1" s="57"/>
      <c r="VK1" s="57"/>
      <c r="VL1" s="57"/>
      <c r="VM1" s="57"/>
      <c r="VN1" s="57"/>
      <c r="VO1" s="57"/>
      <c r="VP1" s="57"/>
      <c r="VQ1" s="57"/>
      <c r="VR1" s="57"/>
      <c r="VS1" s="57"/>
      <c r="VT1" s="57"/>
      <c r="VU1" s="57"/>
      <c r="VV1" s="57"/>
      <c r="VW1" s="57"/>
      <c r="VX1" s="57"/>
      <c r="VY1" s="57"/>
      <c r="VZ1" s="57"/>
      <c r="WA1" s="57"/>
      <c r="WB1" s="57"/>
      <c r="WC1" s="57"/>
      <c r="WD1" s="57"/>
      <c r="WE1" s="57"/>
      <c r="WF1" s="57"/>
      <c r="WG1" s="57"/>
      <c r="WH1" s="57"/>
      <c r="WI1" s="57"/>
      <c r="WJ1" s="57"/>
      <c r="WK1" s="57"/>
      <c r="WL1" s="57"/>
      <c r="WM1" s="57"/>
      <c r="WN1" s="57"/>
      <c r="WO1" s="57"/>
      <c r="WP1" s="57"/>
      <c r="WQ1" s="57"/>
      <c r="WR1" s="57"/>
      <c r="WS1" s="57"/>
      <c r="WT1" s="57"/>
      <c r="WU1" s="57"/>
      <c r="WV1" s="57"/>
      <c r="WW1" s="57"/>
      <c r="WX1" s="57"/>
      <c r="WY1" s="57"/>
      <c r="WZ1" s="57"/>
      <c r="XA1" s="57"/>
      <c r="XB1" s="57"/>
      <c r="XC1" s="57"/>
      <c r="XD1" s="57"/>
      <c r="XE1" s="57"/>
      <c r="XF1" s="57"/>
      <c r="XG1" s="57"/>
      <c r="XH1" s="57"/>
      <c r="XI1" s="57"/>
      <c r="XJ1" s="57"/>
      <c r="XK1" s="57"/>
      <c r="XL1" s="57"/>
      <c r="XM1" s="57"/>
      <c r="XN1" s="57"/>
      <c r="XO1" s="57"/>
      <c r="XP1" s="57"/>
      <c r="XQ1" s="57"/>
      <c r="XR1" s="57"/>
      <c r="XS1" s="57"/>
      <c r="XT1" s="57"/>
      <c r="XU1" s="57"/>
      <c r="XV1" s="57"/>
      <c r="XW1" s="57"/>
      <c r="XX1" s="57"/>
      <c r="XY1" s="57"/>
      <c r="XZ1" s="57"/>
      <c r="YA1" s="57"/>
      <c r="YB1" s="57"/>
      <c r="YC1" s="57"/>
      <c r="YD1" s="57"/>
      <c r="YE1" s="57"/>
      <c r="YF1" s="57"/>
      <c r="YG1" s="57"/>
      <c r="YH1" s="57"/>
      <c r="YI1" s="57"/>
      <c r="YJ1" s="57"/>
      <c r="YK1" s="57"/>
      <c r="YL1" s="57"/>
      <c r="YM1" s="57"/>
      <c r="YN1" s="57"/>
      <c r="YO1" s="57"/>
      <c r="YP1" s="57"/>
      <c r="YQ1" s="57"/>
      <c r="YR1" s="57"/>
      <c r="YS1" s="57"/>
      <c r="YT1" s="57"/>
      <c r="YU1" s="57"/>
      <c r="YV1" s="57"/>
      <c r="YW1" s="57"/>
      <c r="YX1" s="57"/>
      <c r="YY1" s="57"/>
      <c r="YZ1" s="57"/>
      <c r="ZA1" s="57"/>
      <c r="ZB1" s="57"/>
      <c r="ZC1" s="57"/>
      <c r="ZD1" s="57"/>
      <c r="ZE1" s="57"/>
      <c r="ZF1" s="57"/>
      <c r="ZG1" s="57"/>
      <c r="ZH1" s="57"/>
      <c r="ZI1" s="57"/>
      <c r="ZJ1" s="57"/>
      <c r="ZK1" s="57"/>
      <c r="ZL1" s="57"/>
      <c r="ZM1" s="57"/>
      <c r="ZN1" s="57"/>
      <c r="ZO1" s="57"/>
      <c r="ZP1" s="57"/>
      <c r="ZQ1" s="57"/>
      <c r="ZR1" s="57"/>
      <c r="ZS1" s="57"/>
      <c r="ZT1" s="57"/>
      <c r="ZU1" s="57"/>
      <c r="ZV1" s="57"/>
      <c r="ZW1" s="57"/>
      <c r="ZX1" s="57"/>
      <c r="ZY1" s="57"/>
      <c r="ZZ1" s="57"/>
      <c r="AAA1" s="57"/>
      <c r="AAB1" s="57"/>
      <c r="AAC1" s="57"/>
      <c r="AAD1" s="57"/>
      <c r="AAE1" s="57"/>
      <c r="AAF1" s="57"/>
      <c r="AAG1" s="57"/>
      <c r="AAH1" s="57"/>
      <c r="AAI1" s="57"/>
      <c r="AAJ1" s="57"/>
      <c r="AAK1" s="57"/>
      <c r="AAL1" s="57"/>
      <c r="AAM1" s="57"/>
      <c r="AAN1" s="57"/>
      <c r="AAO1" s="57"/>
      <c r="AAP1" s="57"/>
      <c r="AAQ1" s="57"/>
      <c r="AAR1" s="57"/>
      <c r="AAS1" s="57"/>
      <c r="AAT1" s="57"/>
      <c r="AAU1" s="57"/>
      <c r="AAV1" s="57"/>
      <c r="AAW1" s="57"/>
      <c r="AAX1" s="57"/>
      <c r="AAY1" s="57"/>
      <c r="AAZ1" s="57"/>
      <c r="ABA1" s="57"/>
      <c r="ABB1" s="57"/>
      <c r="ABC1" s="57"/>
      <c r="ABD1" s="57"/>
      <c r="ABE1" s="57"/>
      <c r="ABF1" s="57"/>
      <c r="ABG1" s="57"/>
      <c r="ABH1" s="57"/>
      <c r="ABI1" s="57"/>
      <c r="ABJ1" s="57"/>
      <c r="ABK1" s="57"/>
      <c r="ABL1" s="57"/>
      <c r="ABM1" s="57"/>
      <c r="ABN1" s="57"/>
      <c r="ABO1" s="57"/>
      <c r="ABP1" s="57"/>
      <c r="ABQ1" s="57"/>
      <c r="ABR1" s="57"/>
      <c r="ABS1" s="57"/>
      <c r="ABT1" s="57"/>
      <c r="ABU1" s="57"/>
      <c r="ABV1" s="57"/>
      <c r="ABW1" s="57"/>
      <c r="ABX1" s="57"/>
      <c r="ABY1" s="57"/>
      <c r="ABZ1" s="57"/>
      <c r="ACA1" s="57"/>
      <c r="ACB1" s="57"/>
      <c r="ACC1" s="57"/>
      <c r="ACD1" s="57"/>
      <c r="ACE1" s="57"/>
      <c r="ACF1" s="57"/>
    </row>
    <row r="2" spans="1:779" s="10" customFormat="1">
      <c r="A2" s="10" t="s">
        <v>107</v>
      </c>
      <c r="B2" s="1">
        <v>40095</v>
      </c>
      <c r="C2" s="8" t="s">
        <v>183</v>
      </c>
      <c r="D2" s="2">
        <v>6</v>
      </c>
      <c r="E2" s="10">
        <v>10</v>
      </c>
      <c r="F2" s="59">
        <v>110049</v>
      </c>
      <c r="G2" s="9"/>
      <c r="H2" s="86" t="s">
        <v>41</v>
      </c>
      <c r="I2" s="87"/>
      <c r="J2" s="87"/>
      <c r="K2" s="87"/>
      <c r="L2" s="87"/>
      <c r="M2" s="88"/>
    </row>
    <row r="3" spans="1:779" s="10" customFormat="1">
      <c r="A3" s="10" t="s">
        <v>107</v>
      </c>
      <c r="B3" s="16">
        <v>40116</v>
      </c>
      <c r="C3" s="9" t="s">
        <v>183</v>
      </c>
      <c r="D3" s="11">
        <v>5.9</v>
      </c>
      <c r="E3" s="10">
        <v>10</v>
      </c>
      <c r="F3" s="59">
        <v>110049</v>
      </c>
      <c r="G3" s="9"/>
      <c r="H3" s="10" t="s">
        <v>183</v>
      </c>
      <c r="I3" s="22">
        <f>AVERAGE($D$2:$D$8)</f>
        <v>5.8714285714285719</v>
      </c>
      <c r="J3" s="89">
        <f>F2/I3</f>
        <v>18743.138686131384</v>
      </c>
      <c r="K3" s="10">
        <f>MIN($D$2:$D$8)</f>
        <v>5.2</v>
      </c>
      <c r="L3" s="10">
        <f>MAX($D$2:$D$8)</f>
        <v>6.5</v>
      </c>
      <c r="M3" s="90">
        <f>STDEV($D$2:$D$8)</f>
        <v>0.39036002917941259</v>
      </c>
    </row>
    <row r="4" spans="1:779" s="10" customFormat="1">
      <c r="A4" s="10" t="s">
        <v>107</v>
      </c>
      <c r="B4" s="1">
        <v>40102</v>
      </c>
      <c r="C4" s="8" t="s">
        <v>144</v>
      </c>
      <c r="D4" s="2">
        <v>6</v>
      </c>
      <c r="E4" s="10">
        <v>10</v>
      </c>
      <c r="F4" s="59">
        <v>110049</v>
      </c>
      <c r="G4" s="11"/>
      <c r="H4" s="10" t="s">
        <v>83</v>
      </c>
      <c r="I4" s="22">
        <f>AVERAGE($D$9:$D$14)</f>
        <v>6.4499999999999993</v>
      </c>
      <c r="J4" s="89">
        <f>F9/I4</f>
        <v>22740.930232558141</v>
      </c>
      <c r="K4" s="10">
        <f>MIN($D$9:$D$14)</f>
        <v>6.3</v>
      </c>
      <c r="L4" s="10">
        <f>MAX($D$9:$D$14)</f>
        <v>7</v>
      </c>
      <c r="M4" s="90">
        <f>STDEV($D$9:$D$14)</f>
        <v>0.27386127875261418</v>
      </c>
    </row>
    <row r="5" spans="1:779" s="10" customFormat="1">
      <c r="A5" s="10" t="s">
        <v>107</v>
      </c>
      <c r="B5" s="1">
        <v>40109</v>
      </c>
      <c r="C5" s="8" t="s">
        <v>144</v>
      </c>
      <c r="D5" s="2">
        <v>5.8</v>
      </c>
      <c r="E5" s="10">
        <v>10</v>
      </c>
      <c r="F5" s="59">
        <v>110049</v>
      </c>
      <c r="G5" s="9"/>
      <c r="H5" s="10" t="s">
        <v>185</v>
      </c>
      <c r="I5" s="22">
        <f>AVERAGE($D$15:$D$20)</f>
        <v>3.7833333333333337</v>
      </c>
      <c r="J5" s="89">
        <f>F15/I5</f>
        <v>22981.850220264314</v>
      </c>
      <c r="K5" s="10">
        <f>MIN($D$15:$D$20)</f>
        <v>3.2</v>
      </c>
      <c r="L5" s="10">
        <f>MAX($D$15:$D$20)</f>
        <v>4.5999999999999996</v>
      </c>
      <c r="M5" s="90">
        <f>STDEV($D$15:$D$20)</f>
        <v>0.46224091842530085</v>
      </c>
    </row>
    <row r="6" spans="1:779" s="10" customFormat="1">
      <c r="A6" s="10" t="s">
        <v>107</v>
      </c>
      <c r="B6" s="1">
        <v>40123</v>
      </c>
      <c r="C6" s="8" t="s">
        <v>144</v>
      </c>
      <c r="D6" s="2">
        <v>5.7</v>
      </c>
      <c r="E6" s="10">
        <v>10</v>
      </c>
      <c r="F6" s="59">
        <v>110049</v>
      </c>
      <c r="G6" s="9"/>
      <c r="H6" s="10" t="s">
        <v>82</v>
      </c>
      <c r="I6" s="22">
        <f>AVERAGE($D$21:$D$28)</f>
        <v>3.1749999999999998</v>
      </c>
      <c r="J6" s="89">
        <f>F21/I6</f>
        <v>24566.92913385827</v>
      </c>
      <c r="K6" s="10">
        <f>MIN($D$21:$D$28)</f>
        <v>2.2999999999999998</v>
      </c>
      <c r="L6" s="10">
        <f>MAX($D$21:$D$28)</f>
        <v>4.4000000000000004</v>
      </c>
      <c r="M6" s="90">
        <f>STDEV($D$21:$D$28)</f>
        <v>0.78512965262341938</v>
      </c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</row>
    <row r="7" spans="1:779" s="10" customFormat="1">
      <c r="A7" s="10" t="s">
        <v>107</v>
      </c>
      <c r="B7" s="1">
        <v>40130</v>
      </c>
      <c r="C7" s="8" t="s">
        <v>144</v>
      </c>
      <c r="D7" s="2">
        <v>6.5</v>
      </c>
      <c r="E7" s="10">
        <v>11</v>
      </c>
      <c r="F7" s="59">
        <v>110049</v>
      </c>
      <c r="G7" s="11"/>
      <c r="H7" s="10" t="s">
        <v>216</v>
      </c>
      <c r="I7" s="22">
        <f>AVERAGE($D$29:$D$32)</f>
        <v>3.6000000000000005</v>
      </c>
      <c r="J7" s="89">
        <f>F29/I7</f>
        <v>27474.722222222219</v>
      </c>
      <c r="K7" s="10">
        <f>MIN($D$29:$D$32)</f>
        <v>2.7</v>
      </c>
      <c r="L7" s="10">
        <f>MAX($D$29:$D$32)</f>
        <v>4.7</v>
      </c>
      <c r="M7" s="90">
        <f>STDEV($D$29:$D$32)</f>
        <v>0.82865352631040112</v>
      </c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</row>
    <row r="8" spans="1:779" s="10" customFormat="1">
      <c r="A8" s="10" t="s">
        <v>107</v>
      </c>
      <c r="B8" s="14">
        <v>40081</v>
      </c>
      <c r="C8" s="2" t="s">
        <v>249</v>
      </c>
      <c r="D8" s="11">
        <v>5.2</v>
      </c>
      <c r="E8" s="10">
        <v>8</v>
      </c>
      <c r="F8" s="59">
        <v>110049</v>
      </c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</row>
    <row r="9" spans="1:779" s="10" customFormat="1">
      <c r="A9" s="10" t="s">
        <v>90</v>
      </c>
      <c r="B9" s="3">
        <v>40086</v>
      </c>
      <c r="C9" s="8" t="s">
        <v>154</v>
      </c>
      <c r="D9" s="2">
        <v>7</v>
      </c>
      <c r="E9" s="10">
        <v>12</v>
      </c>
      <c r="F9" s="59">
        <v>146679</v>
      </c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</row>
    <row r="10" spans="1:779" s="10" customFormat="1">
      <c r="A10" s="10" t="s">
        <v>90</v>
      </c>
      <c r="B10" s="16">
        <v>40100</v>
      </c>
      <c r="C10" s="9" t="s">
        <v>154</v>
      </c>
      <c r="D10" s="11">
        <v>6.4</v>
      </c>
      <c r="E10" s="10">
        <v>11</v>
      </c>
      <c r="F10" s="59">
        <v>146679</v>
      </c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</row>
    <row r="11" spans="1:779" s="10" customFormat="1">
      <c r="A11" s="10" t="s">
        <v>90</v>
      </c>
      <c r="B11" s="1">
        <v>40107</v>
      </c>
      <c r="C11" s="8" t="s">
        <v>154</v>
      </c>
      <c r="D11" s="2">
        <v>6.3</v>
      </c>
      <c r="E11" s="10">
        <v>11</v>
      </c>
      <c r="F11" s="59">
        <v>146679</v>
      </c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</row>
    <row r="12" spans="1:779" s="10" customFormat="1">
      <c r="A12" s="10" t="s">
        <v>90</v>
      </c>
      <c r="B12" s="1">
        <v>40114</v>
      </c>
      <c r="C12" s="8" t="s">
        <v>154</v>
      </c>
      <c r="D12" s="2">
        <v>6.3</v>
      </c>
      <c r="E12" s="10">
        <v>10</v>
      </c>
      <c r="F12" s="59">
        <v>146679</v>
      </c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</row>
    <row r="13" spans="1:779" s="10" customFormat="1">
      <c r="A13" s="10" t="s">
        <v>90</v>
      </c>
      <c r="B13" s="1">
        <v>40128</v>
      </c>
      <c r="C13" s="8" t="s">
        <v>154</v>
      </c>
      <c r="D13" s="2">
        <v>6.3</v>
      </c>
      <c r="E13" s="10">
        <v>10</v>
      </c>
      <c r="F13" s="59">
        <v>146679</v>
      </c>
    </row>
    <row r="14" spans="1:779" s="10" customFormat="1">
      <c r="A14" s="10" t="s">
        <v>90</v>
      </c>
      <c r="B14" s="14">
        <v>40079</v>
      </c>
      <c r="C14" s="9" t="s">
        <v>385</v>
      </c>
      <c r="D14" s="12">
        <v>6.4</v>
      </c>
      <c r="E14" s="10">
        <v>10</v>
      </c>
      <c r="F14" s="59">
        <v>146679</v>
      </c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</row>
    <row r="15" spans="1:779" s="10" customFormat="1">
      <c r="A15" s="10" t="s">
        <v>92</v>
      </c>
      <c r="B15" s="1">
        <v>40096</v>
      </c>
      <c r="C15" s="8" t="s">
        <v>185</v>
      </c>
      <c r="D15" s="2">
        <v>3.2</v>
      </c>
      <c r="E15" s="10">
        <v>6</v>
      </c>
      <c r="F15" s="59">
        <v>86948</v>
      </c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</row>
    <row r="16" spans="1:779" s="10" customFormat="1">
      <c r="A16" s="10" t="s">
        <v>92</v>
      </c>
      <c r="B16" s="1">
        <v>40089</v>
      </c>
      <c r="C16" s="8" t="s">
        <v>167</v>
      </c>
      <c r="D16" s="2">
        <v>3.7</v>
      </c>
      <c r="E16" s="10">
        <v>7</v>
      </c>
      <c r="F16" s="59">
        <v>86948</v>
      </c>
      <c r="G16" s="11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</row>
    <row r="17" spans="1:779" s="10" customFormat="1">
      <c r="A17" s="10" t="s">
        <v>89</v>
      </c>
      <c r="B17" s="1">
        <v>40092</v>
      </c>
      <c r="C17" s="8" t="s">
        <v>167</v>
      </c>
      <c r="D17" s="2">
        <v>3.7</v>
      </c>
      <c r="E17" s="10">
        <v>6</v>
      </c>
      <c r="F17" s="59">
        <v>86948</v>
      </c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</row>
    <row r="18" spans="1:779" s="10" customFormat="1">
      <c r="A18" s="10" t="s">
        <v>92</v>
      </c>
      <c r="B18" s="1">
        <v>40103</v>
      </c>
      <c r="C18" s="8" t="s">
        <v>167</v>
      </c>
      <c r="D18" s="2">
        <v>3.9</v>
      </c>
      <c r="E18" s="10">
        <v>7</v>
      </c>
      <c r="F18" s="59">
        <v>86948</v>
      </c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</row>
    <row r="19" spans="1:779" s="10" customFormat="1">
      <c r="A19" s="10" t="s">
        <v>92</v>
      </c>
      <c r="B19" s="1">
        <v>40110</v>
      </c>
      <c r="C19" s="8" t="s">
        <v>167</v>
      </c>
      <c r="D19" s="2">
        <v>3.6</v>
      </c>
      <c r="E19" s="10">
        <v>6</v>
      </c>
      <c r="F19" s="59">
        <v>86948</v>
      </c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</row>
    <row r="20" spans="1:779" s="10" customFormat="1">
      <c r="A20" s="10" t="s">
        <v>89</v>
      </c>
      <c r="B20" s="3">
        <v>40085</v>
      </c>
      <c r="C20" s="8" t="s">
        <v>396</v>
      </c>
      <c r="D20" s="2">
        <v>4.5999999999999996</v>
      </c>
      <c r="E20" s="10">
        <v>7</v>
      </c>
      <c r="F20" s="59">
        <v>86948</v>
      </c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</row>
    <row r="21" spans="1:779" s="10" customFormat="1">
      <c r="A21" s="10" t="s">
        <v>91</v>
      </c>
      <c r="B21" s="1">
        <v>40087</v>
      </c>
      <c r="C21" s="2" t="s">
        <v>157</v>
      </c>
      <c r="D21" s="2">
        <v>3.9</v>
      </c>
      <c r="E21" s="10">
        <v>7</v>
      </c>
      <c r="F21" s="59">
        <v>78000</v>
      </c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</row>
    <row r="22" spans="1:779" s="10" customFormat="1">
      <c r="A22" s="10" t="s">
        <v>91</v>
      </c>
      <c r="B22" s="1">
        <v>40094</v>
      </c>
      <c r="C22" s="8" t="s">
        <v>157</v>
      </c>
      <c r="D22" s="2">
        <v>3.4</v>
      </c>
      <c r="E22" s="10">
        <v>6</v>
      </c>
      <c r="F22" s="59">
        <v>78000</v>
      </c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</row>
    <row r="23" spans="1:779" s="10" customFormat="1">
      <c r="A23" s="10" t="s">
        <v>91</v>
      </c>
      <c r="B23" s="1">
        <v>40108</v>
      </c>
      <c r="C23" s="8" t="s">
        <v>157</v>
      </c>
      <c r="D23" s="2">
        <v>3.2</v>
      </c>
      <c r="E23" s="10">
        <v>5</v>
      </c>
      <c r="F23" s="59">
        <v>78000</v>
      </c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</row>
    <row r="24" spans="1:779" s="10" customFormat="1">
      <c r="A24" s="10" t="s">
        <v>91</v>
      </c>
      <c r="B24" s="1">
        <v>40115</v>
      </c>
      <c r="C24" s="2" t="s">
        <v>157</v>
      </c>
      <c r="D24" s="2">
        <v>3.5</v>
      </c>
      <c r="E24" s="10">
        <v>6</v>
      </c>
      <c r="F24" s="59">
        <v>78000</v>
      </c>
    </row>
    <row r="25" spans="1:779" s="10" customFormat="1">
      <c r="A25" s="10" t="s">
        <v>92</v>
      </c>
      <c r="B25" s="1">
        <v>40117</v>
      </c>
      <c r="C25" s="8" t="s">
        <v>157</v>
      </c>
      <c r="D25" s="2">
        <v>2.2999999999999998</v>
      </c>
      <c r="E25" s="10">
        <v>4</v>
      </c>
      <c r="F25" s="59">
        <v>78000</v>
      </c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</row>
    <row r="26" spans="1:779" s="10" customFormat="1">
      <c r="A26" s="10" t="s">
        <v>92</v>
      </c>
      <c r="B26" s="1">
        <v>40124</v>
      </c>
      <c r="C26" s="8" t="s">
        <v>157</v>
      </c>
      <c r="D26" s="2">
        <v>2.2999999999999998</v>
      </c>
      <c r="E26" s="10">
        <v>4</v>
      </c>
      <c r="F26" s="59">
        <v>78000</v>
      </c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</row>
    <row r="27" spans="1:779" s="10" customFormat="1">
      <c r="A27" s="10" t="s">
        <v>92</v>
      </c>
      <c r="B27" s="1">
        <v>40131</v>
      </c>
      <c r="C27" s="2" t="s">
        <v>157</v>
      </c>
      <c r="D27" s="2">
        <v>2.4</v>
      </c>
      <c r="E27" s="10">
        <v>4</v>
      </c>
      <c r="F27" s="59">
        <v>78000</v>
      </c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</row>
    <row r="28" spans="1:779" s="10" customFormat="1">
      <c r="A28" s="10" t="s">
        <v>89</v>
      </c>
      <c r="B28" s="14">
        <v>40080</v>
      </c>
      <c r="C28" s="9" t="s">
        <v>147</v>
      </c>
      <c r="D28" s="12">
        <v>4.4000000000000004</v>
      </c>
      <c r="E28" s="10">
        <v>7</v>
      </c>
      <c r="F28" s="59">
        <v>78000</v>
      </c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</row>
    <row r="29" spans="1:779" s="10" customFormat="1">
      <c r="A29" s="10" t="s">
        <v>89</v>
      </c>
      <c r="B29" s="1">
        <v>40127</v>
      </c>
      <c r="C29" s="8" t="s">
        <v>216</v>
      </c>
      <c r="D29" s="2">
        <v>2.7</v>
      </c>
      <c r="E29" s="10">
        <v>4</v>
      </c>
      <c r="F29" s="59">
        <v>98909</v>
      </c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</row>
    <row r="30" spans="1:779" s="10" customFormat="1">
      <c r="A30" s="10" t="s">
        <v>89</v>
      </c>
      <c r="B30" s="1">
        <v>40106</v>
      </c>
      <c r="C30" s="2" t="s">
        <v>192</v>
      </c>
      <c r="D30" s="2">
        <v>3.6</v>
      </c>
      <c r="E30" s="10">
        <v>6</v>
      </c>
      <c r="F30" s="59">
        <v>98909</v>
      </c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</row>
    <row r="31" spans="1:779" s="10" customFormat="1">
      <c r="A31" s="10" t="s">
        <v>89</v>
      </c>
      <c r="B31" s="1">
        <v>40113</v>
      </c>
      <c r="C31" s="8" t="s">
        <v>192</v>
      </c>
      <c r="D31" s="2">
        <v>3.4</v>
      </c>
      <c r="E31" s="10">
        <v>5</v>
      </c>
      <c r="F31" s="59">
        <v>98909</v>
      </c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</row>
    <row r="32" spans="1:779" s="10" customFormat="1">
      <c r="A32" s="10" t="s">
        <v>89</v>
      </c>
      <c r="B32" s="1">
        <v>40099</v>
      </c>
      <c r="C32" s="8" t="s">
        <v>188</v>
      </c>
      <c r="D32" s="2">
        <v>4.7</v>
      </c>
      <c r="E32" s="10">
        <v>8</v>
      </c>
      <c r="F32" s="59">
        <v>98909</v>
      </c>
      <c r="G32"/>
      <c r="I32"/>
      <c r="J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</row>
    <row r="33" spans="1:779" s="10" customForma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</row>
  </sheetData>
  <sortState ref="A3:F35">
    <sortCondition ref="C3:C35"/>
  </sortState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P46"/>
  <sheetViews>
    <sheetView zoomScale="70" zoomScaleNormal="70" zoomScalePageLayoutView="70" workbookViewId="0">
      <pane ySplit="1" topLeftCell="A2" activePane="bottomLeft" state="frozen"/>
      <selection activeCell="L34" sqref="L34"/>
      <selection pane="bottomLeft" activeCell="L34" sqref="L34"/>
    </sheetView>
  </sheetViews>
  <sheetFormatPr defaultColWidth="8.85546875" defaultRowHeight="15"/>
  <cols>
    <col min="1" max="1" width="16.28515625" customWidth="1"/>
    <col min="2" max="2" width="10.7109375" customWidth="1"/>
    <col min="3" max="3" width="21.28515625" customWidth="1"/>
    <col min="4" max="4" width="14.140625" style="2" customWidth="1"/>
    <col min="5" max="5" width="27.28515625" style="2" bestFit="1" customWidth="1"/>
    <col min="6" max="6" width="16.42578125" style="2" bestFit="1" customWidth="1"/>
    <col min="7" max="7" width="19.7109375" style="2" bestFit="1" customWidth="1"/>
    <col min="8" max="8" width="15.42578125" style="2" customWidth="1"/>
    <col min="9" max="9" width="8.85546875" style="2"/>
    <col min="10" max="10" width="32.28515625" style="2" bestFit="1" customWidth="1"/>
    <col min="11" max="11" width="26.28515625" style="2" bestFit="1" customWidth="1"/>
    <col min="12" max="12" width="16.28515625" style="2" bestFit="1" customWidth="1"/>
    <col min="13" max="13" width="16.85546875" style="2" bestFit="1" customWidth="1"/>
    <col min="14" max="14" width="19.42578125" style="2" bestFit="1" customWidth="1"/>
    <col min="15" max="15" width="18.28515625" style="2" bestFit="1" customWidth="1"/>
    <col min="16" max="16" width="15" style="2" bestFit="1" customWidth="1"/>
    <col min="17" max="17" width="118" customWidth="1"/>
  </cols>
  <sheetData>
    <row r="1" spans="1:16">
      <c r="A1" s="58" t="s">
        <v>10</v>
      </c>
      <c r="B1" s="76" t="s">
        <v>253</v>
      </c>
      <c r="C1" s="76" t="s">
        <v>378</v>
      </c>
      <c r="D1" s="76" t="s">
        <v>379</v>
      </c>
      <c r="E1" s="76" t="s">
        <v>259</v>
      </c>
      <c r="F1" s="76" t="s">
        <v>255</v>
      </c>
      <c r="G1" s="76" t="s">
        <v>260</v>
      </c>
      <c r="H1" s="76" t="s">
        <v>256</v>
      </c>
      <c r="I1" s="77"/>
      <c r="J1" s="76" t="s">
        <v>376</v>
      </c>
      <c r="K1" s="76" t="s">
        <v>73</v>
      </c>
      <c r="L1" s="76" t="s">
        <v>74</v>
      </c>
      <c r="M1" s="76" t="s">
        <v>341</v>
      </c>
      <c r="N1" s="76" t="s">
        <v>342</v>
      </c>
      <c r="O1" s="76" t="s">
        <v>377</v>
      </c>
      <c r="P1" s="76" t="s">
        <v>343</v>
      </c>
    </row>
    <row r="2" spans="1:16">
      <c r="A2" t="s">
        <v>89</v>
      </c>
      <c r="B2" s="7">
        <v>40070</v>
      </c>
      <c r="C2" s="2" t="s">
        <v>25</v>
      </c>
      <c r="D2" s="78" t="s">
        <v>13</v>
      </c>
      <c r="E2" s="2" t="s">
        <v>350</v>
      </c>
      <c r="F2" s="5" t="s">
        <v>345</v>
      </c>
      <c r="G2" s="5" t="s">
        <v>294</v>
      </c>
      <c r="H2" s="5" t="s">
        <v>339</v>
      </c>
      <c r="J2" s="2" t="s">
        <v>34</v>
      </c>
      <c r="K2" s="2">
        <v>16</v>
      </c>
      <c r="L2" s="75">
        <f>AVERAGE(L14:L18)</f>
        <v>57485.599999999999</v>
      </c>
      <c r="M2" s="75">
        <f>K2*2*(L2)</f>
        <v>1839539.2</v>
      </c>
      <c r="N2" s="75">
        <v>535000</v>
      </c>
      <c r="O2" s="75">
        <f>(10000000/230)</f>
        <v>43478.260869565216</v>
      </c>
      <c r="P2" s="75">
        <f>M2-(N2+O2)</f>
        <v>1261060.9391304348</v>
      </c>
    </row>
    <row r="3" spans="1:16">
      <c r="A3" t="s">
        <v>90</v>
      </c>
      <c r="B3" s="7">
        <v>40071</v>
      </c>
      <c r="C3" s="2" t="s">
        <v>24</v>
      </c>
      <c r="D3" s="78" t="s">
        <v>14</v>
      </c>
      <c r="E3" s="2" t="s">
        <v>353</v>
      </c>
      <c r="F3" s="5" t="s">
        <v>299</v>
      </c>
      <c r="G3" s="2" t="s">
        <v>351</v>
      </c>
      <c r="H3" s="5" t="s">
        <v>352</v>
      </c>
      <c r="J3" s="2" t="s">
        <v>302</v>
      </c>
      <c r="K3" s="2">
        <v>16</v>
      </c>
      <c r="L3" s="75">
        <v>92700</v>
      </c>
      <c r="M3" s="75">
        <f>K3*2*(L3)</f>
        <v>2966400</v>
      </c>
      <c r="N3" s="75">
        <v>3000000</v>
      </c>
      <c r="O3" s="75">
        <f>15000000/24</f>
        <v>625000</v>
      </c>
      <c r="P3" s="75">
        <f t="shared" ref="P3:P12" si="0">M3-(N3+O3)</f>
        <v>-658600</v>
      </c>
    </row>
    <row r="4" spans="1:16">
      <c r="A4" t="s">
        <v>91</v>
      </c>
      <c r="B4" s="7">
        <v>40072</v>
      </c>
      <c r="C4" s="2" t="s">
        <v>24</v>
      </c>
      <c r="D4" s="78" t="s">
        <v>15</v>
      </c>
      <c r="E4" s="2" t="s">
        <v>356</v>
      </c>
      <c r="F4" s="5" t="s">
        <v>357</v>
      </c>
      <c r="G4" s="2" t="s">
        <v>313</v>
      </c>
      <c r="H4" s="5" t="s">
        <v>289</v>
      </c>
      <c r="J4" s="2" t="s">
        <v>300</v>
      </c>
      <c r="K4" s="2">
        <v>16</v>
      </c>
      <c r="L4" s="75">
        <v>126882</v>
      </c>
      <c r="M4" s="75">
        <f>K4*2*(L4)</f>
        <v>4060224</v>
      </c>
      <c r="N4" s="75">
        <v>3000000</v>
      </c>
      <c r="O4" s="75">
        <f>15000000/24</f>
        <v>625000</v>
      </c>
      <c r="P4" s="75">
        <f t="shared" si="0"/>
        <v>435224</v>
      </c>
    </row>
    <row r="5" spans="1:16">
      <c r="A5" t="s">
        <v>107</v>
      </c>
      <c r="B5" s="7">
        <v>40073</v>
      </c>
      <c r="C5" s="2" t="s">
        <v>24</v>
      </c>
      <c r="D5" s="78" t="s">
        <v>359</v>
      </c>
      <c r="E5" s="2" t="s">
        <v>360</v>
      </c>
      <c r="F5" s="5" t="s">
        <v>361</v>
      </c>
      <c r="G5" s="2" t="s">
        <v>298</v>
      </c>
      <c r="H5" s="5" t="s">
        <v>358</v>
      </c>
      <c r="J5" s="2" t="s">
        <v>288</v>
      </c>
      <c r="K5" s="2">
        <v>16</v>
      </c>
      <c r="L5" s="75">
        <v>110558</v>
      </c>
      <c r="M5" s="75">
        <f>K5*2*(L5)</f>
        <v>3537856</v>
      </c>
      <c r="N5" s="75">
        <v>3000000</v>
      </c>
      <c r="O5" s="75">
        <f>15000000/24</f>
        <v>625000</v>
      </c>
      <c r="P5" s="75">
        <f t="shared" si="0"/>
        <v>-87144</v>
      </c>
    </row>
    <row r="6" spans="1:16">
      <c r="A6" t="s">
        <v>92</v>
      </c>
      <c r="B6" s="7">
        <v>40074</v>
      </c>
      <c r="C6" s="2" t="s">
        <v>24</v>
      </c>
      <c r="D6" s="78" t="s">
        <v>16</v>
      </c>
      <c r="E6" s="2" t="s">
        <v>277</v>
      </c>
      <c r="F6" s="5" t="s">
        <v>304</v>
      </c>
      <c r="G6" s="13" t="s">
        <v>218</v>
      </c>
      <c r="H6" s="5" t="s">
        <v>219</v>
      </c>
      <c r="J6" s="2" t="s">
        <v>317</v>
      </c>
      <c r="K6" s="2">
        <v>16</v>
      </c>
      <c r="L6" s="75">
        <v>175450</v>
      </c>
      <c r="M6" s="75">
        <f>K6*2*(L6)</f>
        <v>5614400</v>
      </c>
      <c r="N6" s="75">
        <v>3000000</v>
      </c>
      <c r="O6" s="75">
        <f>15000000/24</f>
        <v>625000</v>
      </c>
      <c r="P6" s="75">
        <f t="shared" si="0"/>
        <v>1989400</v>
      </c>
    </row>
    <row r="7" spans="1:16">
      <c r="A7" t="s">
        <v>89</v>
      </c>
      <c r="B7" s="7">
        <v>40077</v>
      </c>
      <c r="C7" s="2" t="s">
        <v>24</v>
      </c>
      <c r="D7" s="78" t="s">
        <v>196</v>
      </c>
      <c r="E7" s="2" t="s">
        <v>220</v>
      </c>
      <c r="F7" s="5" t="s">
        <v>318</v>
      </c>
      <c r="G7" s="2" t="s">
        <v>221</v>
      </c>
      <c r="H7" s="5" t="s">
        <v>222</v>
      </c>
      <c r="J7" s="2" t="s">
        <v>277</v>
      </c>
      <c r="K7" s="2">
        <v>16</v>
      </c>
      <c r="L7" s="75">
        <v>62410</v>
      </c>
      <c r="M7" s="75">
        <f t="shared" ref="M7:M18" si="1">K7*2*(L7)</f>
        <v>1997120</v>
      </c>
      <c r="N7" s="75">
        <f>1500000</f>
        <v>1500000</v>
      </c>
      <c r="O7" s="75">
        <f>5000000/24</f>
        <v>208333.33333333334</v>
      </c>
      <c r="P7" s="75">
        <f t="shared" si="0"/>
        <v>288786.66666666674</v>
      </c>
    </row>
    <row r="8" spans="1:16">
      <c r="A8" t="s">
        <v>90</v>
      </c>
      <c r="B8" s="7">
        <v>40078</v>
      </c>
      <c r="C8" s="2" t="s">
        <v>24</v>
      </c>
      <c r="D8" s="78" t="s">
        <v>340</v>
      </c>
      <c r="E8" s="2" t="s">
        <v>362</v>
      </c>
      <c r="F8" s="5" t="s">
        <v>363</v>
      </c>
      <c r="G8" s="2" t="s">
        <v>364</v>
      </c>
      <c r="H8" s="5" t="s">
        <v>365</v>
      </c>
      <c r="J8" s="2" t="s">
        <v>272</v>
      </c>
      <c r="K8" s="2">
        <v>16</v>
      </c>
      <c r="L8" s="75">
        <v>140065</v>
      </c>
      <c r="M8" s="75">
        <f t="shared" si="1"/>
        <v>4482080</v>
      </c>
      <c r="N8" s="75">
        <v>3000000</v>
      </c>
      <c r="O8" s="75">
        <f>15000000/24</f>
        <v>625000</v>
      </c>
      <c r="P8" s="75">
        <f>M8-(N8+O8)</f>
        <v>857080</v>
      </c>
    </row>
    <row r="9" spans="1:16">
      <c r="A9" t="s">
        <v>91</v>
      </c>
      <c r="B9" s="7">
        <v>40079</v>
      </c>
      <c r="C9" s="2" t="s">
        <v>24</v>
      </c>
      <c r="D9" s="78" t="s">
        <v>355</v>
      </c>
      <c r="E9" s="2" t="s">
        <v>368</v>
      </c>
      <c r="F9" s="5" t="s">
        <v>369</v>
      </c>
      <c r="G9" s="2" t="s">
        <v>366</v>
      </c>
      <c r="H9" s="5" t="s">
        <v>367</v>
      </c>
      <c r="J9" s="2" t="s">
        <v>282</v>
      </c>
      <c r="K9" s="2">
        <v>16</v>
      </c>
      <c r="L9" s="75">
        <v>97527</v>
      </c>
      <c r="M9" s="75">
        <f t="shared" si="1"/>
        <v>3120864</v>
      </c>
      <c r="N9" s="75">
        <v>3000000</v>
      </c>
      <c r="O9" s="75">
        <f>15000000/24</f>
        <v>625000</v>
      </c>
      <c r="P9" s="75">
        <f t="shared" si="0"/>
        <v>-504136</v>
      </c>
    </row>
    <row r="10" spans="1:16">
      <c r="A10" t="s">
        <v>107</v>
      </c>
      <c r="B10" s="7">
        <v>40080</v>
      </c>
      <c r="C10" s="2" t="s">
        <v>24</v>
      </c>
      <c r="D10" s="78" t="s">
        <v>287</v>
      </c>
      <c r="E10" s="2" t="s">
        <v>370</v>
      </c>
      <c r="F10" s="5" t="s">
        <v>371</v>
      </c>
      <c r="G10" s="2" t="s">
        <v>372</v>
      </c>
      <c r="H10" s="5" t="s">
        <v>373</v>
      </c>
      <c r="J10" s="2" t="s">
        <v>324</v>
      </c>
      <c r="K10" s="2">
        <v>16</v>
      </c>
      <c r="L10" s="75">
        <v>127941</v>
      </c>
      <c r="M10" s="75">
        <f t="shared" si="1"/>
        <v>4094112</v>
      </c>
      <c r="N10" s="75">
        <v>3000000</v>
      </c>
      <c r="O10" s="75">
        <f>15000000/24</f>
        <v>625000</v>
      </c>
      <c r="P10" s="75">
        <f t="shared" si="0"/>
        <v>469112</v>
      </c>
    </row>
    <row r="11" spans="1:16">
      <c r="A11" t="s">
        <v>92</v>
      </c>
      <c r="B11" s="7">
        <v>40081</v>
      </c>
      <c r="C11" s="2" t="s">
        <v>24</v>
      </c>
      <c r="D11" s="78" t="s">
        <v>312</v>
      </c>
      <c r="E11" s="2" t="s">
        <v>277</v>
      </c>
      <c r="F11" s="5" t="s">
        <v>276</v>
      </c>
      <c r="G11" s="2" t="s">
        <v>374</v>
      </c>
      <c r="H11" s="5" t="s">
        <v>375</v>
      </c>
      <c r="J11" s="2" t="s">
        <v>305</v>
      </c>
      <c r="K11" s="2">
        <v>16</v>
      </c>
      <c r="L11" s="75">
        <v>140940</v>
      </c>
      <c r="M11" s="75">
        <f t="shared" si="1"/>
        <v>4510080</v>
      </c>
      <c r="N11" s="75">
        <v>3000000</v>
      </c>
      <c r="O11" s="75">
        <f>15000000/24</f>
        <v>625000</v>
      </c>
      <c r="P11" s="75">
        <f t="shared" si="0"/>
        <v>885080</v>
      </c>
    </row>
    <row r="12" spans="1:16">
      <c r="A12" t="s">
        <v>89</v>
      </c>
      <c r="B12" s="3">
        <v>40084</v>
      </c>
      <c r="C12" s="2" t="s">
        <v>24</v>
      </c>
      <c r="D12" s="78" t="s">
        <v>280</v>
      </c>
      <c r="E12" s="2" t="s">
        <v>302</v>
      </c>
      <c r="F12" s="2" t="s">
        <v>322</v>
      </c>
      <c r="G12" s="2" t="s">
        <v>272</v>
      </c>
      <c r="H12" s="2" t="s">
        <v>323</v>
      </c>
      <c r="J12" s="2" t="s">
        <v>329</v>
      </c>
      <c r="K12" s="2">
        <v>16</v>
      </c>
      <c r="L12" s="75">
        <v>85007</v>
      </c>
      <c r="M12" s="75">
        <f t="shared" si="1"/>
        <v>2720224</v>
      </c>
      <c r="N12" s="75">
        <v>3000000</v>
      </c>
      <c r="O12" s="75">
        <f>15000000/24</f>
        <v>625000</v>
      </c>
      <c r="P12" s="75">
        <f t="shared" si="0"/>
        <v>-904776</v>
      </c>
    </row>
    <row r="13" spans="1:16">
      <c r="A13" t="s">
        <v>90</v>
      </c>
      <c r="B13" s="3">
        <v>40085</v>
      </c>
      <c r="C13" s="2" t="s">
        <v>24</v>
      </c>
      <c r="D13" s="78" t="s">
        <v>321</v>
      </c>
      <c r="E13" s="2" t="s">
        <v>300</v>
      </c>
      <c r="F13" s="2" t="s">
        <v>319</v>
      </c>
      <c r="G13" s="2" t="s">
        <v>282</v>
      </c>
      <c r="H13" s="2" t="s">
        <v>320</v>
      </c>
      <c r="J13" s="74" t="s">
        <v>35</v>
      </c>
      <c r="M13" s="6"/>
      <c r="N13" s="6"/>
      <c r="O13" s="6"/>
      <c r="P13" s="6"/>
    </row>
    <row r="14" spans="1:16">
      <c r="A14" t="s">
        <v>91</v>
      </c>
      <c r="B14" s="3">
        <v>40086</v>
      </c>
      <c r="C14" s="2" t="s">
        <v>24</v>
      </c>
      <c r="D14" s="78" t="s">
        <v>326</v>
      </c>
      <c r="E14" s="2" t="s">
        <v>288</v>
      </c>
      <c r="F14" s="2" t="s">
        <v>321</v>
      </c>
      <c r="G14" s="2" t="s">
        <v>324</v>
      </c>
      <c r="H14" s="2" t="s">
        <v>325</v>
      </c>
      <c r="J14" s="2" t="s">
        <v>26</v>
      </c>
      <c r="K14" s="2">
        <v>16</v>
      </c>
      <c r="L14" s="75">
        <v>53640</v>
      </c>
      <c r="M14" s="75">
        <f t="shared" si="1"/>
        <v>1716480</v>
      </c>
      <c r="N14" s="6"/>
      <c r="O14" s="6"/>
      <c r="P14" s="6"/>
    </row>
    <row r="15" spans="1:16">
      <c r="A15" t="s">
        <v>107</v>
      </c>
      <c r="B15" s="1">
        <v>40087</v>
      </c>
      <c r="C15" s="2" t="s">
        <v>24</v>
      </c>
      <c r="D15" s="78" t="s">
        <v>254</v>
      </c>
      <c r="E15" s="2" t="s">
        <v>328</v>
      </c>
      <c r="F15" s="2" t="s">
        <v>295</v>
      </c>
      <c r="G15" s="2" t="s">
        <v>305</v>
      </c>
      <c r="H15" s="2" t="s">
        <v>327</v>
      </c>
      <c r="J15" s="2" t="s">
        <v>27</v>
      </c>
      <c r="K15" s="2">
        <v>16</v>
      </c>
      <c r="L15" s="75">
        <v>65678</v>
      </c>
      <c r="M15" s="75">
        <f t="shared" si="1"/>
        <v>2101696</v>
      </c>
      <c r="N15" s="6"/>
      <c r="O15" s="6"/>
    </row>
    <row r="16" spans="1:16">
      <c r="A16" t="s">
        <v>92</v>
      </c>
      <c r="B16" s="1">
        <v>40088</v>
      </c>
      <c r="C16" s="2" t="s">
        <v>24</v>
      </c>
      <c r="D16" s="78" t="s">
        <v>17</v>
      </c>
      <c r="E16" s="2" t="s">
        <v>277</v>
      </c>
      <c r="F16" s="2" t="s">
        <v>331</v>
      </c>
      <c r="G16" s="2" t="s">
        <v>329</v>
      </c>
      <c r="H16" s="2" t="s">
        <v>330</v>
      </c>
      <c r="J16" s="2" t="s">
        <v>28</v>
      </c>
      <c r="K16" s="2">
        <v>16</v>
      </c>
      <c r="L16" s="75">
        <v>62012</v>
      </c>
      <c r="M16" s="75">
        <f t="shared" si="1"/>
        <v>1984384</v>
      </c>
      <c r="N16" s="6"/>
      <c r="O16" s="6"/>
    </row>
    <row r="17" spans="1:15">
      <c r="A17" t="s">
        <v>89</v>
      </c>
      <c r="B17" s="1">
        <v>40091</v>
      </c>
      <c r="C17" s="2" t="s">
        <v>24</v>
      </c>
      <c r="D17" s="78" t="s">
        <v>18</v>
      </c>
      <c r="E17" s="2" t="s">
        <v>302</v>
      </c>
      <c r="F17" s="2" t="s">
        <v>332</v>
      </c>
      <c r="G17" s="2" t="s">
        <v>272</v>
      </c>
      <c r="H17" s="2" t="s">
        <v>333</v>
      </c>
      <c r="J17" s="2" t="s">
        <v>29</v>
      </c>
      <c r="K17" s="2">
        <v>16</v>
      </c>
      <c r="L17" s="75">
        <v>57295</v>
      </c>
      <c r="M17" s="75">
        <f t="shared" si="1"/>
        <v>1833440</v>
      </c>
      <c r="N17" s="6"/>
      <c r="O17" s="6"/>
    </row>
    <row r="18" spans="1:15">
      <c r="A18" t="s">
        <v>90</v>
      </c>
      <c r="B18" s="1">
        <v>40092</v>
      </c>
      <c r="C18" s="2" t="s">
        <v>24</v>
      </c>
      <c r="D18" s="78" t="s">
        <v>19</v>
      </c>
      <c r="E18" s="2" t="s">
        <v>261</v>
      </c>
      <c r="F18" s="2" t="s">
        <v>335</v>
      </c>
      <c r="G18" s="2" t="s">
        <v>282</v>
      </c>
      <c r="H18" s="2" t="s">
        <v>320</v>
      </c>
      <c r="J18" s="2" t="s">
        <v>30</v>
      </c>
      <c r="K18" s="2">
        <v>16</v>
      </c>
      <c r="L18" s="75">
        <v>48803</v>
      </c>
      <c r="M18" s="75">
        <f t="shared" si="1"/>
        <v>1561696</v>
      </c>
      <c r="N18" s="6"/>
      <c r="O18" s="6"/>
    </row>
    <row r="19" spans="1:15">
      <c r="A19" t="s">
        <v>91</v>
      </c>
      <c r="B19" s="1">
        <v>40093</v>
      </c>
      <c r="C19" s="2" t="s">
        <v>24</v>
      </c>
      <c r="D19" s="78" t="s">
        <v>312</v>
      </c>
      <c r="E19" s="2" t="s">
        <v>288</v>
      </c>
      <c r="F19" s="2" t="s">
        <v>280</v>
      </c>
      <c r="G19" s="2" t="s">
        <v>285</v>
      </c>
      <c r="H19" s="2" t="s">
        <v>336</v>
      </c>
      <c r="M19" s="6"/>
      <c r="N19" s="6"/>
      <c r="O19" s="6"/>
    </row>
    <row r="20" spans="1:15" ht="15.75" thickBot="1">
      <c r="A20" t="s">
        <v>107</v>
      </c>
      <c r="B20" s="1">
        <v>40094</v>
      </c>
      <c r="C20" s="2" t="s">
        <v>24</v>
      </c>
      <c r="D20" s="78" t="s">
        <v>278</v>
      </c>
      <c r="E20" s="2" t="s">
        <v>297</v>
      </c>
      <c r="F20" s="2" t="s">
        <v>338</v>
      </c>
      <c r="G20" s="2" t="s">
        <v>305</v>
      </c>
      <c r="H20" s="2" t="s">
        <v>337</v>
      </c>
      <c r="M20" s="6"/>
      <c r="N20" s="6"/>
      <c r="O20" s="6"/>
    </row>
    <row r="21" spans="1:15">
      <c r="A21" t="s">
        <v>92</v>
      </c>
      <c r="B21" s="1">
        <v>40095</v>
      </c>
      <c r="C21" s="2" t="s">
        <v>24</v>
      </c>
      <c r="D21" s="78" t="s">
        <v>339</v>
      </c>
      <c r="E21" s="2" t="s">
        <v>277</v>
      </c>
      <c r="F21" s="2" t="s">
        <v>340</v>
      </c>
      <c r="G21" s="2" t="s">
        <v>275</v>
      </c>
      <c r="H21" s="2" t="s">
        <v>258</v>
      </c>
      <c r="J21" s="66" t="s">
        <v>40</v>
      </c>
      <c r="K21" s="83"/>
      <c r="L21" s="84"/>
      <c r="M21" s="6"/>
      <c r="N21" s="6"/>
      <c r="O21" s="6"/>
    </row>
    <row r="22" spans="1:15">
      <c r="A22" t="s">
        <v>89</v>
      </c>
      <c r="B22" s="1">
        <v>40098</v>
      </c>
      <c r="C22" s="2" t="s">
        <v>24</v>
      </c>
      <c r="D22" s="78" t="s">
        <v>254</v>
      </c>
      <c r="E22" s="2" t="s">
        <v>302</v>
      </c>
      <c r="F22" s="2" t="s">
        <v>271</v>
      </c>
      <c r="G22" s="2" t="s">
        <v>272</v>
      </c>
      <c r="H22" s="2" t="s">
        <v>273</v>
      </c>
      <c r="J22" s="67" t="s">
        <v>31</v>
      </c>
      <c r="K22" s="68"/>
      <c r="L22" s="69"/>
      <c r="M22" s="6"/>
      <c r="N22" s="6"/>
      <c r="O22" s="6"/>
    </row>
    <row r="23" spans="1:15">
      <c r="A23" t="s">
        <v>90</v>
      </c>
      <c r="B23" s="1">
        <v>40099</v>
      </c>
      <c r="C23" s="2" t="s">
        <v>24</v>
      </c>
      <c r="D23" s="78" t="s">
        <v>20</v>
      </c>
      <c r="E23" s="2" t="s">
        <v>300</v>
      </c>
      <c r="F23" s="2" t="s">
        <v>257</v>
      </c>
      <c r="G23" s="2" t="s">
        <v>262</v>
      </c>
      <c r="H23" s="2" t="s">
        <v>301</v>
      </c>
      <c r="J23" s="70" t="s">
        <v>32</v>
      </c>
      <c r="K23" s="30"/>
      <c r="L23" s="69"/>
      <c r="M23" s="6"/>
      <c r="N23" s="6"/>
      <c r="O23" s="6"/>
    </row>
    <row r="24" spans="1:15">
      <c r="A24" t="s">
        <v>91</v>
      </c>
      <c r="B24" s="1">
        <v>40100</v>
      </c>
      <c r="C24" s="2" t="s">
        <v>24</v>
      </c>
      <c r="D24" s="78" t="s">
        <v>19</v>
      </c>
      <c r="E24" s="2" t="s">
        <v>288</v>
      </c>
      <c r="F24" s="2" t="s">
        <v>287</v>
      </c>
      <c r="G24" s="2" t="s">
        <v>285</v>
      </c>
      <c r="H24" s="2" t="s">
        <v>303</v>
      </c>
      <c r="J24" s="82" t="s">
        <v>33</v>
      </c>
      <c r="K24" s="30"/>
      <c r="L24" s="69"/>
      <c r="M24" s="6"/>
      <c r="N24" s="6"/>
      <c r="O24" s="6"/>
    </row>
    <row r="25" spans="1:15">
      <c r="A25" t="s">
        <v>107</v>
      </c>
      <c r="B25" s="1">
        <v>40101</v>
      </c>
      <c r="C25" s="2" t="s">
        <v>24</v>
      </c>
      <c r="D25" s="78" t="s">
        <v>274</v>
      </c>
      <c r="E25" s="2" t="s">
        <v>297</v>
      </c>
      <c r="F25" s="2" t="s">
        <v>307</v>
      </c>
      <c r="G25" s="2" t="s">
        <v>305</v>
      </c>
      <c r="H25" s="2" t="s">
        <v>306</v>
      </c>
      <c r="J25" s="82" t="s">
        <v>36</v>
      </c>
      <c r="K25" s="29"/>
      <c r="L25" s="79"/>
    </row>
    <row r="26" spans="1:15">
      <c r="A26" t="s">
        <v>92</v>
      </c>
      <c r="B26" s="1">
        <v>40102</v>
      </c>
      <c r="C26" s="2" t="s">
        <v>24</v>
      </c>
      <c r="D26" s="78" t="s">
        <v>274</v>
      </c>
      <c r="E26" s="2" t="s">
        <v>277</v>
      </c>
      <c r="F26" s="2" t="s">
        <v>258</v>
      </c>
      <c r="G26" s="2" t="s">
        <v>275</v>
      </c>
      <c r="H26" s="2" t="s">
        <v>276</v>
      </c>
      <c r="J26" s="82" t="s">
        <v>37</v>
      </c>
      <c r="K26" s="29"/>
      <c r="L26" s="79"/>
    </row>
    <row r="27" spans="1:15">
      <c r="A27" t="s">
        <v>89</v>
      </c>
      <c r="B27" s="1">
        <v>40105</v>
      </c>
      <c r="C27" s="2" t="s">
        <v>24</v>
      </c>
      <c r="D27" s="78" t="s">
        <v>278</v>
      </c>
      <c r="E27" s="2" t="s">
        <v>270</v>
      </c>
      <c r="F27" s="2" t="s">
        <v>271</v>
      </c>
      <c r="G27" s="2" t="s">
        <v>272</v>
      </c>
      <c r="H27" s="2" t="s">
        <v>273</v>
      </c>
      <c r="J27" s="82" t="s">
        <v>38</v>
      </c>
      <c r="K27" s="29"/>
      <c r="L27" s="79"/>
    </row>
    <row r="28" spans="1:15" ht="15.75" thickBot="1">
      <c r="A28" t="s">
        <v>90</v>
      </c>
      <c r="B28" s="1">
        <v>40106</v>
      </c>
      <c r="C28" s="2" t="s">
        <v>24</v>
      </c>
      <c r="D28" s="78" t="s">
        <v>280</v>
      </c>
      <c r="E28" s="2" t="s">
        <v>282</v>
      </c>
      <c r="F28" s="2" t="s">
        <v>283</v>
      </c>
      <c r="G28" s="2" t="s">
        <v>261</v>
      </c>
      <c r="H28" s="2" t="s">
        <v>284</v>
      </c>
      <c r="J28" s="71" t="s">
        <v>39</v>
      </c>
      <c r="K28" s="80"/>
      <c r="L28" s="81"/>
    </row>
    <row r="29" spans="1:15">
      <c r="A29" t="s">
        <v>91</v>
      </c>
      <c r="B29" s="1">
        <v>40107</v>
      </c>
      <c r="C29" s="2" t="s">
        <v>24</v>
      </c>
      <c r="D29" s="78" t="s">
        <v>287</v>
      </c>
      <c r="E29" s="2" t="s">
        <v>288</v>
      </c>
      <c r="F29" s="2" t="s">
        <v>287</v>
      </c>
      <c r="G29" s="2" t="s">
        <v>285</v>
      </c>
      <c r="H29" s="2" t="s">
        <v>286</v>
      </c>
    </row>
    <row r="30" spans="1:15">
      <c r="A30" t="s">
        <v>107</v>
      </c>
      <c r="B30" s="1">
        <v>40108</v>
      </c>
      <c r="C30" s="2" t="s">
        <v>24</v>
      </c>
      <c r="D30" s="78" t="s">
        <v>254</v>
      </c>
      <c r="E30" s="2" t="s">
        <v>297</v>
      </c>
      <c r="F30" s="2" t="s">
        <v>281</v>
      </c>
      <c r="G30" s="2" t="s">
        <v>298</v>
      </c>
      <c r="H30" s="2" t="s">
        <v>295</v>
      </c>
    </row>
    <row r="31" spans="1:15">
      <c r="A31" t="s">
        <v>92</v>
      </c>
      <c r="B31" s="1">
        <v>40109</v>
      </c>
      <c r="C31" s="2" t="s">
        <v>24</v>
      </c>
      <c r="D31" s="78" t="s">
        <v>21</v>
      </c>
      <c r="E31" s="2" t="s">
        <v>290</v>
      </c>
      <c r="F31" s="2" t="s">
        <v>291</v>
      </c>
      <c r="G31" s="2" t="s">
        <v>275</v>
      </c>
      <c r="H31" s="2" t="s">
        <v>289</v>
      </c>
    </row>
    <row r="32" spans="1:15">
      <c r="A32" t="s">
        <v>89</v>
      </c>
      <c r="B32" s="1">
        <v>40112</v>
      </c>
      <c r="C32" s="2" t="s">
        <v>24</v>
      </c>
      <c r="D32" s="78" t="s">
        <v>22</v>
      </c>
      <c r="E32" s="2" t="s">
        <v>270</v>
      </c>
      <c r="F32" s="2" t="s">
        <v>293</v>
      </c>
      <c r="G32" s="2" t="s">
        <v>294</v>
      </c>
      <c r="H32" s="2" t="s">
        <v>295</v>
      </c>
    </row>
    <row r="33" spans="1:8">
      <c r="A33" t="s">
        <v>90</v>
      </c>
      <c r="B33" s="1">
        <v>40113</v>
      </c>
      <c r="C33" s="2" t="s">
        <v>24</v>
      </c>
      <c r="D33" s="78" t="s">
        <v>312</v>
      </c>
      <c r="E33" s="2" t="s">
        <v>282</v>
      </c>
      <c r="F33" s="2" t="s">
        <v>311</v>
      </c>
      <c r="G33" s="2" t="s">
        <v>309</v>
      </c>
      <c r="H33" s="2" t="s">
        <v>310</v>
      </c>
    </row>
    <row r="34" spans="1:8">
      <c r="A34" t="s">
        <v>91</v>
      </c>
      <c r="B34" s="1">
        <v>40114</v>
      </c>
      <c r="C34" s="2" t="s">
        <v>24</v>
      </c>
      <c r="D34" s="78" t="s">
        <v>254</v>
      </c>
      <c r="E34" s="2" t="s">
        <v>288</v>
      </c>
      <c r="F34" s="2" t="s">
        <v>254</v>
      </c>
      <c r="G34" s="2" t="s">
        <v>313</v>
      </c>
      <c r="H34" s="2" t="s">
        <v>314</v>
      </c>
    </row>
    <row r="35" spans="1:8">
      <c r="A35" t="s">
        <v>107</v>
      </c>
      <c r="B35" s="1">
        <v>40115</v>
      </c>
      <c r="C35" s="2" t="s">
        <v>24</v>
      </c>
      <c r="D35" s="78" t="s">
        <v>18</v>
      </c>
      <c r="E35" s="2" t="s">
        <v>317</v>
      </c>
      <c r="F35" s="2" t="s">
        <v>318</v>
      </c>
      <c r="G35" s="2" t="s">
        <v>315</v>
      </c>
      <c r="H35" s="2" t="s">
        <v>316</v>
      </c>
    </row>
    <row r="36" spans="1:8">
      <c r="A36" t="s">
        <v>92</v>
      </c>
      <c r="B36" s="1">
        <v>40116</v>
      </c>
      <c r="C36" s="2" t="s">
        <v>24</v>
      </c>
      <c r="D36" s="78" t="s">
        <v>274</v>
      </c>
      <c r="E36" s="2" t="s">
        <v>277</v>
      </c>
      <c r="F36" s="2" t="s">
        <v>320</v>
      </c>
      <c r="G36" s="2" t="s">
        <v>275</v>
      </c>
      <c r="H36" s="2" t="s">
        <v>320</v>
      </c>
    </row>
    <row r="37" spans="1:8">
      <c r="A37" t="s">
        <v>89</v>
      </c>
      <c r="B37" s="1">
        <v>40119</v>
      </c>
      <c r="C37" s="2" t="s">
        <v>24</v>
      </c>
      <c r="D37" s="78" t="s">
        <v>345</v>
      </c>
      <c r="E37" s="2" t="s">
        <v>270</v>
      </c>
      <c r="F37" s="2" t="s">
        <v>310</v>
      </c>
      <c r="G37" s="2" t="s">
        <v>272</v>
      </c>
      <c r="H37" s="2" t="s">
        <v>344</v>
      </c>
    </row>
    <row r="38" spans="1:8">
      <c r="A38" t="s">
        <v>90</v>
      </c>
      <c r="B38" s="1">
        <v>40120</v>
      </c>
      <c r="C38" s="2" t="s">
        <v>24</v>
      </c>
      <c r="D38" s="78" t="s">
        <v>19</v>
      </c>
      <c r="E38" s="2" t="s">
        <v>282</v>
      </c>
      <c r="F38" s="2" t="s">
        <v>346</v>
      </c>
      <c r="G38" s="2" t="s">
        <v>261</v>
      </c>
      <c r="H38" s="2" t="s">
        <v>325</v>
      </c>
    </row>
    <row r="39" spans="1:8">
      <c r="A39" t="s">
        <v>91</v>
      </c>
      <c r="B39" s="1">
        <v>40121</v>
      </c>
      <c r="C39" s="2" t="s">
        <v>24</v>
      </c>
      <c r="D39" s="78" t="s">
        <v>254</v>
      </c>
      <c r="E39" s="2" t="s">
        <v>348</v>
      </c>
      <c r="F39" s="2" t="s">
        <v>278</v>
      </c>
      <c r="G39" s="2" t="s">
        <v>285</v>
      </c>
      <c r="H39" s="2" t="s">
        <v>347</v>
      </c>
    </row>
    <row r="40" spans="1:8">
      <c r="A40" t="s">
        <v>107</v>
      </c>
      <c r="B40" s="1">
        <v>40122</v>
      </c>
      <c r="C40" s="2" t="s">
        <v>24</v>
      </c>
      <c r="D40" s="78" t="s">
        <v>178</v>
      </c>
      <c r="E40" s="2" t="s">
        <v>317</v>
      </c>
      <c r="F40" s="2" t="s">
        <v>177</v>
      </c>
      <c r="G40" s="2" t="s">
        <v>305</v>
      </c>
      <c r="H40" s="2" t="s">
        <v>176</v>
      </c>
    </row>
    <row r="41" spans="1:8">
      <c r="A41" t="s">
        <v>92</v>
      </c>
      <c r="B41" s="1">
        <v>40123</v>
      </c>
      <c r="C41" s="2" t="s">
        <v>24</v>
      </c>
      <c r="D41" s="78" t="s">
        <v>23</v>
      </c>
      <c r="E41" s="2" t="s">
        <v>277</v>
      </c>
      <c r="F41" s="2" t="s">
        <v>359</v>
      </c>
      <c r="G41" s="2" t="s">
        <v>275</v>
      </c>
      <c r="H41" s="2" t="s">
        <v>375</v>
      </c>
    </row>
    <row r="42" spans="1:8">
      <c r="A42" t="s">
        <v>89</v>
      </c>
      <c r="B42" s="1">
        <v>40126</v>
      </c>
      <c r="C42" s="2" t="s">
        <v>24</v>
      </c>
      <c r="D42" s="78" t="s">
        <v>354</v>
      </c>
      <c r="E42" s="2" t="s">
        <v>270</v>
      </c>
      <c r="F42" s="2" t="s">
        <v>195</v>
      </c>
      <c r="G42" s="2" t="s">
        <v>272</v>
      </c>
      <c r="H42" s="2" t="s">
        <v>395</v>
      </c>
    </row>
    <row r="43" spans="1:8">
      <c r="A43" t="s">
        <v>90</v>
      </c>
      <c r="B43" s="1">
        <v>40127</v>
      </c>
      <c r="C43" s="2" t="s">
        <v>24</v>
      </c>
      <c r="D43" s="78" t="s">
        <v>296</v>
      </c>
      <c r="E43" s="2" t="s">
        <v>269</v>
      </c>
      <c r="F43" s="2" t="s">
        <v>318</v>
      </c>
      <c r="G43" s="2" t="s">
        <v>300</v>
      </c>
      <c r="H43" s="2" t="s">
        <v>303</v>
      </c>
    </row>
    <row r="44" spans="1:8">
      <c r="A44" t="s">
        <v>91</v>
      </c>
      <c r="B44" s="1">
        <v>40128</v>
      </c>
      <c r="C44" s="2" t="s">
        <v>24</v>
      </c>
      <c r="D44" s="78" t="s">
        <v>22</v>
      </c>
      <c r="E44" s="2" t="s">
        <v>265</v>
      </c>
      <c r="F44" s="2" t="s">
        <v>71</v>
      </c>
      <c r="G44" s="2" t="s">
        <v>285</v>
      </c>
      <c r="H44" s="2" t="s">
        <v>72</v>
      </c>
    </row>
    <row r="45" spans="1:8">
      <c r="A45" t="s">
        <v>107</v>
      </c>
      <c r="B45" s="1">
        <v>40129</v>
      </c>
      <c r="C45" s="2" t="s">
        <v>24</v>
      </c>
      <c r="D45" s="78" t="s">
        <v>278</v>
      </c>
      <c r="E45" s="2" t="s">
        <v>297</v>
      </c>
      <c r="F45" s="2" t="s">
        <v>281</v>
      </c>
      <c r="G45" s="2" t="s">
        <v>305</v>
      </c>
      <c r="H45" s="2" t="s">
        <v>176</v>
      </c>
    </row>
    <row r="46" spans="1:8">
      <c r="A46" t="s">
        <v>92</v>
      </c>
      <c r="B46" s="1">
        <v>40130</v>
      </c>
      <c r="C46" s="2" t="s">
        <v>24</v>
      </c>
      <c r="D46" s="78" t="s">
        <v>18</v>
      </c>
      <c r="E46" s="2" t="s">
        <v>277</v>
      </c>
      <c r="F46" s="2" t="s">
        <v>258</v>
      </c>
      <c r="G46" s="2" t="s">
        <v>275</v>
      </c>
      <c r="H46" s="2" t="s">
        <v>289</v>
      </c>
    </row>
  </sheetData>
  <phoneticPr fontId="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Y48"/>
  <sheetViews>
    <sheetView topLeftCell="B1" zoomScale="70" zoomScaleNormal="70" zoomScalePageLayoutView="70" workbookViewId="0">
      <pane ySplit="1" topLeftCell="A2" activePane="bottomLeft" state="frozen"/>
      <selection pane="bottomLeft" activeCell="L34" sqref="L34"/>
    </sheetView>
  </sheetViews>
  <sheetFormatPr defaultColWidth="8.85546875" defaultRowHeight="15"/>
  <cols>
    <col min="1" max="1" width="16.42578125" style="10" customWidth="1"/>
    <col min="2" max="2" width="19.85546875" style="10" customWidth="1"/>
    <col min="3" max="3" width="25" style="10" customWidth="1"/>
    <col min="4" max="4" width="19.85546875" style="10" customWidth="1"/>
    <col min="5" max="5" width="25" style="10" customWidth="1"/>
    <col min="6" max="6" width="19.85546875" style="10" customWidth="1"/>
    <col min="7" max="7" width="25" style="10" customWidth="1"/>
    <col min="8" max="8" width="19.85546875" style="10" customWidth="1"/>
    <col min="9" max="9" width="8.85546875" style="10"/>
    <col min="10" max="10" width="26" style="10" customWidth="1"/>
    <col min="11" max="11" width="25.42578125" style="10" customWidth="1"/>
    <col min="12" max="12" width="16.42578125" style="10" bestFit="1" customWidth="1"/>
    <col min="13" max="13" width="15.28515625" style="10" bestFit="1" customWidth="1"/>
    <col min="14" max="362" width="8.85546875" style="10"/>
    <col min="363" max="363" width="9.140625" style="10" hidden="1" customWidth="1"/>
    <col min="364" max="16384" width="8.85546875" style="10"/>
  </cols>
  <sheetData>
    <row r="1" spans="1:13" s="58" customFormat="1" ht="29.25" customHeight="1">
      <c r="A1" s="58" t="s">
        <v>10</v>
      </c>
      <c r="B1" s="52" t="s">
        <v>253</v>
      </c>
      <c r="C1" s="52" t="s">
        <v>378</v>
      </c>
      <c r="D1" s="52" t="s">
        <v>379</v>
      </c>
      <c r="E1" s="52" t="s">
        <v>259</v>
      </c>
      <c r="F1" s="52" t="s">
        <v>255</v>
      </c>
      <c r="G1" s="52" t="s">
        <v>260</v>
      </c>
      <c r="H1" s="52" t="s">
        <v>256</v>
      </c>
      <c r="J1" s="52" t="s">
        <v>151</v>
      </c>
      <c r="K1" s="52" t="s">
        <v>73</v>
      </c>
      <c r="L1" s="52" t="s">
        <v>75</v>
      </c>
      <c r="M1" s="52" t="s">
        <v>341</v>
      </c>
    </row>
    <row r="2" spans="1:13">
      <c r="A2" s="10" t="s">
        <v>11</v>
      </c>
      <c r="B2" s="14">
        <v>40071</v>
      </c>
      <c r="C2" s="9" t="s">
        <v>223</v>
      </c>
      <c r="D2" s="12" t="s">
        <v>166</v>
      </c>
      <c r="E2" s="64" t="s">
        <v>224</v>
      </c>
      <c r="F2" s="12" t="s">
        <v>292</v>
      </c>
      <c r="G2" s="11" t="s">
        <v>294</v>
      </c>
      <c r="H2" s="12" t="s">
        <v>289</v>
      </c>
      <c r="J2" s="9" t="s">
        <v>167</v>
      </c>
      <c r="K2" s="17">
        <f>16</f>
        <v>16</v>
      </c>
      <c r="L2" s="59">
        <v>86948</v>
      </c>
      <c r="M2" s="59">
        <f t="shared" ref="M2:M9" si="0">2*K2*(L2)</f>
        <v>2782336</v>
      </c>
    </row>
    <row r="3" spans="1:13">
      <c r="A3" s="10" t="s">
        <v>90</v>
      </c>
      <c r="B3" s="14">
        <v>40072</v>
      </c>
      <c r="C3" s="9" t="s">
        <v>227</v>
      </c>
      <c r="D3" s="12" t="s">
        <v>312</v>
      </c>
      <c r="E3" s="62" t="s">
        <v>228</v>
      </c>
      <c r="F3" s="12" t="s">
        <v>229</v>
      </c>
      <c r="G3" s="11" t="s">
        <v>225</v>
      </c>
      <c r="H3" s="12" t="s">
        <v>226</v>
      </c>
      <c r="J3" s="9" t="s">
        <v>154</v>
      </c>
      <c r="K3" s="17">
        <f>16</f>
        <v>16</v>
      </c>
      <c r="L3" s="59">
        <v>146679</v>
      </c>
      <c r="M3" s="59">
        <f t="shared" si="0"/>
        <v>4693728</v>
      </c>
    </row>
    <row r="4" spans="1:13">
      <c r="A4" s="10" t="s">
        <v>91</v>
      </c>
      <c r="B4" s="14">
        <v>40073</v>
      </c>
      <c r="C4" s="9" t="s">
        <v>230</v>
      </c>
      <c r="D4" s="12" t="s">
        <v>231</v>
      </c>
      <c r="E4" s="11" t="s">
        <v>233</v>
      </c>
      <c r="F4" s="12" t="s">
        <v>278</v>
      </c>
      <c r="G4" s="11" t="s">
        <v>313</v>
      </c>
      <c r="H4" s="12" t="s">
        <v>232</v>
      </c>
      <c r="J4" s="11" t="s">
        <v>157</v>
      </c>
      <c r="K4" s="17">
        <f>16</f>
        <v>16</v>
      </c>
      <c r="L4" s="59">
        <v>78000</v>
      </c>
      <c r="M4" s="59">
        <f t="shared" si="0"/>
        <v>2496000</v>
      </c>
    </row>
    <row r="5" spans="1:13">
      <c r="A5" s="10" t="s">
        <v>107</v>
      </c>
      <c r="B5" s="14">
        <v>40074</v>
      </c>
      <c r="C5" s="9" t="s">
        <v>238</v>
      </c>
      <c r="D5" s="12" t="s">
        <v>357</v>
      </c>
      <c r="E5" s="11" t="s">
        <v>236</v>
      </c>
      <c r="F5" s="12" t="s">
        <v>237</v>
      </c>
      <c r="G5" s="11" t="s">
        <v>234</v>
      </c>
      <c r="H5" s="12" t="s">
        <v>235</v>
      </c>
      <c r="J5" s="9" t="s">
        <v>183</v>
      </c>
      <c r="K5" s="17">
        <f>16</f>
        <v>16</v>
      </c>
      <c r="L5" s="59">
        <v>110049</v>
      </c>
      <c r="M5" s="59">
        <f t="shared" si="0"/>
        <v>3521568</v>
      </c>
    </row>
    <row r="6" spans="1:13">
      <c r="A6" s="10" t="s">
        <v>92</v>
      </c>
      <c r="B6" s="14">
        <v>40075</v>
      </c>
      <c r="C6" s="61" t="s">
        <v>241</v>
      </c>
      <c r="D6" s="12" t="s">
        <v>168</v>
      </c>
      <c r="E6" s="11" t="s">
        <v>240</v>
      </c>
      <c r="F6" s="12" t="s">
        <v>312</v>
      </c>
      <c r="G6" s="11" t="s">
        <v>218</v>
      </c>
      <c r="H6" s="12" t="s">
        <v>239</v>
      </c>
      <c r="J6" s="9" t="s">
        <v>192</v>
      </c>
      <c r="K6" s="17">
        <f>16</f>
        <v>16</v>
      </c>
      <c r="L6" s="59">
        <v>98909</v>
      </c>
      <c r="M6" s="59">
        <f t="shared" si="0"/>
        <v>3165088</v>
      </c>
    </row>
    <row r="7" spans="1:13">
      <c r="A7" s="10" t="s">
        <v>89</v>
      </c>
      <c r="B7" s="14">
        <v>40078</v>
      </c>
      <c r="C7" s="55" t="s">
        <v>245</v>
      </c>
      <c r="D7" s="11" t="s">
        <v>246</v>
      </c>
      <c r="E7" s="9" t="s">
        <v>242</v>
      </c>
      <c r="F7" s="12" t="s">
        <v>394</v>
      </c>
      <c r="G7" s="11" t="s">
        <v>243</v>
      </c>
      <c r="H7" s="12" t="s">
        <v>244</v>
      </c>
      <c r="J7" s="11" t="s">
        <v>382</v>
      </c>
      <c r="K7" s="17">
        <f>16</f>
        <v>16</v>
      </c>
      <c r="L7" s="59">
        <v>205000</v>
      </c>
      <c r="M7" s="59">
        <f t="shared" si="0"/>
        <v>6560000</v>
      </c>
    </row>
    <row r="8" spans="1:13">
      <c r="A8" s="10" t="s">
        <v>90</v>
      </c>
      <c r="B8" s="14">
        <v>40079</v>
      </c>
      <c r="C8" s="9" t="s">
        <v>385</v>
      </c>
      <c r="D8" s="12" t="s">
        <v>386</v>
      </c>
      <c r="E8" s="11" t="s">
        <v>382</v>
      </c>
      <c r="F8" s="12" t="s">
        <v>383</v>
      </c>
      <c r="G8" s="11" t="s">
        <v>380</v>
      </c>
      <c r="H8" s="12" t="s">
        <v>381</v>
      </c>
      <c r="J8" s="11" t="s">
        <v>393</v>
      </c>
      <c r="K8" s="17">
        <f>16</f>
        <v>16</v>
      </c>
      <c r="L8" s="59">
        <v>112610</v>
      </c>
      <c r="M8" s="59">
        <f t="shared" si="0"/>
        <v>3603520</v>
      </c>
    </row>
    <row r="9" spans="1:13">
      <c r="A9" s="10" t="s">
        <v>91</v>
      </c>
      <c r="B9" s="14">
        <v>40080</v>
      </c>
      <c r="C9" s="9" t="s">
        <v>147</v>
      </c>
      <c r="D9" s="12" t="s">
        <v>148</v>
      </c>
      <c r="E9" s="62" t="s">
        <v>145</v>
      </c>
      <c r="F9" s="12" t="s">
        <v>146</v>
      </c>
      <c r="G9" s="11" t="s">
        <v>366</v>
      </c>
      <c r="H9" s="12" t="s">
        <v>367</v>
      </c>
      <c r="J9" s="11" t="s">
        <v>174</v>
      </c>
      <c r="K9" s="17">
        <f>16</f>
        <v>16</v>
      </c>
      <c r="L9" s="59">
        <v>130164</v>
      </c>
      <c r="M9" s="59">
        <f t="shared" si="0"/>
        <v>4165248</v>
      </c>
    </row>
    <row r="10" spans="1:13">
      <c r="A10" s="10" t="s">
        <v>107</v>
      </c>
      <c r="B10" s="14">
        <v>40081</v>
      </c>
      <c r="C10" s="11" t="s">
        <v>249</v>
      </c>
      <c r="D10" s="11" t="s">
        <v>250</v>
      </c>
      <c r="E10" s="55" t="s">
        <v>370</v>
      </c>
      <c r="F10" s="12" t="s">
        <v>247</v>
      </c>
      <c r="G10" s="11" t="s">
        <v>248</v>
      </c>
      <c r="H10" s="12" t="s">
        <v>318</v>
      </c>
      <c r="J10" s="11" t="s">
        <v>290</v>
      </c>
      <c r="K10" s="17">
        <f>16</f>
        <v>16</v>
      </c>
      <c r="L10" s="59">
        <v>75950</v>
      </c>
      <c r="M10" s="59">
        <f>2*K10*(L10)</f>
        <v>2430400</v>
      </c>
    </row>
    <row r="11" spans="1:13">
      <c r="A11" s="10" t="s">
        <v>92</v>
      </c>
      <c r="B11" s="14">
        <v>40082</v>
      </c>
      <c r="C11" s="61" t="s">
        <v>392</v>
      </c>
      <c r="D11" s="12" t="s">
        <v>331</v>
      </c>
      <c r="E11" s="62" t="s">
        <v>391</v>
      </c>
      <c r="F11" s="12" t="s">
        <v>149</v>
      </c>
      <c r="G11" s="62" t="s">
        <v>392</v>
      </c>
      <c r="H11" s="12" t="s">
        <v>312</v>
      </c>
      <c r="J11" s="11" t="s">
        <v>142</v>
      </c>
      <c r="K11" s="17">
        <f>16</f>
        <v>16</v>
      </c>
      <c r="L11" s="59">
        <v>133223</v>
      </c>
      <c r="M11" s="59">
        <f t="shared" ref="M11:M20" si="1">2*K11*(L11)</f>
        <v>4263136</v>
      </c>
    </row>
    <row r="12" spans="1:13">
      <c r="A12" s="10" t="s">
        <v>89</v>
      </c>
      <c r="B12" s="15">
        <v>40085</v>
      </c>
      <c r="C12" s="9" t="s">
        <v>396</v>
      </c>
      <c r="D12" s="11" t="s">
        <v>146</v>
      </c>
      <c r="E12" s="11" t="s">
        <v>393</v>
      </c>
      <c r="F12" s="11" t="s">
        <v>394</v>
      </c>
      <c r="G12" s="11" t="s">
        <v>272</v>
      </c>
      <c r="H12" s="11" t="s">
        <v>395</v>
      </c>
      <c r="J12" s="11" t="s">
        <v>272</v>
      </c>
      <c r="K12" s="17">
        <f>16</f>
        <v>16</v>
      </c>
      <c r="L12" s="59">
        <v>182101</v>
      </c>
      <c r="M12" s="59">
        <f t="shared" si="1"/>
        <v>5827232</v>
      </c>
    </row>
    <row r="13" spans="1:13">
      <c r="A13" s="10" t="s">
        <v>90</v>
      </c>
      <c r="B13" s="15">
        <v>40086</v>
      </c>
      <c r="C13" s="9" t="s">
        <v>154</v>
      </c>
      <c r="D13" s="11" t="s">
        <v>155</v>
      </c>
      <c r="E13" s="62" t="s">
        <v>153</v>
      </c>
      <c r="F13" s="11" t="s">
        <v>274</v>
      </c>
      <c r="G13" s="11" t="s">
        <v>152</v>
      </c>
      <c r="H13" s="11" t="s">
        <v>286</v>
      </c>
      <c r="J13" s="11" t="s">
        <v>152</v>
      </c>
      <c r="K13" s="17">
        <f>16</f>
        <v>16</v>
      </c>
      <c r="L13" s="59">
        <v>127766</v>
      </c>
      <c r="M13" s="59">
        <f t="shared" si="1"/>
        <v>4088512</v>
      </c>
    </row>
    <row r="14" spans="1:13">
      <c r="A14" s="10" t="s">
        <v>91</v>
      </c>
      <c r="B14" s="16">
        <v>40087</v>
      </c>
      <c r="C14" s="11" t="s">
        <v>157</v>
      </c>
      <c r="D14" s="11" t="s">
        <v>158</v>
      </c>
      <c r="E14" s="11" t="s">
        <v>159</v>
      </c>
      <c r="F14" s="11" t="s">
        <v>346</v>
      </c>
      <c r="G14" s="11" t="s">
        <v>285</v>
      </c>
      <c r="H14" s="11" t="s">
        <v>156</v>
      </c>
      <c r="J14" s="11" t="s">
        <v>285</v>
      </c>
      <c r="K14" s="17">
        <f>16</f>
        <v>16</v>
      </c>
      <c r="L14" s="59">
        <v>137648</v>
      </c>
      <c r="M14" s="59">
        <f t="shared" si="1"/>
        <v>4404736</v>
      </c>
    </row>
    <row r="15" spans="1:13">
      <c r="A15" s="10" t="s">
        <v>107</v>
      </c>
      <c r="B15" s="16">
        <v>40088</v>
      </c>
      <c r="C15" s="61" t="s">
        <v>163</v>
      </c>
      <c r="D15" s="11" t="s">
        <v>164</v>
      </c>
      <c r="E15" s="11" t="s">
        <v>392</v>
      </c>
      <c r="F15" s="11" t="s">
        <v>314</v>
      </c>
      <c r="G15" s="62" t="s">
        <v>392</v>
      </c>
      <c r="H15" s="11" t="s">
        <v>162</v>
      </c>
      <c r="J15" s="11" t="s">
        <v>275</v>
      </c>
      <c r="K15" s="17">
        <f>16</f>
        <v>16</v>
      </c>
      <c r="L15" s="59">
        <v>81700</v>
      </c>
      <c r="M15" s="59">
        <f t="shared" si="1"/>
        <v>2614400</v>
      </c>
    </row>
    <row r="16" spans="1:13">
      <c r="A16" s="10" t="s">
        <v>92</v>
      </c>
      <c r="B16" s="16">
        <v>40089</v>
      </c>
      <c r="C16" s="9" t="s">
        <v>167</v>
      </c>
      <c r="D16" s="11" t="s">
        <v>168</v>
      </c>
      <c r="E16" s="11" t="s">
        <v>290</v>
      </c>
      <c r="F16" s="11" t="s">
        <v>165</v>
      </c>
      <c r="G16" s="11" t="s">
        <v>374</v>
      </c>
      <c r="H16" s="11" t="s">
        <v>375</v>
      </c>
      <c r="J16" s="11" t="s">
        <v>387</v>
      </c>
      <c r="K16" s="17">
        <f>16</f>
        <v>16</v>
      </c>
      <c r="L16" s="59">
        <v>155400</v>
      </c>
      <c r="M16" s="59">
        <f t="shared" si="1"/>
        <v>4972800</v>
      </c>
    </row>
    <row r="17" spans="1:13">
      <c r="A17" s="10" t="s">
        <v>89</v>
      </c>
      <c r="B17" s="16">
        <v>40092</v>
      </c>
      <c r="C17" s="9" t="s">
        <v>167</v>
      </c>
      <c r="D17" s="11" t="s">
        <v>169</v>
      </c>
      <c r="E17" s="11" t="s">
        <v>393</v>
      </c>
      <c r="F17" s="11" t="s">
        <v>384</v>
      </c>
      <c r="G17" s="11" t="s">
        <v>272</v>
      </c>
      <c r="H17" s="11" t="s">
        <v>395</v>
      </c>
      <c r="J17" s="11" t="s">
        <v>150</v>
      </c>
      <c r="K17" s="17">
        <f>16</f>
        <v>16</v>
      </c>
      <c r="L17" s="59">
        <v>193902</v>
      </c>
      <c r="M17" s="59">
        <f t="shared" si="1"/>
        <v>6204864</v>
      </c>
    </row>
    <row r="18" spans="1:13">
      <c r="A18" s="10" t="s">
        <v>90</v>
      </c>
      <c r="B18" s="16">
        <v>40093</v>
      </c>
      <c r="C18" s="62" t="s">
        <v>392</v>
      </c>
      <c r="D18" s="11" t="s">
        <v>173</v>
      </c>
      <c r="E18" s="11" t="s">
        <v>170</v>
      </c>
      <c r="F18" s="11" t="s">
        <v>171</v>
      </c>
      <c r="G18" s="62" t="s">
        <v>392</v>
      </c>
      <c r="H18" s="11" t="s">
        <v>172</v>
      </c>
      <c r="J18" s="11" t="s">
        <v>308</v>
      </c>
      <c r="K18" s="17">
        <f>16</f>
        <v>16</v>
      </c>
      <c r="L18" s="59">
        <v>343000</v>
      </c>
      <c r="M18" s="59">
        <f t="shared" si="1"/>
        <v>10976000</v>
      </c>
    </row>
    <row r="19" spans="1:13">
      <c r="A19" s="10" t="s">
        <v>91</v>
      </c>
      <c r="B19" s="16">
        <v>40094</v>
      </c>
      <c r="C19" s="9" t="s">
        <v>157</v>
      </c>
      <c r="D19" s="11" t="s">
        <v>175</v>
      </c>
      <c r="E19" s="11" t="s">
        <v>174</v>
      </c>
      <c r="F19" s="11" t="s">
        <v>304</v>
      </c>
      <c r="G19" s="11" t="s">
        <v>285</v>
      </c>
      <c r="H19" s="11" t="s">
        <v>327</v>
      </c>
      <c r="J19" s="56" t="s">
        <v>160</v>
      </c>
      <c r="K19" s="17">
        <f>16</f>
        <v>16</v>
      </c>
      <c r="L19" s="60">
        <v>82108</v>
      </c>
      <c r="M19" s="59">
        <f t="shared" si="1"/>
        <v>2627456</v>
      </c>
    </row>
    <row r="20" spans="1:13">
      <c r="A20" s="10" t="s">
        <v>107</v>
      </c>
      <c r="B20" s="16">
        <v>40095</v>
      </c>
      <c r="C20" s="9" t="s">
        <v>183</v>
      </c>
      <c r="D20" s="11" t="s">
        <v>184</v>
      </c>
      <c r="E20" s="11" t="s">
        <v>181</v>
      </c>
      <c r="F20" s="11" t="s">
        <v>182</v>
      </c>
      <c r="G20" s="11" t="s">
        <v>179</v>
      </c>
      <c r="H20" s="11" t="s">
        <v>180</v>
      </c>
      <c r="J20" s="11" t="s">
        <v>194</v>
      </c>
      <c r="K20" s="17">
        <f>16</f>
        <v>16</v>
      </c>
      <c r="L20" s="59">
        <v>110558</v>
      </c>
      <c r="M20" s="59">
        <f t="shared" si="1"/>
        <v>3537856</v>
      </c>
    </row>
    <row r="21" spans="1:13" ht="15.75" thickBot="1">
      <c r="A21" s="10" t="s">
        <v>92</v>
      </c>
      <c r="B21" s="16">
        <v>40096</v>
      </c>
      <c r="C21" s="9" t="s">
        <v>185</v>
      </c>
      <c r="D21" s="11" t="s">
        <v>186</v>
      </c>
      <c r="E21" s="11" t="s">
        <v>277</v>
      </c>
      <c r="F21" s="11" t="s">
        <v>258</v>
      </c>
      <c r="G21" s="11" t="s">
        <v>275</v>
      </c>
      <c r="H21" s="11" t="s">
        <v>375</v>
      </c>
    </row>
    <row r="22" spans="1:13">
      <c r="A22" s="10" t="s">
        <v>89</v>
      </c>
      <c r="B22" s="16">
        <v>40099</v>
      </c>
      <c r="C22" s="9" t="s">
        <v>188</v>
      </c>
      <c r="D22" s="11" t="s">
        <v>346</v>
      </c>
      <c r="E22" s="11" t="s">
        <v>393</v>
      </c>
      <c r="F22" s="11" t="s">
        <v>187</v>
      </c>
      <c r="G22" s="11" t="s">
        <v>272</v>
      </c>
      <c r="H22" s="11" t="s">
        <v>333</v>
      </c>
      <c r="J22" s="66" t="s">
        <v>40</v>
      </c>
      <c r="K22" s="83"/>
      <c r="L22" s="84"/>
    </row>
    <row r="23" spans="1:13">
      <c r="A23" s="10" t="s">
        <v>90</v>
      </c>
      <c r="B23" s="16">
        <v>40100</v>
      </c>
      <c r="C23" s="9" t="s">
        <v>154</v>
      </c>
      <c r="D23" s="11" t="s">
        <v>310</v>
      </c>
      <c r="E23" s="11" t="s">
        <v>252</v>
      </c>
      <c r="F23" s="11" t="s">
        <v>63</v>
      </c>
      <c r="G23" s="11" t="s">
        <v>152</v>
      </c>
      <c r="H23" s="11" t="s">
        <v>251</v>
      </c>
      <c r="J23" s="67" t="s">
        <v>31</v>
      </c>
      <c r="K23" s="68"/>
      <c r="L23" s="69"/>
    </row>
    <row r="24" spans="1:13">
      <c r="A24" s="10" t="s">
        <v>91</v>
      </c>
      <c r="B24" s="16">
        <v>40101</v>
      </c>
      <c r="C24" s="61" t="s">
        <v>189</v>
      </c>
      <c r="D24" s="11" t="s">
        <v>190</v>
      </c>
      <c r="E24" s="62" t="s">
        <v>392</v>
      </c>
      <c r="F24" s="11" t="s">
        <v>394</v>
      </c>
      <c r="G24" s="62" t="s">
        <v>392</v>
      </c>
      <c r="H24" s="11" t="s">
        <v>334</v>
      </c>
      <c r="J24" s="70" t="s">
        <v>32</v>
      </c>
      <c r="K24" s="30"/>
      <c r="L24" s="69"/>
    </row>
    <row r="25" spans="1:13" ht="15.75" thickBot="1">
      <c r="A25" s="10" t="s">
        <v>107</v>
      </c>
      <c r="B25" s="16">
        <v>40102</v>
      </c>
      <c r="C25" s="9" t="s">
        <v>144</v>
      </c>
      <c r="D25" s="11" t="s">
        <v>177</v>
      </c>
      <c r="E25" s="11" t="s">
        <v>142</v>
      </c>
      <c r="F25" s="11" t="s">
        <v>187</v>
      </c>
      <c r="G25" s="11" t="s">
        <v>387</v>
      </c>
      <c r="H25" s="11" t="s">
        <v>191</v>
      </c>
      <c r="J25" s="71" t="s">
        <v>33</v>
      </c>
      <c r="K25" s="72"/>
      <c r="L25" s="73"/>
    </row>
    <row r="26" spans="1:13">
      <c r="A26" s="10" t="s">
        <v>92</v>
      </c>
      <c r="B26" s="16">
        <v>40103</v>
      </c>
      <c r="C26" s="9" t="s">
        <v>167</v>
      </c>
      <c r="D26" s="11" t="s">
        <v>312</v>
      </c>
      <c r="E26" s="11" t="s">
        <v>277</v>
      </c>
      <c r="F26" s="11" t="s">
        <v>340</v>
      </c>
      <c r="G26" s="11" t="s">
        <v>275</v>
      </c>
      <c r="H26" s="11" t="s">
        <v>359</v>
      </c>
    </row>
    <row r="27" spans="1:13">
      <c r="A27" s="10" t="s">
        <v>89</v>
      </c>
      <c r="B27" s="16">
        <v>40106</v>
      </c>
      <c r="C27" s="11" t="s">
        <v>192</v>
      </c>
      <c r="D27" s="11" t="s">
        <v>280</v>
      </c>
      <c r="E27" s="11" t="s">
        <v>393</v>
      </c>
      <c r="F27" s="11" t="s">
        <v>289</v>
      </c>
      <c r="G27" s="11" t="s">
        <v>272</v>
      </c>
      <c r="H27" s="11" t="s">
        <v>193</v>
      </c>
    </row>
    <row r="28" spans="1:13">
      <c r="A28" s="10" t="s">
        <v>90</v>
      </c>
      <c r="B28" s="16">
        <v>40107</v>
      </c>
      <c r="C28" s="9" t="s">
        <v>154</v>
      </c>
      <c r="D28" s="11" t="s">
        <v>195</v>
      </c>
      <c r="E28" s="11" t="s">
        <v>194</v>
      </c>
      <c r="F28" s="11" t="s">
        <v>187</v>
      </c>
      <c r="G28" s="11" t="s">
        <v>152</v>
      </c>
      <c r="H28" s="11" t="s">
        <v>347</v>
      </c>
    </row>
    <row r="29" spans="1:13">
      <c r="A29" s="10" t="s">
        <v>91</v>
      </c>
      <c r="B29" s="16">
        <v>40108</v>
      </c>
      <c r="C29" s="9" t="s">
        <v>157</v>
      </c>
      <c r="D29" s="11" t="s">
        <v>197</v>
      </c>
      <c r="E29" s="11" t="s">
        <v>174</v>
      </c>
      <c r="F29" s="11" t="s">
        <v>196</v>
      </c>
      <c r="G29" s="11" t="s">
        <v>285</v>
      </c>
      <c r="H29" s="11" t="s">
        <v>395</v>
      </c>
    </row>
    <row r="30" spans="1:13">
      <c r="A30" s="10" t="s">
        <v>107</v>
      </c>
      <c r="B30" s="16">
        <v>40109</v>
      </c>
      <c r="C30" s="9" t="s">
        <v>144</v>
      </c>
      <c r="D30" s="11" t="s">
        <v>200</v>
      </c>
      <c r="E30" s="11" t="s">
        <v>142</v>
      </c>
      <c r="F30" s="11" t="s">
        <v>143</v>
      </c>
      <c r="G30" s="11" t="s">
        <v>198</v>
      </c>
      <c r="H30" s="11" t="s">
        <v>199</v>
      </c>
    </row>
    <row r="31" spans="1:13">
      <c r="A31" s="10" t="s">
        <v>92</v>
      </c>
      <c r="B31" s="16">
        <v>40110</v>
      </c>
      <c r="C31" s="9" t="s">
        <v>167</v>
      </c>
      <c r="D31" s="11" t="s">
        <v>280</v>
      </c>
      <c r="E31" s="11" t="s">
        <v>277</v>
      </c>
      <c r="F31" s="11" t="s">
        <v>320</v>
      </c>
      <c r="G31" s="11" t="s">
        <v>275</v>
      </c>
      <c r="H31" s="11" t="s">
        <v>177</v>
      </c>
    </row>
    <row r="32" spans="1:13">
      <c r="A32" s="10" t="s">
        <v>89</v>
      </c>
      <c r="B32" s="16">
        <v>40113</v>
      </c>
      <c r="C32" s="9" t="s">
        <v>192</v>
      </c>
      <c r="D32" s="11" t="s">
        <v>349</v>
      </c>
      <c r="E32" s="11" t="s">
        <v>393</v>
      </c>
      <c r="F32" s="11" t="s">
        <v>201</v>
      </c>
      <c r="G32" s="11" t="s">
        <v>294</v>
      </c>
      <c r="H32" s="11" t="s">
        <v>203</v>
      </c>
    </row>
    <row r="33" spans="1:8">
      <c r="A33" s="10" t="s">
        <v>90</v>
      </c>
      <c r="B33" s="16">
        <v>40114</v>
      </c>
      <c r="C33" s="9" t="s">
        <v>154</v>
      </c>
      <c r="D33" s="11" t="s">
        <v>314</v>
      </c>
      <c r="E33" s="11" t="s">
        <v>194</v>
      </c>
      <c r="F33" s="11" t="s">
        <v>331</v>
      </c>
      <c r="G33" s="11" t="s">
        <v>152</v>
      </c>
      <c r="H33" s="11" t="s">
        <v>204</v>
      </c>
    </row>
    <row r="34" spans="1:8">
      <c r="A34" s="10" t="s">
        <v>91</v>
      </c>
      <c r="B34" s="16">
        <v>40115</v>
      </c>
      <c r="C34" s="11" t="s">
        <v>157</v>
      </c>
      <c r="D34" s="11" t="s">
        <v>205</v>
      </c>
      <c r="E34" s="11" t="s">
        <v>174</v>
      </c>
      <c r="F34" s="11" t="s">
        <v>326</v>
      </c>
      <c r="G34" s="11" t="s">
        <v>285</v>
      </c>
      <c r="H34" s="11" t="s">
        <v>193</v>
      </c>
    </row>
    <row r="35" spans="1:8">
      <c r="A35" s="10" t="s">
        <v>107</v>
      </c>
      <c r="B35" s="16">
        <v>40116</v>
      </c>
      <c r="C35" s="9" t="s">
        <v>183</v>
      </c>
      <c r="D35" s="11" t="s">
        <v>65</v>
      </c>
      <c r="E35" s="11" t="s">
        <v>64</v>
      </c>
      <c r="F35" s="11" t="s">
        <v>63</v>
      </c>
      <c r="G35" s="11" t="s">
        <v>387</v>
      </c>
      <c r="H35" s="11" t="s">
        <v>182</v>
      </c>
    </row>
    <row r="36" spans="1:8">
      <c r="A36" s="10" t="s">
        <v>92</v>
      </c>
      <c r="B36" s="16">
        <v>40117</v>
      </c>
      <c r="C36" s="9" t="s">
        <v>157</v>
      </c>
      <c r="D36" s="11" t="s">
        <v>161</v>
      </c>
      <c r="E36" s="11" t="s">
        <v>277</v>
      </c>
      <c r="F36" s="11" t="s">
        <v>207</v>
      </c>
      <c r="G36" s="11" t="s">
        <v>275</v>
      </c>
      <c r="H36" s="11" t="s">
        <v>206</v>
      </c>
    </row>
    <row r="37" spans="1:8">
      <c r="A37" s="10" t="s">
        <v>89</v>
      </c>
      <c r="B37" s="16">
        <v>40120</v>
      </c>
      <c r="C37" s="61" t="s">
        <v>208</v>
      </c>
      <c r="D37" s="11" t="s">
        <v>209</v>
      </c>
      <c r="E37" s="11" t="s">
        <v>393</v>
      </c>
      <c r="F37" s="11" t="s">
        <v>279</v>
      </c>
      <c r="G37" s="11" t="s">
        <v>272</v>
      </c>
      <c r="H37" s="11" t="s">
        <v>273</v>
      </c>
    </row>
    <row r="38" spans="1:8">
      <c r="A38" s="10" t="s">
        <v>90</v>
      </c>
      <c r="B38" s="16">
        <v>40121</v>
      </c>
      <c r="C38" s="61" t="s">
        <v>66</v>
      </c>
      <c r="D38" s="11" t="s">
        <v>67</v>
      </c>
      <c r="E38" s="62" t="s">
        <v>66</v>
      </c>
      <c r="F38" s="11" t="s">
        <v>202</v>
      </c>
      <c r="G38" s="62" t="s">
        <v>66</v>
      </c>
      <c r="H38" s="11" t="s">
        <v>68</v>
      </c>
    </row>
    <row r="39" spans="1:8">
      <c r="A39" s="10" t="s">
        <v>91</v>
      </c>
      <c r="B39" s="16">
        <v>40122</v>
      </c>
      <c r="C39" s="9" t="s">
        <v>70</v>
      </c>
      <c r="D39" s="11" t="s">
        <v>143</v>
      </c>
      <c r="E39" s="11" t="s">
        <v>174</v>
      </c>
      <c r="F39" s="11" t="s">
        <v>355</v>
      </c>
      <c r="G39" s="11" t="s">
        <v>285</v>
      </c>
      <c r="H39" s="11" t="s">
        <v>69</v>
      </c>
    </row>
    <row r="40" spans="1:8">
      <c r="A40" s="10" t="s">
        <v>107</v>
      </c>
      <c r="B40" s="16">
        <v>40123</v>
      </c>
      <c r="C40" s="9" t="s">
        <v>144</v>
      </c>
      <c r="D40" s="11" t="s">
        <v>359</v>
      </c>
      <c r="E40" s="11" t="s">
        <v>64</v>
      </c>
      <c r="F40" s="11" t="s">
        <v>263</v>
      </c>
      <c r="G40" s="11" t="s">
        <v>387</v>
      </c>
      <c r="H40" s="11" t="s">
        <v>155</v>
      </c>
    </row>
    <row r="41" spans="1:8">
      <c r="A41" s="10" t="s">
        <v>92</v>
      </c>
      <c r="B41" s="16">
        <v>40124</v>
      </c>
      <c r="C41" s="9" t="s">
        <v>157</v>
      </c>
      <c r="D41" s="11" t="s">
        <v>161</v>
      </c>
      <c r="E41" s="11" t="s">
        <v>277</v>
      </c>
      <c r="F41" s="11" t="s">
        <v>369</v>
      </c>
      <c r="G41" s="11" t="s">
        <v>275</v>
      </c>
      <c r="H41" s="11" t="s">
        <v>264</v>
      </c>
    </row>
    <row r="42" spans="1:8">
      <c r="A42" s="10" t="s">
        <v>89</v>
      </c>
      <c r="B42" s="16">
        <v>40127</v>
      </c>
      <c r="C42" s="9" t="s">
        <v>216</v>
      </c>
      <c r="D42" s="11" t="s">
        <v>217</v>
      </c>
      <c r="E42" s="11" t="s">
        <v>213</v>
      </c>
      <c r="F42" s="11" t="s">
        <v>214</v>
      </c>
      <c r="G42" s="11" t="s">
        <v>272</v>
      </c>
      <c r="H42" s="11" t="s">
        <v>215</v>
      </c>
    </row>
    <row r="43" spans="1:8">
      <c r="A43" s="10" t="s">
        <v>90</v>
      </c>
      <c r="B43" s="16">
        <v>40128</v>
      </c>
      <c r="C43" s="9" t="s">
        <v>154</v>
      </c>
      <c r="D43" s="11" t="s">
        <v>314</v>
      </c>
      <c r="E43" s="9" t="s">
        <v>194</v>
      </c>
      <c r="F43" s="11" t="s">
        <v>340</v>
      </c>
      <c r="G43" s="9" t="s">
        <v>152</v>
      </c>
      <c r="H43" s="11" t="s">
        <v>69</v>
      </c>
    </row>
    <row r="44" spans="1:8">
      <c r="A44" s="10" t="s">
        <v>91</v>
      </c>
      <c r="B44" s="16">
        <v>40129</v>
      </c>
      <c r="C44" s="55" t="s">
        <v>268</v>
      </c>
      <c r="D44" s="11" t="s">
        <v>187</v>
      </c>
      <c r="E44" s="62" t="s">
        <v>265</v>
      </c>
      <c r="F44" s="11" t="s">
        <v>266</v>
      </c>
      <c r="G44" s="11" t="s">
        <v>285</v>
      </c>
      <c r="H44" s="11" t="s">
        <v>267</v>
      </c>
    </row>
    <row r="45" spans="1:8">
      <c r="A45" s="10" t="s">
        <v>107</v>
      </c>
      <c r="B45" s="16">
        <v>40130</v>
      </c>
      <c r="C45" s="9" t="s">
        <v>144</v>
      </c>
      <c r="D45" s="11" t="s">
        <v>271</v>
      </c>
      <c r="E45" s="11" t="s">
        <v>142</v>
      </c>
      <c r="F45" s="11" t="s">
        <v>143</v>
      </c>
      <c r="G45" s="11" t="s">
        <v>387</v>
      </c>
      <c r="H45" s="11" t="s">
        <v>295</v>
      </c>
    </row>
    <row r="46" spans="1:8">
      <c r="A46" s="10" t="s">
        <v>92</v>
      </c>
      <c r="B46" s="16">
        <v>40131</v>
      </c>
      <c r="C46" s="11" t="s">
        <v>157</v>
      </c>
      <c r="D46" s="11" t="s">
        <v>361</v>
      </c>
      <c r="E46" s="62" t="s">
        <v>211</v>
      </c>
      <c r="F46" s="11" t="s">
        <v>212</v>
      </c>
      <c r="G46" s="11" t="s">
        <v>275</v>
      </c>
      <c r="H46" s="11" t="s">
        <v>210</v>
      </c>
    </row>
    <row r="48" spans="1:8">
      <c r="A48" s="63" t="s">
        <v>12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InputsAssumptions</vt:lpstr>
      <vt:lpstr>Juran Main Model Sheet</vt:lpstr>
      <vt:lpstr>Zucker Main Model Sheet </vt:lpstr>
      <vt:lpstr>Scaling Ratings Data</vt:lpstr>
      <vt:lpstr>Crystal Ball Results</vt:lpstr>
      <vt:lpstr>Leno Average Rating Data</vt:lpstr>
      <vt:lpstr>NBC Average Drama Ratings Data</vt:lpstr>
      <vt:lpstr>2009 Raw Data</vt:lpstr>
      <vt:lpstr>2008 Raw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</dc:creator>
  <cp:lastModifiedBy>Merrill Feather</cp:lastModifiedBy>
  <dcterms:created xsi:type="dcterms:W3CDTF">2009-10-14T16:38:35Z</dcterms:created>
  <dcterms:modified xsi:type="dcterms:W3CDTF">2009-12-04T18:17:08Z</dcterms:modified>
</cp:coreProperties>
</file>