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autoCompressPictures="0" defaultThemeVersion="124226"/>
  <bookViews>
    <workbookView xWindow="-15" yWindow="-15" windowWidth="24120" windowHeight="10485" activeTab="1"/>
  </bookViews>
  <sheets>
    <sheet name="User Interface" sheetId="13" r:id="rId1"/>
    <sheet name="Manager Inputs" sheetId="2" r:id="rId2"/>
    <sheet name="Time Series" sheetId="3" r:id="rId3"/>
    <sheet name="Model" sheetId="12" r:id="rId4"/>
  </sheets>
  <definedNames>
    <definedName name="solver_adj" localSheetId="3" hidden="1">Model!$P$12:$U$39</definedName>
    <definedName name="solver_adj_ob" localSheetId="3" hidden="1">1</definedName>
    <definedName name="solver_cha" localSheetId="3" hidden="1">0</definedName>
    <definedName name="solver_chc1" localSheetId="3" hidden="1">0</definedName>
    <definedName name="solver_chc2" localSheetId="3" hidden="1">0</definedName>
    <definedName name="solver_chn" localSheetId="3" hidden="1">4</definedName>
    <definedName name="solver_chp1" localSheetId="3" hidden="1">0</definedName>
    <definedName name="solver_chp2" localSheetId="3" hidden="1">0</definedName>
    <definedName name="solver_cht" localSheetId="3" hidden="1">0</definedName>
    <definedName name="solver_cir1" localSheetId="3" hidden="1">1</definedName>
    <definedName name="solver_cir2" localSheetId="3" hidden="1">1</definedName>
    <definedName name="solver_con" localSheetId="3" hidden="1">" "</definedName>
    <definedName name="solver_con1" localSheetId="3" hidden="1">" "</definedName>
    <definedName name="solver_con2" localSheetId="3" hidden="1">" "</definedName>
    <definedName name="solver_cvg" localSheetId="3" hidden="1">0.0001</definedName>
    <definedName name="solver_dia" localSheetId="3" hidden="1">5</definedName>
    <definedName name="solver_drv" localSheetId="3" hidden="1">1</definedName>
    <definedName name="solver_eng" localSheetId="3" hidden="1">3</definedName>
    <definedName name="solver_est" localSheetId="3" hidden="1">1</definedName>
    <definedName name="solver_fns" localSheetId="3" hidden="1">0</definedName>
    <definedName name="solver_glb" localSheetId="3" hidden="1">-1E+30</definedName>
    <definedName name="solver_gub" localSheetId="3" hidden="1">1E+30</definedName>
    <definedName name="solver_iao" localSheetId="3" hidden="1">0</definedName>
    <definedName name="solver_inc" localSheetId="3" hidden="1">0</definedName>
    <definedName name="solver_int" localSheetId="3" hidden="1">1</definedName>
    <definedName name="solver_irs" localSheetId="3" hidden="1">0</definedName>
    <definedName name="solver_ism" localSheetId="3" hidden="1">0</definedName>
    <definedName name="solver_itr" localSheetId="3" hidden="1">100</definedName>
    <definedName name="solver_lhs_ob1" localSheetId="3" hidden="1">0</definedName>
    <definedName name="solver_lhs_ob2" localSheetId="3" hidden="1">0</definedName>
    <definedName name="solver_lhs1" localSheetId="3" hidden="1">Model!$P$40:$U$40</definedName>
    <definedName name="solver_lhs2" localSheetId="3" hidden="1">Model!$P$12:$U$39</definedName>
    <definedName name="solver_lhs3" localSheetId="3" hidden="1">Model!$P$44:$U$44</definedName>
    <definedName name="solver_lin" localSheetId="3" hidden="1">2</definedName>
    <definedName name="solver_loc" localSheetId="3" hidden="1">4</definedName>
    <definedName name="solver_log" localSheetId="3" hidden="1">1</definedName>
    <definedName name="solver_mda" localSheetId="3" hidden="1">4</definedName>
    <definedName name="solver_mip" localSheetId="3" hidden="1">2147483647</definedName>
    <definedName name="solver_mni" localSheetId="3" hidden="1">30</definedName>
    <definedName name="solver_mod" localSheetId="3" hidden="1">3</definedName>
    <definedName name="solver_mrt" localSheetId="3" hidden="1">0.075</definedName>
    <definedName name="solver_neg" localSheetId="3" hidden="1">1</definedName>
    <definedName name="solver_nod" localSheetId="3" hidden="1">2147483647</definedName>
    <definedName name="solver_ntr" localSheetId="3" hidden="1">0</definedName>
    <definedName name="solver_ntri" hidden="1">1000</definedName>
    <definedName name="solver_num" localSheetId="3" hidden="1">2</definedName>
    <definedName name="solver_nwt" localSheetId="3" hidden="1">1</definedName>
    <definedName name="solver_obc" localSheetId="3" hidden="1">0</definedName>
    <definedName name="solver_obp" localSheetId="3" hidden="1">0</definedName>
    <definedName name="solver_opt" localSheetId="3" hidden="1">Model!$L$8</definedName>
    <definedName name="solver_opt_ob" localSheetId="3" hidden="1">1</definedName>
    <definedName name="solver_pre" localSheetId="3" hidden="1">0.000001</definedName>
    <definedName name="solver_psi" localSheetId="3" hidden="1">0</definedName>
    <definedName name="solver_rbv" localSheetId="3" hidden="1">1</definedName>
    <definedName name="solver_rdp" localSheetId="3" hidden="1">0</definedName>
    <definedName name="solver_rel1" localSheetId="3" hidden="1">1</definedName>
    <definedName name="solver_rel2" localSheetId="3" hidden="1">4</definedName>
    <definedName name="solver_rel3" localSheetId="3" hidden="1">2</definedName>
    <definedName name="solver_rep" localSheetId="3" hidden="1">0</definedName>
    <definedName name="solver_rhs1" localSheetId="3" hidden="1">60</definedName>
    <definedName name="solver_rhs2" localSheetId="3" hidden="1">integer</definedName>
    <definedName name="solver_rhs3" localSheetId="3" hidden="1">28</definedName>
    <definedName name="solver_rlx" localSheetId="3" hidden="1">0</definedName>
    <definedName name="solver_rsmp" hidden="1">2</definedName>
    <definedName name="solver_rtr" localSheetId="3" hidden="1">0</definedName>
    <definedName name="solver_rxc1" localSheetId="3" hidden="1">1</definedName>
    <definedName name="solver_rxc2" localSheetId="3" hidden="1">1</definedName>
    <definedName name="solver_rxv" localSheetId="3" hidden="1">1</definedName>
    <definedName name="solver_scl" localSheetId="3" hidden="1">0</definedName>
    <definedName name="solver_seed" hidden="1">0</definedName>
    <definedName name="solver_sel" localSheetId="3" hidden="1">1</definedName>
    <definedName name="solver_sho" localSheetId="3" hidden="1">0</definedName>
    <definedName name="solver_slv" localSheetId="3" hidden="1">0</definedName>
    <definedName name="solver_slvu" localSheetId="3" hidden="1">0</definedName>
    <definedName name="solver_ssz" localSheetId="3" hidden="1">0</definedName>
    <definedName name="solver_tim" localSheetId="3" hidden="1">100</definedName>
    <definedName name="solver_tol" localSheetId="3" hidden="1">0.05</definedName>
    <definedName name="solver_typ" localSheetId="3" hidden="1">1</definedName>
    <definedName name="solver_ubigm" localSheetId="3" hidden="1">1000000</definedName>
    <definedName name="solver_umod" localSheetId="3" hidden="1">1</definedName>
    <definedName name="solver_urs" localSheetId="3" hidden="1">0</definedName>
    <definedName name="solver_val" localSheetId="3" hidden="1">0</definedName>
    <definedName name="solver_var" localSheetId="3" hidden="1">" "</definedName>
    <definedName name="solver_ver" localSheetId="3" hidden="1">10</definedName>
    <definedName name="solver_vir" localSheetId="3" hidden="1">1</definedName>
    <definedName name="solver_vol" localSheetId="3" hidden="1">0</definedName>
    <definedName name="solver_vst" localSheetId="3" hidden="1">0</definedName>
  </definedNames>
  <calcPr calcId="101716"/>
</workbook>
</file>

<file path=xl/calcChain.xml><?xml version="1.0" encoding="utf-8"?>
<calcChain xmlns="http://schemas.openxmlformats.org/spreadsheetml/2006/main">
  <c r="A13" i="12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12"/>
  <c r="E14" i="2"/>
  <c r="H12" i="12"/>
  <c r="AA5" i="3"/>
  <c r="E9" i="2"/>
  <c r="AG11" i="12"/>
  <c r="AO11"/>
  <c r="AH11"/>
  <c r="AP11"/>
  <c r="AI11"/>
  <c r="AQ11"/>
  <c r="AJ11"/>
  <c r="AR11"/>
  <c r="AK11"/>
  <c r="AS11"/>
  <c r="AF11"/>
  <c r="AN11"/>
  <c r="E25"/>
  <c r="E20"/>
  <c r="E29"/>
  <c r="E31"/>
  <c r="E32"/>
  <c r="E39"/>
  <c r="E37"/>
  <c r="E34"/>
  <c r="E30"/>
  <c r="E23"/>
  <c r="E21"/>
  <c r="E18"/>
  <c r="E38"/>
  <c r="E36"/>
  <c r="E27"/>
  <c r="E17"/>
  <c r="E16"/>
  <c r="E22"/>
  <c r="E33"/>
  <c r="E35"/>
  <c r="E26"/>
  <c r="E15"/>
  <c r="E24"/>
  <c r="E28"/>
  <c r="E19"/>
  <c r="E14"/>
  <c r="E13"/>
  <c r="E12"/>
  <c r="C39"/>
  <c r="F39"/>
  <c r="H39"/>
  <c r="C38"/>
  <c r="F38"/>
  <c r="H38"/>
  <c r="C36"/>
  <c r="F36"/>
  <c r="H36"/>
  <c r="C37"/>
  <c r="F37"/>
  <c r="H37"/>
  <c r="C35"/>
  <c r="F35"/>
  <c r="H35"/>
  <c r="C32"/>
  <c r="F32"/>
  <c r="H32"/>
  <c r="C33"/>
  <c r="F33"/>
  <c r="H33"/>
  <c r="C34"/>
  <c r="F34"/>
  <c r="H34"/>
  <c r="C31"/>
  <c r="F31"/>
  <c r="H31"/>
  <c r="C29"/>
  <c r="F29"/>
  <c r="H29"/>
  <c r="C30"/>
  <c r="F30"/>
  <c r="H30"/>
  <c r="C28"/>
  <c r="F28"/>
  <c r="H28"/>
  <c r="C25"/>
  <c r="F25"/>
  <c r="H25"/>
  <c r="C26"/>
  <c r="F26"/>
  <c r="H26"/>
  <c r="C27"/>
  <c r="F27"/>
  <c r="H27"/>
  <c r="C24"/>
  <c r="F24"/>
  <c r="H24"/>
  <c r="C20"/>
  <c r="F20"/>
  <c r="H20"/>
  <c r="C21"/>
  <c r="F21"/>
  <c r="H21"/>
  <c r="C22"/>
  <c r="F22"/>
  <c r="H22"/>
  <c r="C23"/>
  <c r="F23"/>
  <c r="H23"/>
  <c r="C19"/>
  <c r="F19"/>
  <c r="H19"/>
  <c r="C13"/>
  <c r="F13"/>
  <c r="H13"/>
  <c r="C14"/>
  <c r="F14"/>
  <c r="H14"/>
  <c r="C15"/>
  <c r="F15"/>
  <c r="H15"/>
  <c r="C16"/>
  <c r="F16"/>
  <c r="H16"/>
  <c r="C17"/>
  <c r="F17"/>
  <c r="H17"/>
  <c r="C18"/>
  <c r="F18"/>
  <c r="H18"/>
  <c r="C12"/>
  <c r="F12"/>
  <c r="AA6" i="3"/>
  <c r="E15" i="2"/>
  <c r="F7"/>
  <c r="F6"/>
  <c r="E20"/>
  <c r="E6"/>
  <c r="D20"/>
  <c r="E7"/>
  <c r="U11" i="12"/>
  <c r="T11"/>
  <c r="R11"/>
  <c r="S11"/>
  <c r="Z11"/>
  <c r="Q11"/>
  <c r="X11"/>
  <c r="AB11"/>
  <c r="P11"/>
  <c r="Y11"/>
  <c r="Y37"/>
  <c r="AA11"/>
  <c r="AC11"/>
  <c r="AC39"/>
  <c r="O7"/>
  <c r="O6"/>
  <c r="M6"/>
  <c r="N9"/>
  <c r="AA34"/>
  <c r="AA38"/>
  <c r="AB13"/>
  <c r="AA13"/>
  <c r="Z13"/>
  <c r="Y13"/>
  <c r="X13"/>
  <c r="M7"/>
  <c r="AC13"/>
  <c r="AC35"/>
  <c r="AC31"/>
  <c r="Y39"/>
  <c r="AC37"/>
  <c r="AA36"/>
  <c r="Y35"/>
  <c r="AC33"/>
  <c r="Y33"/>
  <c r="AA32"/>
  <c r="Y31"/>
  <c r="AA30"/>
  <c r="AC29"/>
  <c r="Y29"/>
  <c r="AA28"/>
  <c r="AC27"/>
  <c r="Y27"/>
  <c r="AA26"/>
  <c r="AC25"/>
  <c r="Y25"/>
  <c r="AA24"/>
  <c r="AC23"/>
  <c r="Y23"/>
  <c r="AA22"/>
  <c r="AC21"/>
  <c r="Y21"/>
  <c r="AA39"/>
  <c r="AC38"/>
  <c r="Y38"/>
  <c r="AA37"/>
  <c r="AC36"/>
  <c r="Y36"/>
  <c r="AA35"/>
  <c r="AC34"/>
  <c r="Y34"/>
  <c r="AA33"/>
  <c r="AC32"/>
  <c r="Y32"/>
  <c r="AA31"/>
  <c r="AC30"/>
  <c r="Y30"/>
  <c r="AA29"/>
  <c r="AC28"/>
  <c r="Y28"/>
  <c r="AA27"/>
  <c r="AC26"/>
  <c r="Y26"/>
  <c r="AA25"/>
  <c r="AC24"/>
  <c r="Y24"/>
  <c r="AA23"/>
  <c r="AC22"/>
  <c r="Y22"/>
  <c r="AA21"/>
  <c r="AC20"/>
  <c r="X12"/>
  <c r="AB12"/>
  <c r="Z12"/>
  <c r="AC12"/>
  <c r="AA12"/>
  <c r="Y12"/>
  <c r="AB39"/>
  <c r="Z39"/>
  <c r="X39"/>
  <c r="AB38"/>
  <c r="Z38"/>
  <c r="X38"/>
  <c r="AB37"/>
  <c r="Z37"/>
  <c r="X37"/>
  <c r="AB36"/>
  <c r="Z36"/>
  <c r="X36"/>
  <c r="AB35"/>
  <c r="Z35"/>
  <c r="X35"/>
  <c r="AB34"/>
  <c r="Z34"/>
  <c r="X34"/>
  <c r="AB33"/>
  <c r="Z33"/>
  <c r="X33"/>
  <c r="AB32"/>
  <c r="Z32"/>
  <c r="X32"/>
  <c r="AB31"/>
  <c r="Z31"/>
  <c r="X31"/>
  <c r="AB30"/>
  <c r="Z30"/>
  <c r="X30"/>
  <c r="AB29"/>
  <c r="Z29"/>
  <c r="X29"/>
  <c r="AB28"/>
  <c r="Z28"/>
  <c r="X28"/>
  <c r="AB27"/>
  <c r="Z27"/>
  <c r="X27"/>
  <c r="AB26"/>
  <c r="Z26"/>
  <c r="X26"/>
  <c r="AB25"/>
  <c r="Z25"/>
  <c r="X25"/>
  <c r="AB24"/>
  <c r="Z24"/>
  <c r="X24"/>
  <c r="AB23"/>
  <c r="Z23"/>
  <c r="X23"/>
  <c r="AB22"/>
  <c r="Z22"/>
  <c r="X22"/>
  <c r="AB21"/>
  <c r="Z21"/>
  <c r="X21"/>
  <c r="AB20"/>
  <c r="Z20"/>
  <c r="X20"/>
  <c r="AB19"/>
  <c r="Z19"/>
  <c r="X19"/>
  <c r="AB18"/>
  <c r="Z18"/>
  <c r="X18"/>
  <c r="AB17"/>
  <c r="Z17"/>
  <c r="X17"/>
  <c r="AB16"/>
  <c r="Z16"/>
  <c r="X16"/>
  <c r="AB15"/>
  <c r="Z15"/>
  <c r="X15"/>
  <c r="AB14"/>
  <c r="Z14"/>
  <c r="X14"/>
  <c r="AA20"/>
  <c r="Y20"/>
  <c r="AC19"/>
  <c r="AA19"/>
  <c r="Y19"/>
  <c r="AC18"/>
  <c r="AA18"/>
  <c r="Y18"/>
  <c r="AC17"/>
  <c r="AA17"/>
  <c r="Y17"/>
  <c r="AC16"/>
  <c r="AA16"/>
  <c r="Y16"/>
  <c r="AC15"/>
  <c r="AA15"/>
  <c r="Y15"/>
  <c r="AC14"/>
  <c r="AA14"/>
  <c r="Y14"/>
  <c r="Q40"/>
  <c r="U40"/>
  <c r="T40"/>
  <c r="P40"/>
  <c r="S40"/>
  <c r="R40"/>
  <c r="AO12"/>
  <c r="AP12"/>
  <c r="AQ12"/>
  <c r="AR12"/>
  <c r="AS12"/>
  <c r="AN12"/>
  <c r="AG12"/>
  <c r="AH12"/>
  <c r="AI12"/>
  <c r="AJ12"/>
  <c r="AK12"/>
  <c r="AO18"/>
  <c r="AP18"/>
  <c r="AQ18"/>
  <c r="AR18"/>
  <c r="AS18"/>
  <c r="AN18"/>
  <c r="AG18"/>
  <c r="AH18"/>
  <c r="AO17"/>
  <c r="AP17"/>
  <c r="AQ17"/>
  <c r="AR17"/>
  <c r="AS17"/>
  <c r="AN17"/>
  <c r="AG17"/>
  <c r="AH17"/>
  <c r="AI17"/>
  <c r="AJ17"/>
  <c r="AK17"/>
  <c r="AO16"/>
  <c r="AP16"/>
  <c r="AQ16"/>
  <c r="AR16"/>
  <c r="AS16"/>
  <c r="AN16"/>
  <c r="AG16"/>
  <c r="AH16"/>
  <c r="AI16"/>
  <c r="AJ16"/>
  <c r="AK16"/>
  <c r="AO15"/>
  <c r="AP15"/>
  <c r="AQ15"/>
  <c r="AR15"/>
  <c r="AS15"/>
  <c r="AN15"/>
  <c r="AG15"/>
  <c r="AH15"/>
  <c r="AI15"/>
  <c r="AJ15"/>
  <c r="AK15"/>
  <c r="AO14"/>
  <c r="AP14"/>
  <c r="AQ14"/>
  <c r="AR14"/>
  <c r="AS14"/>
  <c r="AN14"/>
  <c r="AG14"/>
  <c r="AH14"/>
  <c r="AI14"/>
  <c r="AJ14"/>
  <c r="AK14"/>
  <c r="AO13"/>
  <c r="AP13"/>
  <c r="AQ13"/>
  <c r="AR13"/>
  <c r="AS13"/>
  <c r="AN13"/>
  <c r="AG13"/>
  <c r="AH13"/>
  <c r="AI13"/>
  <c r="AJ13"/>
  <c r="AK13"/>
  <c r="AO19"/>
  <c r="AP19"/>
  <c r="AQ19"/>
  <c r="AR19"/>
  <c r="AS19"/>
  <c r="AN19"/>
  <c r="AO23"/>
  <c r="AP23"/>
  <c r="AQ23"/>
  <c r="AR23"/>
  <c r="AS23"/>
  <c r="AN23"/>
  <c r="AO22"/>
  <c r="AP22"/>
  <c r="AQ22"/>
  <c r="AR22"/>
  <c r="AS22"/>
  <c r="AN22"/>
  <c r="AO21"/>
  <c r="AP21"/>
  <c r="AQ21"/>
  <c r="AR21"/>
  <c r="AS21"/>
  <c r="AN21"/>
  <c r="AO20"/>
  <c r="AP20"/>
  <c r="AQ20"/>
  <c r="AR20"/>
  <c r="AS20"/>
  <c r="AN20"/>
  <c r="AO24"/>
  <c r="AP24"/>
  <c r="AQ24"/>
  <c r="AR24"/>
  <c r="AS24"/>
  <c r="AN24"/>
  <c r="AO27"/>
  <c r="AP27"/>
  <c r="AQ27"/>
  <c r="AR27"/>
  <c r="AS27"/>
  <c r="AN27"/>
  <c r="AO26"/>
  <c r="AP26"/>
  <c r="AQ26"/>
  <c r="AR26"/>
  <c r="AS26"/>
  <c r="AN26"/>
  <c r="AO25"/>
  <c r="AP25"/>
  <c r="AQ25"/>
  <c r="AR25"/>
  <c r="AS25"/>
  <c r="AN25"/>
  <c r="AO28"/>
  <c r="AP28"/>
  <c r="AQ28"/>
  <c r="AR28"/>
  <c r="AS28"/>
  <c r="AN28"/>
  <c r="AO30"/>
  <c r="AP30"/>
  <c r="AQ30"/>
  <c r="AR30"/>
  <c r="AS30"/>
  <c r="AN30"/>
  <c r="AO29"/>
  <c r="AP29"/>
  <c r="AQ29"/>
  <c r="AR29"/>
  <c r="AS29"/>
  <c r="AN29"/>
  <c r="AO31"/>
  <c r="AP31"/>
  <c r="AQ31"/>
  <c r="AR31"/>
  <c r="AS31"/>
  <c r="AN31"/>
  <c r="AO34"/>
  <c r="AP34"/>
  <c r="AQ34"/>
  <c r="AR34"/>
  <c r="AS34"/>
  <c r="AN34"/>
  <c r="AO33"/>
  <c r="AP33"/>
  <c r="AQ33"/>
  <c r="AR33"/>
  <c r="AS33"/>
  <c r="AN33"/>
  <c r="AO32"/>
  <c r="AP32"/>
  <c r="AQ32"/>
  <c r="AR32"/>
  <c r="AS32"/>
  <c r="AN32"/>
  <c r="AO35"/>
  <c r="AP35"/>
  <c r="AQ35"/>
  <c r="AR35"/>
  <c r="AS35"/>
  <c r="AN35"/>
  <c r="AO37"/>
  <c r="AP37"/>
  <c r="AQ37"/>
  <c r="AR37"/>
  <c r="AS37"/>
  <c r="AN37"/>
  <c r="AO36"/>
  <c r="AP36"/>
  <c r="AQ36"/>
  <c r="AR36"/>
  <c r="AS36"/>
  <c r="AN36"/>
  <c r="AO38"/>
  <c r="AP38"/>
  <c r="AQ38"/>
  <c r="AR38"/>
  <c r="AS38"/>
  <c r="AN38"/>
  <c r="AO39"/>
  <c r="AP39"/>
  <c r="AQ39"/>
  <c r="AR39"/>
  <c r="AS39"/>
  <c r="AN39"/>
  <c r="AF12"/>
  <c r="AF39"/>
  <c r="AF38"/>
  <c r="AF37"/>
  <c r="AF36"/>
  <c r="AF35"/>
  <c r="AF34"/>
  <c r="AF33"/>
  <c r="AF32"/>
  <c r="AF31"/>
  <c r="AF30"/>
  <c r="AF29"/>
  <c r="AF28"/>
  <c r="AF27"/>
  <c r="AF26"/>
  <c r="AF25"/>
  <c r="AF24"/>
  <c r="AF23"/>
  <c r="AF22"/>
  <c r="AF21"/>
  <c r="AF20"/>
  <c r="AF19"/>
  <c r="AF18"/>
  <c r="AF17"/>
  <c r="AF16"/>
  <c r="AF15"/>
  <c r="AF14"/>
  <c r="AF13"/>
  <c r="AK39"/>
  <c r="AJ39"/>
  <c r="AI39"/>
  <c r="AH39"/>
  <c r="AG39"/>
  <c r="AK38"/>
  <c r="AJ38"/>
  <c r="AI38"/>
  <c r="AH38"/>
  <c r="AG38"/>
  <c r="AK37"/>
  <c r="AJ37"/>
  <c r="AI37"/>
  <c r="AH37"/>
  <c r="AG37"/>
  <c r="AK36"/>
  <c r="AJ36"/>
  <c r="AI36"/>
  <c r="AH36"/>
  <c r="AG36"/>
  <c r="AK35"/>
  <c r="AJ35"/>
  <c r="AI35"/>
  <c r="AH35"/>
  <c r="AG35"/>
  <c r="AK34"/>
  <c r="AJ34"/>
  <c r="AI34"/>
  <c r="AH34"/>
  <c r="AG34"/>
  <c r="AK33"/>
  <c r="AJ33"/>
  <c r="AI33"/>
  <c r="AH33"/>
  <c r="AG33"/>
  <c r="AK32"/>
  <c r="AJ32"/>
  <c r="AI32"/>
  <c r="AH32"/>
  <c r="AG32"/>
  <c r="AK31"/>
  <c r="AJ31"/>
  <c r="AI31"/>
  <c r="AH31"/>
  <c r="AG31"/>
  <c r="AK30"/>
  <c r="AJ30"/>
  <c r="AI30"/>
  <c r="AH30"/>
  <c r="AG30"/>
  <c r="AK29"/>
  <c r="AJ29"/>
  <c r="AI29"/>
  <c r="AH29"/>
  <c r="AG29"/>
  <c r="AK28"/>
  <c r="AJ28"/>
  <c r="AI28"/>
  <c r="AH28"/>
  <c r="AG28"/>
  <c r="AK27"/>
  <c r="AJ27"/>
  <c r="AI27"/>
  <c r="AH27"/>
  <c r="AG27"/>
  <c r="AK26"/>
  <c r="AJ26"/>
  <c r="AI26"/>
  <c r="AH26"/>
  <c r="AG26"/>
  <c r="AK25"/>
  <c r="AJ25"/>
  <c r="AI25"/>
  <c r="AH25"/>
  <c r="AG25"/>
  <c r="AK24"/>
  <c r="AJ24"/>
  <c r="AI24"/>
  <c r="AH24"/>
  <c r="AG24"/>
  <c r="AK23"/>
  <c r="AJ23"/>
  <c r="AI23"/>
  <c r="AH23"/>
  <c r="AG23"/>
  <c r="AK22"/>
  <c r="AJ22"/>
  <c r="AI22"/>
  <c r="AH22"/>
  <c r="AG22"/>
  <c r="AK21"/>
  <c r="AJ21"/>
  <c r="AI21"/>
  <c r="AH21"/>
  <c r="AG21"/>
  <c r="AK20"/>
  <c r="AJ20"/>
  <c r="AI20"/>
  <c r="AH20"/>
  <c r="AG20"/>
  <c r="AK19"/>
  <c r="AJ19"/>
  <c r="AI19"/>
  <c r="AH19"/>
  <c r="AG19"/>
  <c r="AK18"/>
  <c r="AJ18"/>
  <c r="AI18"/>
  <c r="L7"/>
  <c r="L9"/>
  <c r="L6"/>
  <c r="L8"/>
  <c r="E8" i="13"/>
</calcChain>
</file>

<file path=xl/comments1.xml><?xml version="1.0" encoding="utf-8"?>
<comments xmlns="http://schemas.openxmlformats.org/spreadsheetml/2006/main">
  <authors>
    <author>Jonathan Olsen</author>
  </authors>
  <commentList>
    <comment ref="E6" authorId="0">
      <text>
        <r>
          <rPr>
            <b/>
            <sz val="10"/>
            <color indexed="81"/>
            <rFont val="Arial"/>
            <family val="2"/>
          </rPr>
          <t>=IF('User Interface'!$E$6="Yes",'Admin Inputs'!E19,'Admin Inputs'!D19)</t>
        </r>
      </text>
    </comment>
    <comment ref="E9" authorId="0">
      <text>
        <r>
          <rPr>
            <b/>
            <sz val="10"/>
            <color indexed="81"/>
            <rFont val="Arial"/>
            <family val="2"/>
          </rPr>
          <t>='User Interface'!E5</t>
        </r>
      </text>
    </comment>
    <comment ref="E14" authorId="0">
      <text>
        <r>
          <rPr>
            <b/>
            <sz val="10"/>
            <color indexed="81"/>
            <rFont val="Arial"/>
            <family val="2"/>
          </rPr>
          <t>=B14*D14</t>
        </r>
      </text>
    </comment>
  </commentList>
</comments>
</file>

<file path=xl/comments2.xml><?xml version="1.0" encoding="utf-8"?>
<comments xmlns="http://schemas.openxmlformats.org/spreadsheetml/2006/main">
  <authors>
    <author>Jonathan Olsen</author>
  </authors>
  <commentList>
    <comment ref="AA5" authorId="0">
      <text>
        <r>
          <rPr>
            <b/>
            <sz val="10"/>
            <color indexed="81"/>
            <rFont val="Arial"/>
            <family val="2"/>
          </rPr>
          <t>=SUM(C5:Z5)</t>
        </r>
      </text>
    </comment>
  </commentList>
</comments>
</file>

<file path=xl/comments3.xml><?xml version="1.0" encoding="utf-8"?>
<comments xmlns="http://schemas.openxmlformats.org/spreadsheetml/2006/main">
  <authors>
    <author>Jonathan Olsen</author>
  </authors>
  <commentList>
    <comment ref="L6" authorId="0">
      <text>
        <r>
          <rPr>
            <b/>
            <sz val="10"/>
            <color indexed="81"/>
            <rFont val="Arial"/>
            <family val="2"/>
          </rPr>
          <t>=SUMPRODUCT(O12:T39,AM12:AR39)</t>
        </r>
      </text>
    </comment>
    <comment ref="L7" authorId="0">
      <text>
        <r>
          <rPr>
            <b/>
            <sz val="10"/>
            <color indexed="81"/>
            <rFont val="Arial"/>
            <family val="2"/>
          </rPr>
          <t>=SUMPRODUCT(O12:T39,AE12:AJ39)</t>
        </r>
      </text>
    </comment>
    <comment ref="L8" authorId="0">
      <text>
        <r>
          <rPr>
            <b/>
            <sz val="10"/>
            <color indexed="81"/>
            <rFont val="Arial"/>
            <family val="2"/>
          </rPr>
          <t>=K3*L3*N3+K4*L4*N4</t>
        </r>
      </text>
    </comment>
    <comment ref="L9" authorId="0">
      <text>
        <r>
          <rPr>
            <b/>
            <sz val="10"/>
            <color indexed="81"/>
            <rFont val="Arial"/>
            <family val="2"/>
          </rPr>
          <t>=SUMPRODUCT(O12:T39,W12:AB39)</t>
        </r>
      </text>
    </comment>
    <comment ref="H12" authorId="0">
      <text>
        <r>
          <rPr>
            <b/>
            <sz val="10"/>
            <color indexed="81"/>
            <rFont val="Arial"/>
            <family val="2"/>
          </rPr>
          <t>=E12/F12/2</t>
        </r>
      </text>
    </comment>
    <comment ref="X12" authorId="0">
      <text>
        <r>
          <rPr>
            <b/>
            <sz val="10"/>
            <color indexed="81"/>
            <rFont val="Arial"/>
            <family val="2"/>
          </rPr>
          <t>=$I12+HLOOKUP(W$11,'Time Series'!$C$4:$Z$7,4)</t>
        </r>
      </text>
    </comment>
    <comment ref="AF12" authorId="0">
      <text>
        <r>
          <rPr>
            <b/>
            <sz val="10"/>
            <color indexed="81"/>
            <rFont val="Arial"/>
            <family val="2"/>
          </rPr>
          <t>=$J12*HLOOKUP(AE$11,'Time Series'!$C$4:$Z$7,3)*$G12</t>
        </r>
      </text>
    </comment>
    <comment ref="AN12" authorId="0">
      <text>
        <r>
          <rPr>
            <b/>
            <sz val="10"/>
            <color indexed="81"/>
            <rFont val="Arial"/>
            <family val="2"/>
          </rPr>
          <t>=$K12*HLOOKUP(AM$11,'Time Series'!$C$4:$Z$7,2)*$G12</t>
        </r>
      </text>
    </comment>
    <comment ref="U40" authorId="0">
      <text>
        <r>
          <rPr>
            <b/>
            <sz val="10"/>
            <color indexed="81"/>
            <rFont val="Arial"/>
            <family val="2"/>
          </rPr>
          <t>=SUMPRODUCT(T12:T39,AB12:AB39)</t>
        </r>
      </text>
    </comment>
  </commentList>
</comments>
</file>

<file path=xl/sharedStrings.xml><?xml version="1.0" encoding="utf-8"?>
<sst xmlns="http://schemas.openxmlformats.org/spreadsheetml/2006/main" count="119" uniqueCount="52">
  <si>
    <t>&lt;=</t>
  </si>
  <si>
    <t>Tourist Traffic</t>
  </si>
  <si>
    <t>Work Traffic</t>
  </si>
  <si>
    <t>Number of Work Hours</t>
  </si>
  <si>
    <t>Hours Values</t>
  </si>
  <si>
    <t>Weight</t>
  </si>
  <si>
    <t>Generosity</t>
  </si>
  <si>
    <t>Total</t>
  </si>
  <si>
    <t>Wait time</t>
  </si>
  <si>
    <t>Start Time</t>
  </si>
  <si>
    <t>Basic Time</t>
  </si>
  <si>
    <t>Line #</t>
  </si>
  <si>
    <t>Tourist</t>
  </si>
  <si>
    <t>Work</t>
  </si>
  <si>
    <t>Hour</t>
  </si>
  <si>
    <t>Tourist Payoff</t>
  </si>
  <si>
    <t>Work Payoff</t>
  </si>
  <si>
    <t>Time+waiting</t>
  </si>
  <si>
    <t xml:space="preserve">From </t>
  </si>
  <si>
    <t>To</t>
  </si>
  <si>
    <t>Grand Central</t>
  </si>
  <si>
    <t>Fulton St.</t>
  </si>
  <si>
    <t>Canal St.</t>
  </si>
  <si>
    <t>Columbus Circle</t>
  </si>
  <si>
    <t>59th St.</t>
  </si>
  <si>
    <t>West 4th</t>
  </si>
  <si>
    <t>Holiday?</t>
  </si>
  <si>
    <t>`</t>
  </si>
  <si>
    <t>Holiday</t>
  </si>
  <si>
    <t>Yes</t>
  </si>
  <si>
    <t>No</t>
  </si>
  <si>
    <t xml:space="preserve"> </t>
  </si>
  <si>
    <t>Generosity calculations</t>
  </si>
  <si>
    <t>Percentage of givers</t>
  </si>
  <si>
    <t>Average Amount</t>
  </si>
  <si>
    <t>Station Traffic</t>
  </si>
  <si>
    <t>Station traffic</t>
  </si>
  <si>
    <t>Average</t>
  </si>
  <si>
    <t>Route Riders</t>
  </si>
  <si>
    <t># lines</t>
  </si>
  <si>
    <t>Average Payoff</t>
  </si>
  <si>
    <t>Basic Weight</t>
  </si>
  <si>
    <t>Time to Start Working?</t>
  </si>
  <si>
    <t>Time Options</t>
  </si>
  <si>
    <t>Time (min)</t>
  </si>
  <si>
    <t>Max Payoff for 6-hour block:</t>
  </si>
  <si>
    <t>Times Square</t>
  </si>
  <si>
    <t>Combo</t>
  </si>
  <si>
    <t xml:space="preserve">Times Square </t>
  </si>
  <si>
    <t>Herald Square</t>
  </si>
  <si>
    <t>Union Square</t>
  </si>
  <si>
    <t>B'way - Lafayette</t>
  </si>
</sst>
</file>

<file path=xl/styles.xml><?xml version="1.0" encoding="utf-8"?>
<styleSheet xmlns="http://schemas.openxmlformats.org/spreadsheetml/2006/main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%"/>
    <numFmt numFmtId="167" formatCode="&quot;$&quot;#,##0.000_);[Red]\(&quot;$&quot;#,##0.000\)"/>
    <numFmt numFmtId="168" formatCode="&quot;$&quot;#,##0.000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0"/>
      <color indexed="81"/>
      <name val="Arial"/>
      <family val="2"/>
    </font>
    <font>
      <b/>
      <sz val="11"/>
      <color indexed="9"/>
      <name val="Calibri"/>
      <family val="2"/>
    </font>
    <font>
      <b/>
      <i/>
      <sz val="11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30"/>
      </bottom>
      <diagonal/>
    </border>
    <border>
      <left style="medium">
        <color indexed="30"/>
      </left>
      <right/>
      <top style="medium">
        <color indexed="30"/>
      </top>
      <bottom/>
      <diagonal/>
    </border>
    <border>
      <left/>
      <right/>
      <top style="medium">
        <color indexed="30"/>
      </top>
      <bottom/>
      <diagonal/>
    </border>
    <border>
      <left/>
      <right style="medium">
        <color indexed="30"/>
      </right>
      <top style="medium">
        <color indexed="30"/>
      </top>
      <bottom/>
      <diagonal/>
    </border>
    <border>
      <left style="medium">
        <color indexed="30"/>
      </left>
      <right/>
      <top/>
      <bottom/>
      <diagonal/>
    </border>
    <border>
      <left/>
      <right style="medium">
        <color indexed="30"/>
      </right>
      <top/>
      <bottom/>
      <diagonal/>
    </border>
    <border>
      <left style="medium">
        <color indexed="30"/>
      </left>
      <right/>
      <top/>
      <bottom style="medium">
        <color indexed="30"/>
      </bottom>
      <diagonal/>
    </border>
    <border>
      <left/>
      <right style="medium">
        <color indexed="30"/>
      </right>
      <top/>
      <bottom style="medium">
        <color indexed="3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9" fontId="0" fillId="0" borderId="0" xfId="4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0" xfId="0" quotePrefix="1"/>
    <xf numFmtId="20" fontId="0" fillId="0" borderId="0" xfId="0" applyNumberFormat="1"/>
    <xf numFmtId="18" fontId="0" fillId="0" borderId="0" xfId="0" applyNumberFormat="1"/>
    <xf numFmtId="0" fontId="2" fillId="0" borderId="0" xfId="3" applyAlignment="1">
      <alignment horizontal="center"/>
    </xf>
    <xf numFmtId="3" fontId="2" fillId="0" borderId="0" xfId="3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1" applyNumberFormat="1" applyFont="1" applyAlignment="1"/>
    <xf numFmtId="43" fontId="0" fillId="0" borderId="0" xfId="1" applyFont="1" applyAlignment="1">
      <alignment horizontal="right"/>
    </xf>
    <xf numFmtId="165" fontId="0" fillId="0" borderId="9" xfId="2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8" fontId="4" fillId="0" borderId="0" xfId="0" applyNumberFormat="1" applyFont="1"/>
    <xf numFmtId="167" fontId="0" fillId="0" borderId="10" xfId="0" applyNumberFormat="1" applyBorder="1"/>
    <xf numFmtId="8" fontId="0" fillId="2" borderId="10" xfId="0" applyNumberFormat="1" applyFill="1" applyBorder="1"/>
    <xf numFmtId="6" fontId="0" fillId="2" borderId="10" xfId="0" applyNumberFormat="1" applyFill="1" applyBorder="1"/>
    <xf numFmtId="0" fontId="4" fillId="0" borderId="0" xfId="0" applyFont="1" applyAlignment="1">
      <alignment horizontal="right"/>
    </xf>
    <xf numFmtId="18" fontId="4" fillId="2" borderId="11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3" borderId="10" xfId="0" applyFont="1" applyFill="1" applyBorder="1"/>
    <xf numFmtId="0" fontId="6" fillId="4" borderId="10" xfId="0" applyFont="1" applyFill="1" applyBorder="1"/>
    <xf numFmtId="0" fontId="4" fillId="5" borderId="10" xfId="0" applyFont="1" applyFill="1" applyBorder="1"/>
    <xf numFmtId="0" fontId="4" fillId="0" borderId="10" xfId="0" applyFont="1" applyBorder="1" applyAlignment="1">
      <alignment horizontal="right"/>
    </xf>
    <xf numFmtId="9" fontId="0" fillId="2" borderId="10" xfId="4" applyFont="1" applyFill="1" applyBorder="1"/>
    <xf numFmtId="9" fontId="0" fillId="0" borderId="10" xfId="4" applyFont="1" applyFill="1" applyBorder="1"/>
    <xf numFmtId="167" fontId="0" fillId="0" borderId="0" xfId="0" applyNumberFormat="1"/>
    <xf numFmtId="0" fontId="7" fillId="0" borderId="0" xfId="0" applyFont="1"/>
    <xf numFmtId="44" fontId="4" fillId="7" borderId="12" xfId="2" applyFont="1" applyFill="1" applyBorder="1"/>
    <xf numFmtId="166" fontId="0" fillId="2" borderId="10" xfId="0" applyNumberForma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9" fontId="0" fillId="0" borderId="0" xfId="4" applyFont="1" applyAlignment="1">
      <alignment horizontal="center"/>
    </xf>
    <xf numFmtId="168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_Model" xfId="3"/>
    <cellStyle name="Percent" xfId="4" builtinId="5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'Time Series'!$A$5</c:f>
              <c:strCache>
                <c:ptCount val="1"/>
                <c:pt idx="0">
                  <c:v>Work Traffic</c:v>
                </c:pt>
              </c:strCache>
            </c:strRef>
          </c:tx>
          <c:xVal>
            <c:numRef>
              <c:f>'Time Series'!$C$4:$Z$4</c:f>
              <c:numCache>
                <c:formatCode>h:mm\ AM/PM</c:formatCode>
                <c:ptCount val="24"/>
                <c:pt idx="0">
                  <c:v>0</c:v>
                </c:pt>
                <c:pt idx="1">
                  <c:v>4.1666666666666664E-2</c:v>
                </c:pt>
                <c:pt idx="2">
                  <c:v>8.3333333333333329E-2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0.20833333333333401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0.33333333333333398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0.58333333333333404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0.70833333333333404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0.83333333333333404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0.95833333333333404</c:v>
                </c:pt>
              </c:numCache>
            </c:numRef>
          </c:xVal>
          <c:yVal>
            <c:numRef>
              <c:f>'Time Series'!$C$5:$Z$5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10</c:v>
                </c:pt>
                <c:pt idx="9">
                  <c:v>10</c:v>
                </c:pt>
                <c:pt idx="10">
                  <c:v>7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9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'Time Series'!$A$6</c:f>
              <c:strCache>
                <c:ptCount val="1"/>
                <c:pt idx="0">
                  <c:v>Tourist Traffic</c:v>
                </c:pt>
              </c:strCache>
            </c:strRef>
          </c:tx>
          <c:xVal>
            <c:numRef>
              <c:f>'Time Series'!$C$4:$Z$4</c:f>
              <c:numCache>
                <c:formatCode>h:mm\ AM/PM</c:formatCode>
                <c:ptCount val="24"/>
                <c:pt idx="0">
                  <c:v>0</c:v>
                </c:pt>
                <c:pt idx="1">
                  <c:v>4.1666666666666664E-2</c:v>
                </c:pt>
                <c:pt idx="2">
                  <c:v>8.3333333333333329E-2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0.20833333333333401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0.33333333333333398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0.58333333333333404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0.70833333333333404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0.83333333333333404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0.95833333333333404</c:v>
                </c:pt>
              </c:numCache>
            </c:numRef>
          </c:xVal>
          <c:yVal>
            <c:numRef>
              <c:f>'Time Series'!$C$6:$Z$6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6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7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</c:numCache>
            </c:numRef>
          </c:yVal>
          <c:smooth val="1"/>
        </c:ser>
        <c:axId val="39171584"/>
        <c:axId val="39173504"/>
      </c:scatterChart>
      <c:scatterChart>
        <c:scatterStyle val="smoothMarker"/>
        <c:ser>
          <c:idx val="2"/>
          <c:order val="2"/>
          <c:tx>
            <c:v>Waiting Time</c:v>
          </c:tx>
          <c:xVal>
            <c:numRef>
              <c:f>'Time Series'!$C$4:$Z$4</c:f>
              <c:numCache>
                <c:formatCode>h:mm\ AM/PM</c:formatCode>
                <c:ptCount val="24"/>
                <c:pt idx="0">
                  <c:v>0</c:v>
                </c:pt>
                <c:pt idx="1">
                  <c:v>4.1666666666666664E-2</c:v>
                </c:pt>
                <c:pt idx="2">
                  <c:v>8.3333333333333329E-2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0.20833333333333401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0.33333333333333398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0.58333333333333404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0.70833333333333404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0.83333333333333404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0.95833333333333404</c:v>
                </c:pt>
              </c:numCache>
            </c:numRef>
          </c:xVal>
          <c:yVal>
            <c:numRef>
              <c:f>'Time Series'!$C$7:$Z$7</c:f>
              <c:numCache>
                <c:formatCode>General</c:formatCode>
                <c:ptCount val="24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8</c:v>
                </c:pt>
                <c:pt idx="6">
                  <c:v>6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10</c:v>
                </c:pt>
              </c:numCache>
            </c:numRef>
          </c:yVal>
          <c:smooth val="1"/>
        </c:ser>
        <c:axId val="50115712"/>
        <c:axId val="50117248"/>
      </c:scatterChart>
      <c:valAx>
        <c:axId val="39171584"/>
        <c:scaling>
          <c:orientation val="minMax"/>
          <c:max val="1"/>
        </c:scaling>
        <c:axPos val="b"/>
        <c:numFmt formatCode="h:mm\ AM/PM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173504"/>
        <c:crosses val="autoZero"/>
        <c:crossBetween val="midCat"/>
        <c:majorUnit val="8.3333000000000018E-2"/>
      </c:valAx>
      <c:valAx>
        <c:axId val="39173504"/>
        <c:scaling>
          <c:orientation val="minMax"/>
        </c:scaling>
        <c:axPos val="l"/>
        <c:majorGridlines/>
        <c:numFmt formatCode="General" sourceLinked="1"/>
        <c:tickLblPos val="nextTo"/>
        <c:crossAx val="39171584"/>
        <c:crosses val="autoZero"/>
        <c:crossBetween val="midCat"/>
      </c:valAx>
      <c:valAx>
        <c:axId val="50115712"/>
        <c:scaling>
          <c:orientation val="minMax"/>
        </c:scaling>
        <c:delete val="1"/>
        <c:axPos val="b"/>
        <c:numFmt formatCode="h:mm\ AM/PM" sourceLinked="1"/>
        <c:tickLblPos val="none"/>
        <c:crossAx val="50117248"/>
        <c:crosses val="autoZero"/>
        <c:crossBetween val="midCat"/>
      </c:valAx>
      <c:valAx>
        <c:axId val="50117248"/>
        <c:scaling>
          <c:orientation val="minMax"/>
        </c:scaling>
        <c:axPos val="r"/>
        <c:numFmt formatCode="General" sourceLinked="0"/>
        <c:tickLblPos val="nextTo"/>
        <c:crossAx val="50115712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74297636860056604"/>
          <c:y val="3.6266045442740098E-2"/>
          <c:w val="0.12424562802648122"/>
          <c:h val="0.24177363628493401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Hourly Number of Riders per Route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Model!$E$11</c:f>
              <c:strCache>
                <c:ptCount val="1"/>
                <c:pt idx="0">
                  <c:v>Station traffic</c:v>
                </c:pt>
              </c:strCache>
            </c:strRef>
          </c:tx>
          <c:cat>
            <c:numRef>
              <c:f>Model!$I$12:$I$39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</c:numCache>
            </c:numRef>
          </c:cat>
          <c:val>
            <c:numRef>
              <c:f>Model!$E$12:$E$39</c:f>
            </c:numRef>
          </c:val>
        </c:ser>
        <c:ser>
          <c:idx val="2"/>
          <c:order val="1"/>
          <c:tx>
            <c:strRef>
              <c:f>Model!$F$11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Model!$I$12:$I$39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</c:numCache>
            </c:numRef>
          </c:cat>
          <c:val>
            <c:numRef>
              <c:f>Model!$F$12:$F$39</c:f>
            </c:numRef>
          </c:val>
        </c:ser>
        <c:ser>
          <c:idx val="0"/>
          <c:order val="2"/>
          <c:tx>
            <c:strRef>
              <c:f>Model!$H$11</c:f>
              <c:strCache>
                <c:ptCount val="1"/>
                <c:pt idx="0">
                  <c:v>Route Riders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Model!$A$12:$A$39</c:f>
              <c:strCache>
                <c:ptCount val="28"/>
                <c:pt idx="0">
                  <c:v>Times Square  - Grand Central</c:v>
                </c:pt>
                <c:pt idx="1">
                  <c:v>Times Square - Herald Square</c:v>
                </c:pt>
                <c:pt idx="2">
                  <c:v>Times Square - Union Square</c:v>
                </c:pt>
                <c:pt idx="3">
                  <c:v>Times Square - Fulton St.</c:v>
                </c:pt>
                <c:pt idx="4">
                  <c:v>Times Square - Canal St.</c:v>
                </c:pt>
                <c:pt idx="5">
                  <c:v>Times Square - Columbus Circle</c:v>
                </c:pt>
                <c:pt idx="6">
                  <c:v>Times Square - 59th St.</c:v>
                </c:pt>
                <c:pt idx="7">
                  <c:v>Grand Central - Union Square</c:v>
                </c:pt>
                <c:pt idx="8">
                  <c:v>Grand Central - B'way - Lafayette</c:v>
                </c:pt>
                <c:pt idx="9">
                  <c:v>Grand Central - Fulton St.</c:v>
                </c:pt>
                <c:pt idx="10">
                  <c:v>Grand Central - Canal St.</c:v>
                </c:pt>
                <c:pt idx="11">
                  <c:v>Grand Central - 59th St.</c:v>
                </c:pt>
                <c:pt idx="12">
                  <c:v>West 4th - Herald Square</c:v>
                </c:pt>
                <c:pt idx="13">
                  <c:v>West 4th - B'way - Lafayette</c:v>
                </c:pt>
                <c:pt idx="14">
                  <c:v>West 4th - Fulton St.</c:v>
                </c:pt>
                <c:pt idx="15">
                  <c:v>West 4th - Columbus Circle</c:v>
                </c:pt>
                <c:pt idx="16">
                  <c:v>Herald Square - Union Square</c:v>
                </c:pt>
                <c:pt idx="17">
                  <c:v>Herald Square - B'way - Lafayette</c:v>
                </c:pt>
                <c:pt idx="18">
                  <c:v>Herald Square - 59th St.</c:v>
                </c:pt>
                <c:pt idx="19">
                  <c:v>Union Square - B'way - Lafayette</c:v>
                </c:pt>
                <c:pt idx="20">
                  <c:v>Union Square - Fulton St.</c:v>
                </c:pt>
                <c:pt idx="21">
                  <c:v>Union Square - Canal St.</c:v>
                </c:pt>
                <c:pt idx="22">
                  <c:v>Union Square - 59th St.</c:v>
                </c:pt>
                <c:pt idx="23">
                  <c:v>B'way - Lafayette - Canal St.</c:v>
                </c:pt>
                <c:pt idx="24">
                  <c:v>B'way - Lafayette - Columbus Circle</c:v>
                </c:pt>
                <c:pt idx="25">
                  <c:v>B'way - Lafayette - 59th St.</c:v>
                </c:pt>
                <c:pt idx="26">
                  <c:v>Fulton St. - Columbus Circle</c:v>
                </c:pt>
                <c:pt idx="27">
                  <c:v>Canal St. - 59th St.</c:v>
                </c:pt>
              </c:strCache>
            </c:strRef>
          </c:cat>
          <c:val>
            <c:numRef>
              <c:f>Model!$H$12:$H$39</c:f>
              <c:numCache>
                <c:formatCode>_(* #,##0_);_(* \(#,##0\);_(* "-"??_);_(@_)</c:formatCode>
                <c:ptCount val="28"/>
                <c:pt idx="0">
                  <c:v>377.46296296296299</c:v>
                </c:pt>
                <c:pt idx="1">
                  <c:v>347.71527777777777</c:v>
                </c:pt>
                <c:pt idx="2">
                  <c:v>331.4143518518519</c:v>
                </c:pt>
                <c:pt idx="3">
                  <c:v>285.71643518518516</c:v>
                </c:pt>
                <c:pt idx="4">
                  <c:v>263.51157407407408</c:v>
                </c:pt>
                <c:pt idx="5">
                  <c:v>285.41666666666669</c:v>
                </c:pt>
                <c:pt idx="6">
                  <c:v>280.81828703703707</c:v>
                </c:pt>
                <c:pt idx="7">
                  <c:v>434.06597222222223</c:v>
                </c:pt>
                <c:pt idx="8">
                  <c:v>307.97395833333331</c:v>
                </c:pt>
                <c:pt idx="9">
                  <c:v>358.171875</c:v>
                </c:pt>
                <c:pt idx="10">
                  <c:v>332.2118055555556</c:v>
                </c:pt>
                <c:pt idx="11">
                  <c:v>358.171875</c:v>
                </c:pt>
                <c:pt idx="12">
                  <c:v>407.56770833333331</c:v>
                </c:pt>
                <c:pt idx="13">
                  <c:v>181.75260416666666</c:v>
                </c:pt>
                <c:pt idx="14">
                  <c:v>268.0703125</c:v>
                </c:pt>
                <c:pt idx="15">
                  <c:v>267.39583333333331</c:v>
                </c:pt>
                <c:pt idx="16">
                  <c:v>333.80952380952385</c:v>
                </c:pt>
                <c:pt idx="17">
                  <c:v>225.73065476190476</c:v>
                </c:pt>
                <c:pt idx="18">
                  <c:v>268.75744047619048</c:v>
                </c:pt>
                <c:pt idx="19">
                  <c:v>204.77232142857142</c:v>
                </c:pt>
                <c:pt idx="20">
                  <c:v>254.0967261904762</c:v>
                </c:pt>
                <c:pt idx="21">
                  <c:v>225.54761904761907</c:v>
                </c:pt>
                <c:pt idx="22">
                  <c:v>247.79910714285714</c:v>
                </c:pt>
                <c:pt idx="23">
                  <c:v>164.45625000000001</c:v>
                </c:pt>
                <c:pt idx="24">
                  <c:v>203.88541666666666</c:v>
                </c:pt>
                <c:pt idx="25">
                  <c:v>195.60833333333335</c:v>
                </c:pt>
                <c:pt idx="26">
                  <c:v>194.95684523809521</c:v>
                </c:pt>
                <c:pt idx="27">
                  <c:v>224.69374999999999</c:v>
                </c:pt>
              </c:numCache>
            </c:numRef>
          </c:val>
        </c:ser>
        <c:axId val="50080384"/>
        <c:axId val="50082176"/>
      </c:barChart>
      <c:catAx>
        <c:axId val="500803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82176"/>
        <c:crosses val="autoZero"/>
        <c:lblAlgn val="ctr"/>
        <c:lblOffset val="100"/>
        <c:tickLblSkip val="1"/>
        <c:tickMarkSkip val="1"/>
      </c:catAx>
      <c:valAx>
        <c:axId val="500821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* #,##0_);_(* \(#,##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803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02162548572011"/>
          <c:y val="0.3736765241440852"/>
          <c:w val="6.2350156408168239E-2"/>
          <c:h val="3.6308650119263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8</xdr:row>
      <xdr:rowOff>28575</xdr:rowOff>
    </xdr:from>
    <xdr:to>
      <xdr:col>26</xdr:col>
      <xdr:colOff>0</xdr:colOff>
      <xdr:row>32</xdr:row>
      <xdr:rowOff>180975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42</xdr:row>
      <xdr:rowOff>152400</xdr:rowOff>
    </xdr:from>
    <xdr:to>
      <xdr:col>25</xdr:col>
      <xdr:colOff>333375</xdr:colOff>
      <xdr:row>75</xdr:row>
      <xdr:rowOff>161925</xdr:rowOff>
    </xdr:to>
    <xdr:graphicFrame macro="">
      <xdr:nvGraphicFramePr>
        <xdr:cNvPr id="20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D3:J27"/>
  <sheetViews>
    <sheetView workbookViewId="0">
      <selection activeCell="F10" sqref="F10"/>
    </sheetView>
  </sheetViews>
  <sheetFormatPr defaultRowHeight="15"/>
  <cols>
    <col min="8" max="8" width="0" hidden="1" customWidth="1"/>
    <col min="10" max="10" width="0" hidden="1" customWidth="1"/>
  </cols>
  <sheetData>
    <row r="3" spans="4:10">
      <c r="H3" s="26" t="s">
        <v>43</v>
      </c>
      <c r="J3" s="26" t="s">
        <v>43</v>
      </c>
    </row>
    <row r="4" spans="4:10" ht="15.75" thickBot="1">
      <c r="H4" s="17">
        <v>0</v>
      </c>
      <c r="J4" t="s">
        <v>29</v>
      </c>
    </row>
    <row r="5" spans="4:10" ht="15.75" thickBot="1">
      <c r="D5" s="33" t="s">
        <v>42</v>
      </c>
      <c r="E5" s="34">
        <v>0.375</v>
      </c>
      <c r="H5" s="17">
        <v>4.1666666666666664E-2</v>
      </c>
      <c r="J5" t="s">
        <v>30</v>
      </c>
    </row>
    <row r="6" spans="4:10" ht="15.75" thickBot="1">
      <c r="D6" s="33" t="s">
        <v>26</v>
      </c>
      <c r="E6" s="35" t="s">
        <v>29</v>
      </c>
      <c r="H6" s="17">
        <v>8.3333333333333329E-2</v>
      </c>
    </row>
    <row r="7" spans="4:10" ht="15.75" thickBot="1">
      <c r="H7" s="17">
        <v>0.125</v>
      </c>
    </row>
    <row r="8" spans="4:10" ht="15.75" thickBot="1">
      <c r="D8" s="33" t="s">
        <v>45</v>
      </c>
      <c r="E8" s="44">
        <f ca="1">Model!L8</f>
        <v>442.52916157407401</v>
      </c>
      <c r="H8" s="17">
        <v>0.16666666666666699</v>
      </c>
    </row>
    <row r="9" spans="4:10">
      <c r="H9" s="17">
        <v>0.20833333333333401</v>
      </c>
    </row>
    <row r="10" spans="4:10">
      <c r="H10" s="17">
        <v>0.25</v>
      </c>
    </row>
    <row r="11" spans="4:10">
      <c r="H11" s="17">
        <v>0.29166666666666702</v>
      </c>
    </row>
    <row r="12" spans="4:10">
      <c r="H12" s="17">
        <v>0.33333333333333398</v>
      </c>
    </row>
    <row r="13" spans="4:10">
      <c r="H13" s="17">
        <v>0.375</v>
      </c>
    </row>
    <row r="14" spans="4:10">
      <c r="H14" s="17">
        <v>0.41666666666666702</v>
      </c>
    </row>
    <row r="15" spans="4:10">
      <c r="H15" s="17">
        <v>0.45833333333333398</v>
      </c>
    </row>
    <row r="16" spans="4:10">
      <c r="H16" s="17">
        <v>0.5</v>
      </c>
    </row>
    <row r="17" spans="8:8">
      <c r="H17" s="17">
        <v>0.54166666666666696</v>
      </c>
    </row>
    <row r="18" spans="8:8">
      <c r="H18" s="17">
        <v>0.58333333333333404</v>
      </c>
    </row>
    <row r="19" spans="8:8">
      <c r="H19" s="17">
        <v>0.625</v>
      </c>
    </row>
    <row r="20" spans="8:8">
      <c r="H20" s="17">
        <v>0.66666666666666696</v>
      </c>
    </row>
    <row r="21" spans="8:8">
      <c r="H21" s="17">
        <v>0.70833333333333404</v>
      </c>
    </row>
    <row r="22" spans="8:8">
      <c r="H22" s="17">
        <v>0.75</v>
      </c>
    </row>
    <row r="23" spans="8:8">
      <c r="H23" s="17">
        <v>0.79166666666666696</v>
      </c>
    </row>
    <row r="24" spans="8:8">
      <c r="H24" s="17">
        <v>0.83333333333333404</v>
      </c>
    </row>
    <row r="25" spans="8:8">
      <c r="H25" s="17">
        <v>0.875</v>
      </c>
    </row>
    <row r="26" spans="8:8">
      <c r="H26" s="17">
        <v>0.91666666666666696</v>
      </c>
    </row>
    <row r="27" spans="8:8">
      <c r="H27" s="17">
        <v>0.95833333333333404</v>
      </c>
    </row>
  </sheetData>
  <phoneticPr fontId="3" type="noConversion"/>
  <dataValidations count="2">
    <dataValidation type="list" allowBlank="1" showInputMessage="1" showErrorMessage="1" sqref="E6">
      <formula1>$J$4:$J$5</formula1>
    </dataValidation>
    <dataValidation type="list" allowBlank="1" showInputMessage="1" showErrorMessage="1" sqref="E5">
      <formula1>$H$4:$H$27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3:K28"/>
  <sheetViews>
    <sheetView tabSelected="1" workbookViewId="0">
      <selection activeCell="G21" sqref="G21"/>
    </sheetView>
  </sheetViews>
  <sheetFormatPr defaultColWidth="8.85546875" defaultRowHeight="15"/>
  <cols>
    <col min="3" max="3" width="10.140625" customWidth="1"/>
    <col min="4" max="4" width="16" customWidth="1"/>
    <col min="5" max="5" width="14.28515625" customWidth="1"/>
    <col min="9" max="9" width="0" hidden="1" customWidth="1"/>
    <col min="13" max="13" width="12.85546875" customWidth="1"/>
  </cols>
  <sheetData>
    <row r="3" spans="1:11">
      <c r="E3" s="33" t="s">
        <v>3</v>
      </c>
      <c r="F3">
        <v>6</v>
      </c>
    </row>
    <row r="4" spans="1:11">
      <c r="I4" s="26" t="s">
        <v>43</v>
      </c>
    </row>
    <row r="5" spans="1:11">
      <c r="E5" s="26" t="s">
        <v>5</v>
      </c>
      <c r="F5" s="26" t="s">
        <v>6</v>
      </c>
      <c r="I5" s="16">
        <v>0</v>
      </c>
    </row>
    <row r="6" spans="1:11">
      <c r="D6" s="33" t="s">
        <v>2</v>
      </c>
      <c r="E6" s="3">
        <f ca="1">IF('User Interface'!$E$6="Yes",'Manager Inputs'!E19,'Manager Inputs'!D19)</f>
        <v>0.8</v>
      </c>
      <c r="F6" s="42">
        <f>E14</f>
        <v>2.5000000000000001E-3</v>
      </c>
      <c r="I6" s="17">
        <v>4.1666666666666664E-2</v>
      </c>
    </row>
    <row r="7" spans="1:11">
      <c r="D7" s="33" t="s">
        <v>1</v>
      </c>
      <c r="E7" s="3">
        <f ca="1">IF('User Interface'!$E$6="Yes",'Manager Inputs'!E20,'Manager Inputs'!D20)</f>
        <v>0.19999999999999996</v>
      </c>
      <c r="F7" s="42">
        <f>E15</f>
        <v>1.4999999999999999E-2</v>
      </c>
      <c r="I7" s="17">
        <v>8.3333333333333329E-2</v>
      </c>
    </row>
    <row r="8" spans="1:11">
      <c r="I8" s="17">
        <v>0.125</v>
      </c>
    </row>
    <row r="9" spans="1:11">
      <c r="D9" s="33" t="s">
        <v>9</v>
      </c>
      <c r="E9" s="17">
        <f ca="1">'User Interface'!E5</f>
        <v>0.375</v>
      </c>
      <c r="I9" s="17">
        <v>0.16666666666666699</v>
      </c>
    </row>
    <row r="10" spans="1:11">
      <c r="I10" s="17">
        <v>0.20833333333333401</v>
      </c>
    </row>
    <row r="11" spans="1:11">
      <c r="I11" s="17">
        <v>0.25</v>
      </c>
    </row>
    <row r="12" spans="1:11">
      <c r="B12" s="47" t="s">
        <v>32</v>
      </c>
      <c r="C12" s="47"/>
      <c r="D12" s="47"/>
      <c r="E12" s="47"/>
      <c r="I12" s="17">
        <v>0.29166666666666702</v>
      </c>
      <c r="K12" s="17"/>
    </row>
    <row r="13" spans="1:11">
      <c r="B13" s="46" t="s">
        <v>33</v>
      </c>
      <c r="C13" s="46"/>
      <c r="D13" s="36" t="s">
        <v>34</v>
      </c>
      <c r="E13" s="36" t="s">
        <v>40</v>
      </c>
      <c r="I13" s="17">
        <v>0.33333333333333398</v>
      </c>
    </row>
    <row r="14" spans="1:11">
      <c r="A14" s="37" t="s">
        <v>13</v>
      </c>
      <c r="B14" s="45">
        <v>5.0000000000000001E-3</v>
      </c>
      <c r="C14" s="45"/>
      <c r="D14" s="31">
        <v>0.5</v>
      </c>
      <c r="E14" s="30">
        <f>B14*D14</f>
        <v>2.5000000000000001E-3</v>
      </c>
      <c r="I14" s="17">
        <v>0.375</v>
      </c>
    </row>
    <row r="15" spans="1:11">
      <c r="A15" s="38" t="s">
        <v>12</v>
      </c>
      <c r="B15" s="45">
        <v>1.4999999999999999E-2</v>
      </c>
      <c r="C15" s="45"/>
      <c r="D15" s="32">
        <v>1</v>
      </c>
      <c r="E15" s="30">
        <f>B15*D15</f>
        <v>1.4999999999999999E-2</v>
      </c>
      <c r="I15" s="17">
        <v>0.41666666666666702</v>
      </c>
    </row>
    <row r="16" spans="1:11">
      <c r="I16" s="17">
        <v>0.45833333333333398</v>
      </c>
    </row>
    <row r="17" spans="3:9">
      <c r="I17" s="17">
        <v>0.5</v>
      </c>
    </row>
    <row r="18" spans="3:9">
      <c r="C18" s="25"/>
      <c r="D18" s="39" t="s">
        <v>41</v>
      </c>
      <c r="E18" s="39" t="s">
        <v>28</v>
      </c>
      <c r="I18" s="17">
        <v>0.54166666666666696</v>
      </c>
    </row>
    <row r="19" spans="3:9">
      <c r="C19" s="39" t="s">
        <v>13</v>
      </c>
      <c r="D19" s="40">
        <v>0.9</v>
      </c>
      <c r="E19" s="40">
        <v>0.8</v>
      </c>
      <c r="I19" s="17">
        <v>0.58333333333333404</v>
      </c>
    </row>
    <row r="20" spans="3:9">
      <c r="C20" s="39" t="s">
        <v>12</v>
      </c>
      <c r="D20" s="41">
        <f>1-D19</f>
        <v>9.9999999999999978E-2</v>
      </c>
      <c r="E20" s="41">
        <f>1-E19</f>
        <v>0.19999999999999996</v>
      </c>
      <c r="I20" s="17">
        <v>0.625</v>
      </c>
    </row>
    <row r="21" spans="3:9">
      <c r="I21" s="17">
        <v>0.66666666666666696</v>
      </c>
    </row>
    <row r="22" spans="3:9">
      <c r="I22" s="17">
        <v>0.70833333333333404</v>
      </c>
    </row>
    <row r="23" spans="3:9">
      <c r="I23" s="17">
        <v>0.75</v>
      </c>
    </row>
    <row r="24" spans="3:9">
      <c r="I24" s="17">
        <v>0.79166666666666696</v>
      </c>
    </row>
    <row r="25" spans="3:9">
      <c r="I25" s="17">
        <v>0.83333333333333404</v>
      </c>
    </row>
    <row r="26" spans="3:9">
      <c r="I26" s="17">
        <v>0.875</v>
      </c>
    </row>
    <row r="27" spans="3:9">
      <c r="I27" s="17">
        <v>0.91666666666666696</v>
      </c>
    </row>
    <row r="28" spans="3:9">
      <c r="I28" s="17">
        <v>0.95833333333333404</v>
      </c>
    </row>
  </sheetData>
  <mergeCells count="4">
    <mergeCell ref="B14:C14"/>
    <mergeCell ref="B15:C15"/>
    <mergeCell ref="B13:C13"/>
    <mergeCell ref="B12:E12"/>
  </mergeCells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4:AA7"/>
  <sheetViews>
    <sheetView zoomScale="75" zoomScaleNormal="75" workbookViewId="0">
      <selection activeCell="K5" sqref="K5"/>
    </sheetView>
  </sheetViews>
  <sheetFormatPr defaultColWidth="8.85546875" defaultRowHeight="15"/>
  <cols>
    <col min="3" max="3" width="9.7109375" bestFit="1" customWidth="1"/>
    <col min="4" max="4" width="9" bestFit="1" customWidth="1"/>
    <col min="5" max="5" width="9.140625" bestFit="1" customWidth="1"/>
    <col min="6" max="12" width="9" bestFit="1" customWidth="1"/>
    <col min="13" max="15" width="9.7109375" bestFit="1" customWidth="1"/>
    <col min="16" max="20" width="9" bestFit="1" customWidth="1"/>
    <col min="25" max="26" width="9.7109375" bestFit="1" customWidth="1"/>
  </cols>
  <sheetData>
    <row r="4" spans="1:27" s="26" customFormat="1">
      <c r="A4" s="26" t="s">
        <v>4</v>
      </c>
      <c r="C4" s="29">
        <v>0</v>
      </c>
      <c r="D4" s="29">
        <v>4.1666666666666664E-2</v>
      </c>
      <c r="E4" s="29">
        <v>8.3333333333333329E-2</v>
      </c>
      <c r="F4" s="29">
        <v>0.125</v>
      </c>
      <c r="G4" s="29">
        <v>0.16666666666666699</v>
      </c>
      <c r="H4" s="29">
        <v>0.20833333333333401</v>
      </c>
      <c r="I4" s="29">
        <v>0.25</v>
      </c>
      <c r="J4" s="29">
        <v>0.29166666666666702</v>
      </c>
      <c r="K4" s="29">
        <v>0.33333333333333398</v>
      </c>
      <c r="L4" s="29">
        <v>0.375</v>
      </c>
      <c r="M4" s="29">
        <v>0.41666666666666702</v>
      </c>
      <c r="N4" s="29">
        <v>0.45833333333333398</v>
      </c>
      <c r="O4" s="29">
        <v>0.5</v>
      </c>
      <c r="P4" s="29">
        <v>0.54166666666666696</v>
      </c>
      <c r="Q4" s="29">
        <v>0.58333333333333404</v>
      </c>
      <c r="R4" s="29">
        <v>0.625</v>
      </c>
      <c r="S4" s="29">
        <v>0.66666666666666696</v>
      </c>
      <c r="T4" s="29">
        <v>0.70833333333333404</v>
      </c>
      <c r="U4" s="29">
        <v>0.75</v>
      </c>
      <c r="V4" s="29">
        <v>0.79166666666666696</v>
      </c>
      <c r="W4" s="29">
        <v>0.83333333333333404</v>
      </c>
      <c r="X4" s="29">
        <v>0.875</v>
      </c>
      <c r="Y4" s="29">
        <v>0.91666666666666696</v>
      </c>
      <c r="Z4" s="29">
        <v>0.95833333333333404</v>
      </c>
    </row>
    <row r="5" spans="1:27">
      <c r="A5" s="26" t="s">
        <v>2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2</v>
      </c>
      <c r="J5">
        <v>5</v>
      </c>
      <c r="K5">
        <v>10</v>
      </c>
      <c r="L5">
        <v>10</v>
      </c>
      <c r="M5">
        <v>7</v>
      </c>
      <c r="N5">
        <v>3</v>
      </c>
      <c r="O5">
        <v>3</v>
      </c>
      <c r="P5">
        <v>3</v>
      </c>
      <c r="Q5">
        <v>3</v>
      </c>
      <c r="R5">
        <v>4</v>
      </c>
      <c r="S5">
        <v>6</v>
      </c>
      <c r="T5">
        <v>8</v>
      </c>
      <c r="U5">
        <v>9</v>
      </c>
      <c r="V5">
        <v>5</v>
      </c>
      <c r="W5">
        <v>5</v>
      </c>
      <c r="X5">
        <v>7</v>
      </c>
      <c r="Y5">
        <v>6</v>
      </c>
      <c r="Z5">
        <v>4</v>
      </c>
      <c r="AA5">
        <f>SUM(C5:Z5)</f>
        <v>106</v>
      </c>
    </row>
    <row r="6" spans="1:27">
      <c r="A6" s="26" t="s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2</v>
      </c>
      <c r="K6">
        <v>4</v>
      </c>
      <c r="L6">
        <v>6</v>
      </c>
      <c r="M6">
        <v>8</v>
      </c>
      <c r="N6">
        <v>9</v>
      </c>
      <c r="O6">
        <v>9</v>
      </c>
      <c r="P6">
        <v>9</v>
      </c>
      <c r="Q6">
        <v>8</v>
      </c>
      <c r="R6">
        <v>8</v>
      </c>
      <c r="S6">
        <v>4</v>
      </c>
      <c r="T6">
        <v>4</v>
      </c>
      <c r="U6">
        <v>4</v>
      </c>
      <c r="V6">
        <v>7</v>
      </c>
      <c r="W6">
        <v>6</v>
      </c>
      <c r="X6">
        <v>4</v>
      </c>
      <c r="Y6">
        <v>4</v>
      </c>
      <c r="Z6">
        <v>3</v>
      </c>
      <c r="AA6">
        <f>SUM(C6:Z6)</f>
        <v>106</v>
      </c>
    </row>
    <row r="7" spans="1:27">
      <c r="A7" s="26" t="s">
        <v>8</v>
      </c>
      <c r="C7">
        <v>20</v>
      </c>
      <c r="D7">
        <v>20</v>
      </c>
      <c r="E7">
        <v>20</v>
      </c>
      <c r="F7">
        <v>20</v>
      </c>
      <c r="G7">
        <v>20</v>
      </c>
      <c r="H7">
        <v>8</v>
      </c>
      <c r="I7">
        <v>6</v>
      </c>
      <c r="J7">
        <v>4</v>
      </c>
      <c r="K7">
        <v>3</v>
      </c>
      <c r="L7">
        <v>5</v>
      </c>
      <c r="M7">
        <v>4</v>
      </c>
      <c r="N7">
        <v>6</v>
      </c>
      <c r="O7">
        <v>6</v>
      </c>
      <c r="P7">
        <v>6</v>
      </c>
      <c r="Q7">
        <v>6</v>
      </c>
      <c r="R7">
        <v>6</v>
      </c>
      <c r="S7">
        <v>4</v>
      </c>
      <c r="T7">
        <v>4</v>
      </c>
      <c r="U7">
        <v>4</v>
      </c>
      <c r="V7">
        <v>4</v>
      </c>
      <c r="W7">
        <v>5</v>
      </c>
      <c r="X7">
        <v>6</v>
      </c>
      <c r="Y7">
        <v>8</v>
      </c>
      <c r="Z7">
        <v>10</v>
      </c>
    </row>
  </sheetData>
  <phoneticPr fontId="3" type="noConversion"/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5:AS45"/>
  <sheetViews>
    <sheetView topLeftCell="G15" zoomScaleNormal="75" workbookViewId="0">
      <selection activeCell="S42" sqref="S42"/>
    </sheetView>
  </sheetViews>
  <sheetFormatPr defaultRowHeight="15"/>
  <cols>
    <col min="1" max="1" width="43.28515625" customWidth="1"/>
    <col min="2" max="2" width="26.5703125" customWidth="1"/>
    <col min="3" max="3" width="14" hidden="1" customWidth="1"/>
    <col min="4" max="4" width="25.5703125" customWidth="1"/>
    <col min="5" max="5" width="18.28515625" hidden="1" customWidth="1"/>
    <col min="6" max="6" width="15.28515625" hidden="1" customWidth="1"/>
    <col min="7" max="7" width="12.28515625" style="4" customWidth="1"/>
    <col min="8" max="8" width="14.140625" customWidth="1"/>
    <col min="9" max="9" width="6.140625" style="1" bestFit="1" customWidth="1"/>
    <col min="10" max="10" width="10.28515625" bestFit="1" customWidth="1"/>
    <col min="11" max="11" width="9.140625" style="4"/>
    <col min="12" max="12" width="15.7109375" style="4" bestFit="1" customWidth="1"/>
    <col min="13" max="13" width="7.140625" customWidth="1"/>
    <col min="14" max="14" width="6.7109375" customWidth="1"/>
    <col min="15" max="15" width="5.7109375" customWidth="1"/>
    <col min="16" max="21" width="9.7109375" bestFit="1" customWidth="1"/>
    <col min="23" max="23" width="13.28515625" bestFit="1" customWidth="1"/>
    <col min="24" max="29" width="9.7109375" bestFit="1" customWidth="1"/>
    <col min="30" max="30" width="9.7109375" customWidth="1"/>
    <col min="31" max="31" width="13.42578125" bestFit="1" customWidth="1"/>
    <col min="33" max="35" width="10.42578125" customWidth="1"/>
    <col min="39" max="39" width="12" bestFit="1" customWidth="1"/>
    <col min="41" max="43" width="13" customWidth="1"/>
  </cols>
  <sheetData>
    <row r="5" spans="1:45">
      <c r="M5" s="50" t="s">
        <v>5</v>
      </c>
      <c r="N5" s="50"/>
      <c r="O5" s="50" t="s">
        <v>6</v>
      </c>
      <c r="P5" s="50"/>
      <c r="Q5" s="50"/>
    </row>
    <row r="6" spans="1:45">
      <c r="J6" s="26" t="s">
        <v>16</v>
      </c>
      <c r="L6" s="23">
        <f>SUMPRODUCT(P12:U39,AN12:AS39)</f>
        <v>73473.070370370391</v>
      </c>
      <c r="M6" s="48">
        <f ca="1">'Manager Inputs'!$E$6</f>
        <v>0.8</v>
      </c>
      <c r="N6" s="48"/>
      <c r="O6" s="49">
        <f ca="1">'Manager Inputs'!$F$6</f>
        <v>2.5000000000000001E-3</v>
      </c>
      <c r="P6" s="49"/>
      <c r="Q6" s="49"/>
      <c r="U6" t="s">
        <v>27</v>
      </c>
    </row>
    <row r="7" spans="1:45" ht="15.75" thickBot="1">
      <c r="J7" s="26" t="s">
        <v>15</v>
      </c>
      <c r="L7" s="23">
        <f>SUMPRODUCT(P12:U39,AF12:AK39)</f>
        <v>98527.673611111109</v>
      </c>
      <c r="M7" s="48">
        <f ca="1">'Manager Inputs'!$E$7</f>
        <v>0.19999999999999996</v>
      </c>
      <c r="N7" s="48"/>
      <c r="O7" s="49">
        <f ca="1">'Manager Inputs'!$F$7</f>
        <v>1.4999999999999999E-2</v>
      </c>
      <c r="P7" s="49"/>
      <c r="Q7" s="49"/>
    </row>
    <row r="8" spans="1:45" ht="15.75" thickBot="1">
      <c r="J8" s="26" t="s">
        <v>7</v>
      </c>
      <c r="L8" s="24">
        <f>L6*M6*O6+L7*M7*O7</f>
        <v>442.52916157407401</v>
      </c>
    </row>
    <row r="9" spans="1:45">
      <c r="J9" s="26" t="s">
        <v>44</v>
      </c>
      <c r="L9" s="4">
        <f>SUMPRODUCT(P12:U39,X12:AC39)</f>
        <v>330.79999999999995</v>
      </c>
      <c r="M9" s="4" t="s">
        <v>0</v>
      </c>
      <c r="N9">
        <f>6*60</f>
        <v>360</v>
      </c>
    </row>
    <row r="10" spans="1:45">
      <c r="P10">
        <v>0</v>
      </c>
      <c r="Q10">
        <v>1</v>
      </c>
      <c r="R10">
        <v>2</v>
      </c>
      <c r="S10">
        <v>3</v>
      </c>
      <c r="T10">
        <v>4</v>
      </c>
      <c r="U10">
        <v>5</v>
      </c>
      <c r="W10" s="43" t="s">
        <v>17</v>
      </c>
      <c r="X10">
        <v>0</v>
      </c>
      <c r="Y10">
        <v>1</v>
      </c>
      <c r="Z10">
        <v>2</v>
      </c>
      <c r="AA10">
        <v>3</v>
      </c>
      <c r="AB10">
        <v>4</v>
      </c>
      <c r="AC10">
        <v>5</v>
      </c>
      <c r="AE10" s="43" t="s">
        <v>15</v>
      </c>
      <c r="AF10">
        <v>0</v>
      </c>
      <c r="AG10">
        <v>1</v>
      </c>
      <c r="AH10">
        <v>2</v>
      </c>
      <c r="AI10">
        <v>3</v>
      </c>
      <c r="AJ10">
        <v>4</v>
      </c>
      <c r="AK10">
        <v>5</v>
      </c>
      <c r="AM10" s="43" t="s">
        <v>16</v>
      </c>
      <c r="AN10">
        <v>1</v>
      </c>
      <c r="AO10">
        <v>2</v>
      </c>
      <c r="AP10">
        <v>3</v>
      </c>
      <c r="AQ10">
        <v>4</v>
      </c>
      <c r="AR10">
        <v>5</v>
      </c>
      <c r="AS10">
        <v>6</v>
      </c>
    </row>
    <row r="11" spans="1:45" ht="15.75" thickBot="1">
      <c r="A11" s="26" t="s">
        <v>47</v>
      </c>
      <c r="B11" s="26" t="s">
        <v>18</v>
      </c>
      <c r="C11" s="26" t="s">
        <v>35</v>
      </c>
      <c r="D11" s="26" t="s">
        <v>19</v>
      </c>
      <c r="E11" s="26" t="s">
        <v>36</v>
      </c>
      <c r="F11" s="26" t="s">
        <v>37</v>
      </c>
      <c r="G11" s="27" t="s">
        <v>39</v>
      </c>
      <c r="H11" s="26" t="s">
        <v>38</v>
      </c>
      <c r="I11" s="28" t="s">
        <v>11</v>
      </c>
      <c r="J11" s="26" t="s">
        <v>10</v>
      </c>
      <c r="K11" s="27" t="s">
        <v>12</v>
      </c>
      <c r="L11" s="27" t="s">
        <v>13</v>
      </c>
      <c r="O11" s="26" t="s">
        <v>14</v>
      </c>
      <c r="P11" s="29">
        <f ca="1">'Manager Inputs'!$E$9</f>
        <v>0.375</v>
      </c>
      <c r="Q11" s="29">
        <f ca="1">'Manager Inputs'!$E$9+TIME(Q10,0,0)</f>
        <v>0.41666666666666669</v>
      </c>
      <c r="R11" s="29">
        <f ca="1">'Manager Inputs'!$E$9+TIME(R10,0,0)</f>
        <v>0.45833333333333331</v>
      </c>
      <c r="S11" s="29">
        <f ca="1">'Manager Inputs'!$E$9+TIME(S10,0,0)</f>
        <v>0.5</v>
      </c>
      <c r="T11" s="29">
        <f ca="1">'Manager Inputs'!$E$9+TIME(T10,0,0)</f>
        <v>0.54166666666666663</v>
      </c>
      <c r="U11" s="29">
        <f ca="1">'Manager Inputs'!$E$9+TIME(U10,0,0)</f>
        <v>0.58333333333333337</v>
      </c>
      <c r="W11" s="26" t="s">
        <v>14</v>
      </c>
      <c r="X11" s="29">
        <f ca="1">'Manager Inputs'!$E$9</f>
        <v>0.375</v>
      </c>
      <c r="Y11" s="29">
        <f ca="1">'Manager Inputs'!$E$9+TIME(Y10,0,0)</f>
        <v>0.41666666666666669</v>
      </c>
      <c r="Z11" s="29">
        <f ca="1">'Manager Inputs'!$E$9+Z10-1</f>
        <v>1.375</v>
      </c>
      <c r="AA11" s="29">
        <f ca="1">'Manager Inputs'!$E$9+AA10-1</f>
        <v>2.375</v>
      </c>
      <c r="AB11" s="29">
        <f ca="1">'Manager Inputs'!$E$9+AB10-1</f>
        <v>3.375</v>
      </c>
      <c r="AC11" s="29">
        <f ca="1">'Manager Inputs'!$E$9+AC10-1</f>
        <v>4.375</v>
      </c>
      <c r="AD11" s="6"/>
      <c r="AE11" s="26" t="s">
        <v>14</v>
      </c>
      <c r="AF11" s="29">
        <f ca="1">'Manager Inputs'!$E$9</f>
        <v>0.375</v>
      </c>
      <c r="AG11" s="29">
        <f ca="1">'Manager Inputs'!$E$9+TIME(AG10,0,0)</f>
        <v>0.41666666666666669</v>
      </c>
      <c r="AH11" s="29">
        <f ca="1">'Manager Inputs'!$E$9+TIME(AH10,0,0)</f>
        <v>0.45833333333333331</v>
      </c>
      <c r="AI11" s="29">
        <f ca="1">'Manager Inputs'!$E$9+TIME(AI10,0,0)</f>
        <v>0.5</v>
      </c>
      <c r="AJ11" s="29">
        <f ca="1">'Manager Inputs'!$E$9+TIME(AJ10,0,0)</f>
        <v>0.54166666666666663</v>
      </c>
      <c r="AK11" s="29">
        <f ca="1">'Manager Inputs'!$E$9+TIME(AK10,0,0)</f>
        <v>0.58333333333333337</v>
      </c>
      <c r="AM11" s="26" t="s">
        <v>14</v>
      </c>
      <c r="AN11" s="29">
        <f t="shared" ref="AN11:AS11" si="0">AF11</f>
        <v>0.375</v>
      </c>
      <c r="AO11" s="29">
        <f t="shared" si="0"/>
        <v>0.41666666666666669</v>
      </c>
      <c r="AP11" s="29">
        <f t="shared" si="0"/>
        <v>0.45833333333333331</v>
      </c>
      <c r="AQ11" s="29">
        <f t="shared" si="0"/>
        <v>0.5</v>
      </c>
      <c r="AR11" s="29">
        <f t="shared" si="0"/>
        <v>0.54166666666666663</v>
      </c>
      <c r="AS11" s="29">
        <f t="shared" si="0"/>
        <v>0.58333333333333337</v>
      </c>
    </row>
    <row r="12" spans="1:45">
      <c r="A12" t="str">
        <f>CONCATENATE(B12," - ",D12)</f>
        <v>Times Square  - Grand Central</v>
      </c>
      <c r="B12" s="26" t="s">
        <v>48</v>
      </c>
      <c r="C12" s="19">
        <f>181224/24</f>
        <v>7551</v>
      </c>
      <c r="D12" s="26" t="s">
        <v>20</v>
      </c>
      <c r="E12" s="19">
        <f>144904/24</f>
        <v>6037.666666666667</v>
      </c>
      <c r="F12" s="22">
        <f>(C12+E12)/2</f>
        <v>6794.3333333333339</v>
      </c>
      <c r="G12" s="21">
        <v>9</v>
      </c>
      <c r="H12" s="22">
        <f>F12/G12/2</f>
        <v>377.46296296296299</v>
      </c>
      <c r="I12" s="28">
        <v>1</v>
      </c>
      <c r="J12" s="2">
        <v>2</v>
      </c>
      <c r="K12" s="4">
        <v>0</v>
      </c>
      <c r="L12" s="4">
        <v>0</v>
      </c>
      <c r="M12" s="19"/>
      <c r="N12" s="18"/>
      <c r="P12" s="7">
        <v>0</v>
      </c>
      <c r="Q12" s="8">
        <v>0</v>
      </c>
      <c r="R12" s="8">
        <v>0</v>
      </c>
      <c r="S12" s="8">
        <v>0</v>
      </c>
      <c r="T12" s="8">
        <v>0</v>
      </c>
      <c r="U12" s="9">
        <v>0</v>
      </c>
      <c r="X12">
        <f ca="1">$J12+HLOOKUP(X$11,'Time Series'!$C$4:$Z$7,4)</f>
        <v>7</v>
      </c>
      <c r="Y12">
        <f ca="1">$J12+HLOOKUP(Y$11,'Time Series'!$C$4:$Z$7,4)</f>
        <v>7</v>
      </c>
      <c r="Z12">
        <f ca="1">$J12+HLOOKUP(Z$11,'Time Series'!$C$4:$Z$7,4)</f>
        <v>12</v>
      </c>
      <c r="AA12">
        <f ca="1">$J12+HLOOKUP(AA$11,'Time Series'!$C$4:$Z$7,4)</f>
        <v>12</v>
      </c>
      <c r="AB12">
        <f ca="1">$J12+HLOOKUP(AB$11,'Time Series'!$C$4:$Z$7,4)</f>
        <v>12</v>
      </c>
      <c r="AC12">
        <f ca="1">$J12+HLOOKUP(AC$11,'Time Series'!$C$4:$Z$7,4)</f>
        <v>12</v>
      </c>
      <c r="AF12">
        <f ca="1">$K12*HLOOKUP(AF$11,'Time Series'!$C$4:$Z$7,3)*$H12</f>
        <v>0</v>
      </c>
      <c r="AG12">
        <f ca="1">$K12*HLOOKUP(AG$11,'Time Series'!$C$4:$Z$7,3)*$H12</f>
        <v>0</v>
      </c>
      <c r="AH12">
        <f ca="1">$K12*HLOOKUP(AH$11,'Time Series'!$C$4:$Z$7,3)*$H12</f>
        <v>0</v>
      </c>
      <c r="AI12">
        <f ca="1">$K12*HLOOKUP(AI$11,'Time Series'!$C$4:$Z$7,3)*$H12</f>
        <v>0</v>
      </c>
      <c r="AJ12">
        <f ca="1">$K12*HLOOKUP(AJ$11,'Time Series'!$C$4:$Z$7,3)*$H12</f>
        <v>0</v>
      </c>
      <c r="AK12">
        <f ca="1">$K12*HLOOKUP(AK$11,'Time Series'!$C$4:$Z$7,3)*$H12</f>
        <v>0</v>
      </c>
      <c r="AN12">
        <f ca="1">$L12*HLOOKUP(AN$11,'Time Series'!$C$4:$Z$7,2)*$H12</f>
        <v>0</v>
      </c>
      <c r="AO12">
        <f ca="1">$L12*HLOOKUP(AO$11,'Time Series'!$C$4:$Z$7,2)*$H12</f>
        <v>0</v>
      </c>
      <c r="AP12">
        <f ca="1">$L12*HLOOKUP(AP$11,'Time Series'!$C$4:$Z$7,2)*$H12</f>
        <v>0</v>
      </c>
      <c r="AQ12">
        <f ca="1">$L12*HLOOKUP(AQ$11,'Time Series'!$C$4:$Z$7,2)*$H12</f>
        <v>0</v>
      </c>
      <c r="AR12">
        <f ca="1">$L12*HLOOKUP(AR$11,'Time Series'!$C$4:$Z$7,2)*$H12</f>
        <v>0</v>
      </c>
      <c r="AS12">
        <f ca="1">$L12*HLOOKUP(AS$11,'Time Series'!$C$4:$Z$7,2)*$H12</f>
        <v>0</v>
      </c>
    </row>
    <row r="13" spans="1:45">
      <c r="A13" t="str">
        <f t="shared" ref="A13:A39" si="1">CONCATENATE(B13," - ",D13)</f>
        <v>Times Square - Herald Square</v>
      </c>
      <c r="B13" s="26" t="s">
        <v>46</v>
      </c>
      <c r="C13" s="19">
        <f t="shared" ref="C13:C18" si="2">181224/24</f>
        <v>7551</v>
      </c>
      <c r="D13" s="26" t="s">
        <v>49</v>
      </c>
      <c r="E13" s="19">
        <f>119202/24</f>
        <v>4966.75</v>
      </c>
      <c r="F13" s="22">
        <f t="shared" ref="F13:F39" si="3">(C13+E13)/2</f>
        <v>6258.875</v>
      </c>
      <c r="G13" s="21">
        <v>9</v>
      </c>
      <c r="H13" s="22">
        <f t="shared" ref="H13:H39" si="4">F13/G13/2</f>
        <v>347.71527777777777</v>
      </c>
      <c r="I13" s="28">
        <v>2</v>
      </c>
      <c r="J13" s="2">
        <v>2</v>
      </c>
      <c r="K13" s="4">
        <v>1</v>
      </c>
      <c r="L13" s="4">
        <v>0</v>
      </c>
      <c r="M13" s="19"/>
      <c r="N13" s="18"/>
      <c r="P13" s="10">
        <v>0</v>
      </c>
      <c r="Q13" s="5">
        <v>0</v>
      </c>
      <c r="R13" s="5">
        <v>0</v>
      </c>
      <c r="S13" s="5">
        <v>0</v>
      </c>
      <c r="T13" s="5">
        <v>0</v>
      </c>
      <c r="U13" s="11">
        <v>0</v>
      </c>
      <c r="X13">
        <f ca="1">$J13+HLOOKUP(X$11,'Time Series'!$C$4:$Z$7,4)</f>
        <v>7</v>
      </c>
      <c r="Y13">
        <f ca="1">$J13+HLOOKUP(Y$11,'Time Series'!$C$4:$Z$7,4)</f>
        <v>7</v>
      </c>
      <c r="Z13">
        <f ca="1">$J13+HLOOKUP(Z$11,'Time Series'!$C$4:$Z$7,4)</f>
        <v>12</v>
      </c>
      <c r="AA13">
        <f ca="1">$J13+HLOOKUP(AA$11,'Time Series'!$C$4:$Z$7,4)</f>
        <v>12</v>
      </c>
      <c r="AB13">
        <f ca="1">$J13+HLOOKUP(AB$11,'Time Series'!$C$4:$Z$7,4)</f>
        <v>12</v>
      </c>
      <c r="AC13">
        <f ca="1">$J13+HLOOKUP(AC$11,'Time Series'!$C$4:$Z$7,4)</f>
        <v>12</v>
      </c>
      <c r="AF13">
        <f ca="1">$K13*HLOOKUP(AF$11,'Time Series'!$C$4:$Z$7,3)*$H13</f>
        <v>2086.2916666666665</v>
      </c>
      <c r="AG13">
        <f ca="1">$K13*HLOOKUP(AG$11,'Time Series'!$C$4:$Z$7,3)*$H13</f>
        <v>2086.2916666666665</v>
      </c>
      <c r="AH13">
        <f ca="1">$K13*HLOOKUP(AH$11,'Time Series'!$C$4:$Z$7,3)*$H13</f>
        <v>2781.7222222222222</v>
      </c>
      <c r="AI13">
        <f ca="1">$K13*HLOOKUP(AI$11,'Time Series'!$C$4:$Z$7,3)*$H13</f>
        <v>3129.4375</v>
      </c>
      <c r="AJ13">
        <f ca="1">$K13*HLOOKUP(AJ$11,'Time Series'!$C$4:$Z$7,3)*$H13</f>
        <v>3129.4375</v>
      </c>
      <c r="AK13">
        <f ca="1">$K13*HLOOKUP(AK$11,'Time Series'!$C$4:$Z$7,3)*$H13</f>
        <v>3129.4375</v>
      </c>
      <c r="AN13">
        <f ca="1">$L13*HLOOKUP(AN$11,'Time Series'!$C$4:$Z$7,2)*$H13</f>
        <v>0</v>
      </c>
      <c r="AO13">
        <f ca="1">$L13*HLOOKUP(AO$11,'Time Series'!$C$4:$Z$7,2)*$H13</f>
        <v>0</v>
      </c>
      <c r="AP13">
        <f ca="1">$L13*HLOOKUP(AP$11,'Time Series'!$C$4:$Z$7,2)*$H13</f>
        <v>0</v>
      </c>
      <c r="AQ13">
        <f ca="1">$L13*HLOOKUP(AQ$11,'Time Series'!$C$4:$Z$7,2)*$H13</f>
        <v>0</v>
      </c>
      <c r="AR13">
        <f ca="1">$L13*HLOOKUP(AR$11,'Time Series'!$C$4:$Z$7,2)*$H13</f>
        <v>0</v>
      </c>
      <c r="AS13">
        <f ca="1">$L13*HLOOKUP(AS$11,'Time Series'!$C$4:$Z$7,2)*$H13</f>
        <v>0</v>
      </c>
    </row>
    <row r="14" spans="1:45">
      <c r="A14" t="str">
        <f t="shared" si="1"/>
        <v>Times Square - Union Square</v>
      </c>
      <c r="B14" s="26" t="s">
        <v>46</v>
      </c>
      <c r="C14" s="19">
        <f t="shared" si="2"/>
        <v>7551</v>
      </c>
      <c r="D14" s="26" t="s">
        <v>50</v>
      </c>
      <c r="E14" s="19">
        <f>105118/24</f>
        <v>4379.916666666667</v>
      </c>
      <c r="F14" s="22">
        <f t="shared" si="3"/>
        <v>5965.4583333333339</v>
      </c>
      <c r="G14" s="21">
        <v>9</v>
      </c>
      <c r="H14" s="22">
        <f t="shared" si="4"/>
        <v>331.4143518518519</v>
      </c>
      <c r="I14" s="28">
        <v>3</v>
      </c>
      <c r="J14" s="2">
        <v>6.8</v>
      </c>
      <c r="K14" s="4">
        <v>1</v>
      </c>
      <c r="L14" s="4">
        <v>2</v>
      </c>
      <c r="M14" s="19"/>
      <c r="N14" s="18"/>
      <c r="P14" s="10">
        <v>5</v>
      </c>
      <c r="Q14" s="5">
        <v>5</v>
      </c>
      <c r="R14" s="5">
        <v>0</v>
      </c>
      <c r="S14" s="5">
        <v>0</v>
      </c>
      <c r="T14" s="5">
        <v>0</v>
      </c>
      <c r="U14" s="11">
        <v>0</v>
      </c>
      <c r="X14">
        <f ca="1">$J14+HLOOKUP(X$11,'Time Series'!$C$4:$Z$7,4)</f>
        <v>11.8</v>
      </c>
      <c r="Y14">
        <f ca="1">$J14+HLOOKUP(Y$11,'Time Series'!$C$4:$Z$7,4)</f>
        <v>11.8</v>
      </c>
      <c r="Z14">
        <f ca="1">$J14+HLOOKUP(Z$11,'Time Series'!$C$4:$Z$7,4)</f>
        <v>16.8</v>
      </c>
      <c r="AA14">
        <f ca="1">$J14+HLOOKUP(AA$11,'Time Series'!$C$4:$Z$7,4)</f>
        <v>16.8</v>
      </c>
      <c r="AB14">
        <f ca="1">$J14+HLOOKUP(AB$11,'Time Series'!$C$4:$Z$7,4)</f>
        <v>16.8</v>
      </c>
      <c r="AC14">
        <f ca="1">$J14+HLOOKUP(AC$11,'Time Series'!$C$4:$Z$7,4)</f>
        <v>16.8</v>
      </c>
      <c r="AF14">
        <f ca="1">$K14*HLOOKUP(AF$11,'Time Series'!$C$4:$Z$7,3)*$H14</f>
        <v>1988.4861111111113</v>
      </c>
      <c r="AG14">
        <f ca="1">$K14*HLOOKUP(AG$11,'Time Series'!$C$4:$Z$7,3)*$H14</f>
        <v>1988.4861111111113</v>
      </c>
      <c r="AH14">
        <f ca="1">$K14*HLOOKUP(AH$11,'Time Series'!$C$4:$Z$7,3)*$H14</f>
        <v>2651.3148148148152</v>
      </c>
      <c r="AI14">
        <f ca="1">$K14*HLOOKUP(AI$11,'Time Series'!$C$4:$Z$7,3)*$H14</f>
        <v>2982.729166666667</v>
      </c>
      <c r="AJ14">
        <f ca="1">$K14*HLOOKUP(AJ$11,'Time Series'!$C$4:$Z$7,3)*$H14</f>
        <v>2982.729166666667</v>
      </c>
      <c r="AK14">
        <f ca="1">$K14*HLOOKUP(AK$11,'Time Series'!$C$4:$Z$7,3)*$H14</f>
        <v>2982.729166666667</v>
      </c>
      <c r="AN14">
        <f ca="1">$L14*HLOOKUP(AN$11,'Time Series'!$C$4:$Z$7,2)*$H14</f>
        <v>6628.2870370370383</v>
      </c>
      <c r="AO14">
        <f ca="1">$L14*HLOOKUP(AO$11,'Time Series'!$C$4:$Z$7,2)*$H14</f>
        <v>6628.2870370370383</v>
      </c>
      <c r="AP14">
        <f ca="1">$L14*HLOOKUP(AP$11,'Time Series'!$C$4:$Z$7,2)*$H14</f>
        <v>4639.800925925927</v>
      </c>
      <c r="AQ14">
        <f ca="1">$L14*HLOOKUP(AQ$11,'Time Series'!$C$4:$Z$7,2)*$H14</f>
        <v>1988.4861111111113</v>
      </c>
      <c r="AR14">
        <f ca="1">$L14*HLOOKUP(AR$11,'Time Series'!$C$4:$Z$7,2)*$H14</f>
        <v>1988.4861111111113</v>
      </c>
      <c r="AS14">
        <f ca="1">$L14*HLOOKUP(AS$11,'Time Series'!$C$4:$Z$7,2)*$H14</f>
        <v>1988.4861111111113</v>
      </c>
    </row>
    <row r="15" spans="1:45">
      <c r="A15" t="str">
        <f t="shared" si="1"/>
        <v>Times Square - Fulton St.</v>
      </c>
      <c r="B15" s="26" t="s">
        <v>46</v>
      </c>
      <c r="C15" s="19">
        <f t="shared" si="2"/>
        <v>7551</v>
      </c>
      <c r="D15" s="26" t="s">
        <v>21</v>
      </c>
      <c r="E15" s="19">
        <f>65635/24</f>
        <v>2734.7916666666665</v>
      </c>
      <c r="F15" s="22">
        <f t="shared" si="3"/>
        <v>5142.895833333333</v>
      </c>
      <c r="G15" s="21">
        <v>9</v>
      </c>
      <c r="H15" s="22">
        <f t="shared" si="4"/>
        <v>285.71643518518516</v>
      </c>
      <c r="I15" s="28">
        <v>4</v>
      </c>
      <c r="J15" s="2">
        <v>15.5</v>
      </c>
      <c r="K15" s="4">
        <v>2</v>
      </c>
      <c r="L15" s="4">
        <v>0</v>
      </c>
      <c r="M15" s="19"/>
      <c r="N15" s="18"/>
      <c r="P15" s="10">
        <v>0</v>
      </c>
      <c r="Q15" s="5">
        <v>0</v>
      </c>
      <c r="R15" s="5">
        <v>0</v>
      </c>
      <c r="S15" s="5">
        <v>0</v>
      </c>
      <c r="T15" s="5">
        <v>0</v>
      </c>
      <c r="U15" s="11">
        <v>0</v>
      </c>
      <c r="X15">
        <f ca="1">$J15+HLOOKUP(X$11,'Time Series'!$C$4:$Z$7,4)</f>
        <v>20.5</v>
      </c>
      <c r="Y15">
        <f ca="1">$J15+HLOOKUP(Y$11,'Time Series'!$C$4:$Z$7,4)</f>
        <v>20.5</v>
      </c>
      <c r="Z15">
        <f ca="1">$J15+HLOOKUP(Z$11,'Time Series'!$C$4:$Z$7,4)</f>
        <v>25.5</v>
      </c>
      <c r="AA15">
        <f ca="1">$J15+HLOOKUP(AA$11,'Time Series'!$C$4:$Z$7,4)</f>
        <v>25.5</v>
      </c>
      <c r="AB15">
        <f ca="1">$J15+HLOOKUP(AB$11,'Time Series'!$C$4:$Z$7,4)</f>
        <v>25.5</v>
      </c>
      <c r="AC15">
        <f ca="1">$J15+HLOOKUP(AC$11,'Time Series'!$C$4:$Z$7,4)</f>
        <v>25.5</v>
      </c>
      <c r="AF15">
        <f ca="1">$K15*HLOOKUP(AF$11,'Time Series'!$C$4:$Z$7,3)*$H15</f>
        <v>3428.5972222222217</v>
      </c>
      <c r="AG15">
        <f ca="1">$K15*HLOOKUP(AG$11,'Time Series'!$C$4:$Z$7,3)*$H15</f>
        <v>3428.5972222222217</v>
      </c>
      <c r="AH15">
        <f ca="1">$K15*HLOOKUP(AH$11,'Time Series'!$C$4:$Z$7,3)*$H15</f>
        <v>4571.4629629629626</v>
      </c>
      <c r="AI15">
        <f ca="1">$K15*HLOOKUP(AI$11,'Time Series'!$C$4:$Z$7,3)*$H15</f>
        <v>5142.895833333333</v>
      </c>
      <c r="AJ15">
        <f ca="1">$K15*HLOOKUP(AJ$11,'Time Series'!$C$4:$Z$7,3)*$H15</f>
        <v>5142.895833333333</v>
      </c>
      <c r="AK15">
        <f ca="1">$K15*HLOOKUP(AK$11,'Time Series'!$C$4:$Z$7,3)*$H15</f>
        <v>5142.895833333333</v>
      </c>
      <c r="AN15">
        <f ca="1">$L15*HLOOKUP(AN$11,'Time Series'!$C$4:$Z$7,2)*$H15</f>
        <v>0</v>
      </c>
      <c r="AO15">
        <f ca="1">$L15*HLOOKUP(AO$11,'Time Series'!$C$4:$Z$7,2)*$H15</f>
        <v>0</v>
      </c>
      <c r="AP15">
        <f ca="1">$L15*HLOOKUP(AP$11,'Time Series'!$C$4:$Z$7,2)*$H15</f>
        <v>0</v>
      </c>
      <c r="AQ15">
        <f ca="1">$L15*HLOOKUP(AQ$11,'Time Series'!$C$4:$Z$7,2)*$H15</f>
        <v>0</v>
      </c>
      <c r="AR15">
        <f ca="1">$L15*HLOOKUP(AR$11,'Time Series'!$C$4:$Z$7,2)*$H15</f>
        <v>0</v>
      </c>
      <c r="AS15">
        <f ca="1">$L15*HLOOKUP(AS$11,'Time Series'!$C$4:$Z$7,2)*$H15</f>
        <v>0</v>
      </c>
    </row>
    <row r="16" spans="1:45">
      <c r="A16" t="str">
        <f t="shared" si="1"/>
        <v>Times Square - Canal St.</v>
      </c>
      <c r="B16" s="26" t="s">
        <v>46</v>
      </c>
      <c r="C16" s="19">
        <f t="shared" si="2"/>
        <v>7551</v>
      </c>
      <c r="D16" s="26" t="s">
        <v>22</v>
      </c>
      <c r="E16" s="19">
        <f>46450/24</f>
        <v>1935.4166666666667</v>
      </c>
      <c r="F16" s="22">
        <f t="shared" si="3"/>
        <v>4743.208333333333</v>
      </c>
      <c r="G16" s="21">
        <v>9</v>
      </c>
      <c r="H16" s="22">
        <f t="shared" si="4"/>
        <v>263.51157407407408</v>
      </c>
      <c r="I16" s="28">
        <v>5</v>
      </c>
      <c r="J16" s="2">
        <v>9</v>
      </c>
      <c r="K16" s="4">
        <v>3</v>
      </c>
      <c r="L16" s="4">
        <v>0</v>
      </c>
      <c r="M16" s="19"/>
      <c r="N16" s="18"/>
      <c r="P16" s="10">
        <v>0</v>
      </c>
      <c r="Q16" s="5">
        <v>0</v>
      </c>
      <c r="R16" s="5">
        <v>0</v>
      </c>
      <c r="S16" s="5">
        <v>0</v>
      </c>
      <c r="T16" s="5">
        <v>0</v>
      </c>
      <c r="U16" s="11">
        <v>0</v>
      </c>
      <c r="X16">
        <f ca="1">$J16+HLOOKUP(X$11,'Time Series'!$C$4:$Z$7,4)</f>
        <v>14</v>
      </c>
      <c r="Y16">
        <f ca="1">$J16+HLOOKUP(Y$11,'Time Series'!$C$4:$Z$7,4)</f>
        <v>14</v>
      </c>
      <c r="Z16">
        <f ca="1">$J16+HLOOKUP(Z$11,'Time Series'!$C$4:$Z$7,4)</f>
        <v>19</v>
      </c>
      <c r="AA16">
        <f ca="1">$J16+HLOOKUP(AA$11,'Time Series'!$C$4:$Z$7,4)</f>
        <v>19</v>
      </c>
      <c r="AB16">
        <f ca="1">$J16+HLOOKUP(AB$11,'Time Series'!$C$4:$Z$7,4)</f>
        <v>19</v>
      </c>
      <c r="AC16">
        <f ca="1">$J16+HLOOKUP(AC$11,'Time Series'!$C$4:$Z$7,4)</f>
        <v>19</v>
      </c>
      <c r="AF16">
        <f ca="1">$K16*HLOOKUP(AF$11,'Time Series'!$C$4:$Z$7,3)*$H16</f>
        <v>4743.208333333333</v>
      </c>
      <c r="AG16">
        <f ca="1">$K16*HLOOKUP(AG$11,'Time Series'!$C$4:$Z$7,3)*$H16</f>
        <v>4743.208333333333</v>
      </c>
      <c r="AH16">
        <f ca="1">$K16*HLOOKUP(AH$11,'Time Series'!$C$4:$Z$7,3)*$H16</f>
        <v>6324.2777777777774</v>
      </c>
      <c r="AI16">
        <f ca="1">$K16*HLOOKUP(AI$11,'Time Series'!$C$4:$Z$7,3)*$H16</f>
        <v>7114.8125</v>
      </c>
      <c r="AJ16">
        <f ca="1">$K16*HLOOKUP(AJ$11,'Time Series'!$C$4:$Z$7,3)*$H16</f>
        <v>7114.8125</v>
      </c>
      <c r="AK16">
        <f ca="1">$K16*HLOOKUP(AK$11,'Time Series'!$C$4:$Z$7,3)*$H16</f>
        <v>7114.8125</v>
      </c>
      <c r="AN16">
        <f ca="1">$L16*HLOOKUP(AN$11,'Time Series'!$C$4:$Z$7,2)*$H16</f>
        <v>0</v>
      </c>
      <c r="AO16">
        <f ca="1">$L16*HLOOKUP(AO$11,'Time Series'!$C$4:$Z$7,2)*$H16</f>
        <v>0</v>
      </c>
      <c r="AP16">
        <f ca="1">$L16*HLOOKUP(AP$11,'Time Series'!$C$4:$Z$7,2)*$H16</f>
        <v>0</v>
      </c>
      <c r="AQ16">
        <f ca="1">$L16*HLOOKUP(AQ$11,'Time Series'!$C$4:$Z$7,2)*$H16</f>
        <v>0</v>
      </c>
      <c r="AR16">
        <f ca="1">$L16*HLOOKUP(AR$11,'Time Series'!$C$4:$Z$7,2)*$H16</f>
        <v>0</v>
      </c>
      <c r="AS16">
        <f ca="1">$L16*HLOOKUP(AS$11,'Time Series'!$C$4:$Z$7,2)*$H16</f>
        <v>0</v>
      </c>
    </row>
    <row r="17" spans="1:45">
      <c r="A17" t="str">
        <f t="shared" si="1"/>
        <v>Times Square - Columbus Circle</v>
      </c>
      <c r="B17" s="26" t="s">
        <v>46</v>
      </c>
      <c r="C17" s="19">
        <f t="shared" si="2"/>
        <v>7551</v>
      </c>
      <c r="D17" s="26" t="s">
        <v>23</v>
      </c>
      <c r="E17" s="20">
        <f>65376/24</f>
        <v>2724</v>
      </c>
      <c r="F17" s="22">
        <f t="shared" si="3"/>
        <v>5137.5</v>
      </c>
      <c r="G17" s="21">
        <v>9</v>
      </c>
      <c r="H17" s="22">
        <f t="shared" si="4"/>
        <v>285.41666666666669</v>
      </c>
      <c r="I17" s="28">
        <v>6</v>
      </c>
      <c r="J17" s="2">
        <v>3.7</v>
      </c>
      <c r="K17" s="4">
        <v>2</v>
      </c>
      <c r="L17" s="4">
        <v>0</v>
      </c>
      <c r="M17" s="19"/>
      <c r="N17" s="18"/>
      <c r="P17" s="10">
        <v>0</v>
      </c>
      <c r="Q17" s="5">
        <v>0</v>
      </c>
      <c r="R17" s="5">
        <v>0</v>
      </c>
      <c r="S17" s="5">
        <v>0</v>
      </c>
      <c r="T17" s="5">
        <v>0</v>
      </c>
      <c r="U17" s="11">
        <v>0</v>
      </c>
      <c r="W17" t="s">
        <v>31</v>
      </c>
      <c r="X17">
        <f ca="1">$J17+HLOOKUP(X$11,'Time Series'!$C$4:$Z$7,4)</f>
        <v>8.6999999999999993</v>
      </c>
      <c r="Y17">
        <f ca="1">$J17+HLOOKUP(Y$11,'Time Series'!$C$4:$Z$7,4)</f>
        <v>8.6999999999999993</v>
      </c>
      <c r="Z17">
        <f ca="1">$J17+HLOOKUP(Z$11,'Time Series'!$C$4:$Z$7,4)</f>
        <v>13.7</v>
      </c>
      <c r="AA17">
        <f ca="1">$J17+HLOOKUP(AA$11,'Time Series'!$C$4:$Z$7,4)</f>
        <v>13.7</v>
      </c>
      <c r="AB17">
        <f ca="1">$J17+HLOOKUP(AB$11,'Time Series'!$C$4:$Z$7,4)</f>
        <v>13.7</v>
      </c>
      <c r="AC17">
        <f ca="1">$J17+HLOOKUP(AC$11,'Time Series'!$C$4:$Z$7,4)</f>
        <v>13.7</v>
      </c>
      <c r="AF17">
        <f ca="1">$K17*HLOOKUP(AF$11,'Time Series'!$C$4:$Z$7,3)*$H17</f>
        <v>3425</v>
      </c>
      <c r="AG17">
        <f ca="1">$K17*HLOOKUP(AG$11,'Time Series'!$C$4:$Z$7,3)*$H17</f>
        <v>3425</v>
      </c>
      <c r="AH17">
        <f ca="1">$K17*HLOOKUP(AH$11,'Time Series'!$C$4:$Z$7,3)*$H17</f>
        <v>4566.666666666667</v>
      </c>
      <c r="AI17">
        <f ca="1">$K17*HLOOKUP(AI$11,'Time Series'!$C$4:$Z$7,3)*$H17</f>
        <v>5137.5</v>
      </c>
      <c r="AJ17">
        <f ca="1">$K17*HLOOKUP(AJ$11,'Time Series'!$C$4:$Z$7,3)*$H17</f>
        <v>5137.5</v>
      </c>
      <c r="AK17">
        <f ca="1">$K17*HLOOKUP(AK$11,'Time Series'!$C$4:$Z$7,3)*$H17</f>
        <v>5137.5</v>
      </c>
      <c r="AN17">
        <f ca="1">$L17*HLOOKUP(AN$11,'Time Series'!$C$4:$Z$7,2)*$H17</f>
        <v>0</v>
      </c>
      <c r="AO17">
        <f ca="1">$L17*HLOOKUP(AO$11,'Time Series'!$C$4:$Z$7,2)*$H17</f>
        <v>0</v>
      </c>
      <c r="AP17">
        <f ca="1">$L17*HLOOKUP(AP$11,'Time Series'!$C$4:$Z$7,2)*$H17</f>
        <v>0</v>
      </c>
      <c r="AQ17">
        <f ca="1">$L17*HLOOKUP(AQ$11,'Time Series'!$C$4:$Z$7,2)*$H17</f>
        <v>0</v>
      </c>
      <c r="AR17">
        <f ca="1">$L17*HLOOKUP(AR$11,'Time Series'!$C$4:$Z$7,2)*$H17</f>
        <v>0</v>
      </c>
      <c r="AS17">
        <f ca="1">$L17*HLOOKUP(AS$11,'Time Series'!$C$4:$Z$7,2)*$H17</f>
        <v>0</v>
      </c>
    </row>
    <row r="18" spans="1:45">
      <c r="A18" t="str">
        <f t="shared" si="1"/>
        <v>Times Square - 59th St.</v>
      </c>
      <c r="B18" s="26" t="s">
        <v>46</v>
      </c>
      <c r="C18" s="19">
        <f t="shared" si="2"/>
        <v>7551</v>
      </c>
      <c r="D18" s="26" t="s">
        <v>24</v>
      </c>
      <c r="E18" s="20">
        <f>61403/24</f>
        <v>2558.4583333333335</v>
      </c>
      <c r="F18" s="22">
        <f t="shared" si="3"/>
        <v>5054.729166666667</v>
      </c>
      <c r="G18" s="21">
        <v>9</v>
      </c>
      <c r="H18" s="22">
        <f t="shared" si="4"/>
        <v>280.81828703703707</v>
      </c>
      <c r="I18" s="28">
        <v>8</v>
      </c>
      <c r="J18" s="2">
        <v>8.1999999999999993</v>
      </c>
      <c r="K18" s="4">
        <v>1</v>
      </c>
      <c r="L18" s="4">
        <v>1</v>
      </c>
      <c r="M18" s="19"/>
      <c r="N18" s="18"/>
      <c r="P18" s="10">
        <v>0</v>
      </c>
      <c r="Q18" s="5">
        <v>0</v>
      </c>
      <c r="R18" s="5">
        <v>0</v>
      </c>
      <c r="S18" s="5">
        <v>0</v>
      </c>
      <c r="T18" s="5">
        <v>0</v>
      </c>
      <c r="U18" s="11">
        <v>0</v>
      </c>
      <c r="X18">
        <f ca="1">$J18+HLOOKUP(X$11,'Time Series'!$C$4:$Z$7,4)</f>
        <v>13.2</v>
      </c>
      <c r="Y18">
        <f ca="1">$J18+HLOOKUP(Y$11,'Time Series'!$C$4:$Z$7,4)</f>
        <v>13.2</v>
      </c>
      <c r="Z18">
        <f ca="1">$J18+HLOOKUP(Z$11,'Time Series'!$C$4:$Z$7,4)</f>
        <v>18.2</v>
      </c>
      <c r="AA18">
        <f ca="1">$J18+HLOOKUP(AA$11,'Time Series'!$C$4:$Z$7,4)</f>
        <v>18.2</v>
      </c>
      <c r="AB18">
        <f ca="1">$J18+HLOOKUP(AB$11,'Time Series'!$C$4:$Z$7,4)</f>
        <v>18.2</v>
      </c>
      <c r="AC18">
        <f ca="1">$J18+HLOOKUP(AC$11,'Time Series'!$C$4:$Z$7,4)</f>
        <v>18.2</v>
      </c>
      <c r="AF18">
        <f ca="1">$K18*HLOOKUP(AF$11,'Time Series'!$C$4:$Z$7,3)*$H18</f>
        <v>1684.9097222222224</v>
      </c>
      <c r="AG18">
        <f ca="1">$K18*HLOOKUP(AG$11,'Time Series'!$C$4:$Z$7,3)*$H18</f>
        <v>1684.9097222222224</v>
      </c>
      <c r="AH18">
        <f ca="1">$K18*HLOOKUP(AH$11,'Time Series'!$C$4:$Z$7,3)*$H18</f>
        <v>2246.5462962962965</v>
      </c>
      <c r="AI18">
        <f ca="1">$K18*HLOOKUP(AI$11,'Time Series'!$C$4:$Z$7,3)*$H18</f>
        <v>2527.3645833333335</v>
      </c>
      <c r="AJ18">
        <f ca="1">$K18*HLOOKUP(AJ$11,'Time Series'!$C$4:$Z$7,3)*$H18</f>
        <v>2527.3645833333335</v>
      </c>
      <c r="AK18">
        <f ca="1">$K18*HLOOKUP(AK$11,'Time Series'!$C$4:$Z$7,3)*$H18</f>
        <v>2527.3645833333335</v>
      </c>
      <c r="AN18">
        <f ca="1">$L18*HLOOKUP(AN$11,'Time Series'!$C$4:$Z$7,2)*$H18</f>
        <v>2808.1828703703704</v>
      </c>
      <c r="AO18">
        <f ca="1">$L18*HLOOKUP(AO$11,'Time Series'!$C$4:$Z$7,2)*$H18</f>
        <v>2808.1828703703704</v>
      </c>
      <c r="AP18">
        <f ca="1">$L18*HLOOKUP(AP$11,'Time Series'!$C$4:$Z$7,2)*$H18</f>
        <v>1965.7280092592596</v>
      </c>
      <c r="AQ18">
        <f ca="1">$L18*HLOOKUP(AQ$11,'Time Series'!$C$4:$Z$7,2)*$H18</f>
        <v>842.4548611111112</v>
      </c>
      <c r="AR18">
        <f ca="1">$L18*HLOOKUP(AR$11,'Time Series'!$C$4:$Z$7,2)*$H18</f>
        <v>842.4548611111112</v>
      </c>
      <c r="AS18">
        <f ca="1">$L18*HLOOKUP(AS$11,'Time Series'!$C$4:$Z$7,2)*$H18</f>
        <v>842.4548611111112</v>
      </c>
    </row>
    <row r="19" spans="1:45">
      <c r="A19" t="str">
        <f t="shared" si="1"/>
        <v>Grand Central - Union Square</v>
      </c>
      <c r="B19" s="26" t="s">
        <v>20</v>
      </c>
      <c r="C19" s="19">
        <f>144904/24</f>
        <v>6037.666666666667</v>
      </c>
      <c r="D19" s="26" t="s">
        <v>50</v>
      </c>
      <c r="E19" s="19">
        <f>105118/24</f>
        <v>4379.916666666667</v>
      </c>
      <c r="F19" s="22">
        <f t="shared" si="3"/>
        <v>5208.791666666667</v>
      </c>
      <c r="G19" s="21">
        <v>6</v>
      </c>
      <c r="H19" s="22">
        <f t="shared" si="4"/>
        <v>434.06597222222223</v>
      </c>
      <c r="I19" s="28">
        <v>9</v>
      </c>
      <c r="J19" s="2">
        <v>6.6</v>
      </c>
      <c r="K19" s="4">
        <v>1</v>
      </c>
      <c r="L19" s="4">
        <v>1</v>
      </c>
      <c r="M19" s="19"/>
      <c r="N19" s="18"/>
      <c r="P19" s="10">
        <v>0</v>
      </c>
      <c r="Q19" s="5">
        <v>0</v>
      </c>
      <c r="R19" s="5">
        <v>0</v>
      </c>
      <c r="S19" s="5">
        <v>0</v>
      </c>
      <c r="T19" s="5">
        <v>0</v>
      </c>
      <c r="U19" s="11">
        <v>0</v>
      </c>
      <c r="X19">
        <f ca="1">$J19+HLOOKUP(X$11,'Time Series'!$C$4:$Z$7,4)</f>
        <v>11.6</v>
      </c>
      <c r="Y19">
        <f ca="1">$J19+HLOOKUP(Y$11,'Time Series'!$C$4:$Z$7,4)</f>
        <v>11.6</v>
      </c>
      <c r="Z19">
        <f ca="1">$J19+HLOOKUP(Z$11,'Time Series'!$C$4:$Z$7,4)</f>
        <v>16.600000000000001</v>
      </c>
      <c r="AA19">
        <f ca="1">$J19+HLOOKUP(AA$11,'Time Series'!$C$4:$Z$7,4)</f>
        <v>16.600000000000001</v>
      </c>
      <c r="AB19">
        <f ca="1">$J19+HLOOKUP(AB$11,'Time Series'!$C$4:$Z$7,4)</f>
        <v>16.600000000000001</v>
      </c>
      <c r="AC19">
        <f ca="1">$J19+HLOOKUP(AC$11,'Time Series'!$C$4:$Z$7,4)</f>
        <v>16.600000000000001</v>
      </c>
      <c r="AF19">
        <f ca="1">$K19*HLOOKUP(AF$11,'Time Series'!$C$4:$Z$7,3)*$H19</f>
        <v>2604.3958333333335</v>
      </c>
      <c r="AG19">
        <f ca="1">$K19*HLOOKUP(AG$11,'Time Series'!$C$4:$Z$7,3)*$H19</f>
        <v>2604.3958333333335</v>
      </c>
      <c r="AH19">
        <f ca="1">$K19*HLOOKUP(AH$11,'Time Series'!$C$4:$Z$7,3)*$H19</f>
        <v>3472.5277777777778</v>
      </c>
      <c r="AI19">
        <f ca="1">$K19*HLOOKUP(AI$11,'Time Series'!$C$4:$Z$7,3)*$H19</f>
        <v>3906.59375</v>
      </c>
      <c r="AJ19">
        <f ca="1">$K19*HLOOKUP(AJ$11,'Time Series'!$C$4:$Z$7,3)*$H19</f>
        <v>3906.59375</v>
      </c>
      <c r="AK19">
        <f ca="1">$K19*HLOOKUP(AK$11,'Time Series'!$C$4:$Z$7,3)*$H19</f>
        <v>3906.59375</v>
      </c>
      <c r="AN19">
        <f ca="1">$L19*HLOOKUP(AN$11,'Time Series'!$C$4:$Z$7,2)*$H19</f>
        <v>4340.6597222222226</v>
      </c>
      <c r="AO19">
        <f ca="1">$L19*HLOOKUP(AO$11,'Time Series'!$C$4:$Z$7,2)*$H19</f>
        <v>4340.6597222222226</v>
      </c>
      <c r="AP19">
        <f ca="1">$L19*HLOOKUP(AP$11,'Time Series'!$C$4:$Z$7,2)*$H19</f>
        <v>3038.4618055555557</v>
      </c>
      <c r="AQ19">
        <f ca="1">$L19*HLOOKUP(AQ$11,'Time Series'!$C$4:$Z$7,2)*$H19</f>
        <v>1302.1979166666667</v>
      </c>
      <c r="AR19">
        <f ca="1">$L19*HLOOKUP(AR$11,'Time Series'!$C$4:$Z$7,2)*$H19</f>
        <v>1302.1979166666667</v>
      </c>
      <c r="AS19">
        <f ca="1">$L19*HLOOKUP(AS$11,'Time Series'!$C$4:$Z$7,2)*$H19</f>
        <v>1302.1979166666667</v>
      </c>
    </row>
    <row r="20" spans="1:45">
      <c r="A20" t="str">
        <f t="shared" si="1"/>
        <v>Grand Central - B'way - Lafayette</v>
      </c>
      <c r="B20" s="26" t="s">
        <v>20</v>
      </c>
      <c r="C20" s="19">
        <f>144904/24</f>
        <v>6037.666666666667</v>
      </c>
      <c r="D20" s="26" t="s">
        <v>51</v>
      </c>
      <c r="E20" s="19">
        <f>32489/24</f>
        <v>1353.7083333333333</v>
      </c>
      <c r="F20" s="22">
        <f t="shared" si="3"/>
        <v>3695.6875</v>
      </c>
      <c r="G20" s="21">
        <v>6</v>
      </c>
      <c r="H20" s="22">
        <f t="shared" si="4"/>
        <v>307.97395833333331</v>
      </c>
      <c r="I20" s="28">
        <v>10</v>
      </c>
      <c r="J20" s="2">
        <v>9.8000000000000007</v>
      </c>
      <c r="K20" s="4">
        <v>3</v>
      </c>
      <c r="L20" s="4">
        <v>0</v>
      </c>
      <c r="M20" s="19"/>
      <c r="N20" s="18"/>
      <c r="P20" s="10">
        <v>0</v>
      </c>
      <c r="Q20" s="5">
        <v>0</v>
      </c>
      <c r="R20" s="5">
        <v>0</v>
      </c>
      <c r="S20" s="5">
        <v>0</v>
      </c>
      <c r="T20" s="5">
        <v>0</v>
      </c>
      <c r="U20" s="11">
        <v>0</v>
      </c>
      <c r="X20">
        <f ca="1">$J20+HLOOKUP(X$11,'Time Series'!$C$4:$Z$7,4)</f>
        <v>14.8</v>
      </c>
      <c r="Y20">
        <f ca="1">$J20+HLOOKUP(Y$11,'Time Series'!$C$4:$Z$7,4)</f>
        <v>14.8</v>
      </c>
      <c r="Z20">
        <f ca="1">$J20+HLOOKUP(Z$11,'Time Series'!$C$4:$Z$7,4)</f>
        <v>19.8</v>
      </c>
      <c r="AA20">
        <f ca="1">$J20+HLOOKUP(AA$11,'Time Series'!$C$4:$Z$7,4)</f>
        <v>19.8</v>
      </c>
      <c r="AB20">
        <f ca="1">$J20+HLOOKUP(AB$11,'Time Series'!$C$4:$Z$7,4)</f>
        <v>19.8</v>
      </c>
      <c r="AC20">
        <f ca="1">$J20+HLOOKUP(AC$11,'Time Series'!$C$4:$Z$7,4)</f>
        <v>19.8</v>
      </c>
      <c r="AF20">
        <f ca="1">$K20*HLOOKUP(AF$11,'Time Series'!$C$4:$Z$7,3)*$H20</f>
        <v>5543.53125</v>
      </c>
      <c r="AG20">
        <f ca="1">$K20*HLOOKUP(AG$11,'Time Series'!$C$4:$Z$7,3)*$H20</f>
        <v>5543.53125</v>
      </c>
      <c r="AH20">
        <f ca="1">$K20*HLOOKUP(AH$11,'Time Series'!$C$4:$Z$7,3)*$H20</f>
        <v>7391.375</v>
      </c>
      <c r="AI20">
        <f ca="1">$K20*HLOOKUP(AI$11,'Time Series'!$C$4:$Z$7,3)*$H20</f>
        <v>8315.296875</v>
      </c>
      <c r="AJ20">
        <f ca="1">$K20*HLOOKUP(AJ$11,'Time Series'!$C$4:$Z$7,3)*$H20</f>
        <v>8315.296875</v>
      </c>
      <c r="AK20">
        <f ca="1">$K20*HLOOKUP(AK$11,'Time Series'!$C$4:$Z$7,3)*$H20</f>
        <v>8315.296875</v>
      </c>
      <c r="AN20">
        <f ca="1">$L20*HLOOKUP(AN$11,'Time Series'!$C$4:$Z$7,2)*$H20</f>
        <v>0</v>
      </c>
      <c r="AO20">
        <f ca="1">$L20*HLOOKUP(AO$11,'Time Series'!$C$4:$Z$7,2)*$H20</f>
        <v>0</v>
      </c>
      <c r="AP20">
        <f ca="1">$L20*HLOOKUP(AP$11,'Time Series'!$C$4:$Z$7,2)*$H20</f>
        <v>0</v>
      </c>
      <c r="AQ20">
        <f ca="1">$L20*HLOOKUP(AQ$11,'Time Series'!$C$4:$Z$7,2)*$H20</f>
        <v>0</v>
      </c>
      <c r="AR20">
        <f ca="1">$L20*HLOOKUP(AR$11,'Time Series'!$C$4:$Z$7,2)*$H20</f>
        <v>0</v>
      </c>
      <c r="AS20">
        <f ca="1">$L20*HLOOKUP(AS$11,'Time Series'!$C$4:$Z$7,2)*$H20</f>
        <v>0</v>
      </c>
    </row>
    <row r="21" spans="1:45">
      <c r="A21" t="str">
        <f t="shared" si="1"/>
        <v>Grand Central - Fulton St.</v>
      </c>
      <c r="B21" s="26" t="s">
        <v>20</v>
      </c>
      <c r="C21" s="19">
        <f>144904/24</f>
        <v>6037.666666666667</v>
      </c>
      <c r="D21" s="26" t="s">
        <v>21</v>
      </c>
      <c r="E21" s="20">
        <f>61403/24</f>
        <v>2558.4583333333335</v>
      </c>
      <c r="F21" s="22">
        <f t="shared" si="3"/>
        <v>4298.0625</v>
      </c>
      <c r="G21" s="21">
        <v>6</v>
      </c>
      <c r="H21" s="22">
        <f t="shared" si="4"/>
        <v>358.171875</v>
      </c>
      <c r="I21" s="28">
        <v>11</v>
      </c>
      <c r="J21" s="2">
        <v>14.9</v>
      </c>
      <c r="K21" s="4">
        <v>1</v>
      </c>
      <c r="L21" s="4">
        <v>0</v>
      </c>
      <c r="M21" s="19"/>
      <c r="N21" s="18"/>
      <c r="P21" s="10">
        <v>0</v>
      </c>
      <c r="Q21" s="5">
        <v>0</v>
      </c>
      <c r="R21" s="5">
        <v>0</v>
      </c>
      <c r="S21" s="5">
        <v>0</v>
      </c>
      <c r="T21" s="5">
        <v>0</v>
      </c>
      <c r="U21" s="11">
        <v>0</v>
      </c>
      <c r="X21">
        <f ca="1">$J21+HLOOKUP(X$11,'Time Series'!$C$4:$Z$7,4)</f>
        <v>19.899999999999999</v>
      </c>
      <c r="Y21">
        <f ca="1">$J21+HLOOKUP(Y$11,'Time Series'!$C$4:$Z$7,4)</f>
        <v>19.899999999999999</v>
      </c>
      <c r="Z21">
        <f ca="1">$J21+HLOOKUP(Z$11,'Time Series'!$C$4:$Z$7,4)</f>
        <v>24.9</v>
      </c>
      <c r="AA21">
        <f ca="1">$J21+HLOOKUP(AA$11,'Time Series'!$C$4:$Z$7,4)</f>
        <v>24.9</v>
      </c>
      <c r="AB21">
        <f ca="1">$J21+HLOOKUP(AB$11,'Time Series'!$C$4:$Z$7,4)</f>
        <v>24.9</v>
      </c>
      <c r="AC21">
        <f ca="1">$J21+HLOOKUP(AC$11,'Time Series'!$C$4:$Z$7,4)</f>
        <v>24.9</v>
      </c>
      <c r="AF21">
        <f ca="1">$K21*HLOOKUP(AF$11,'Time Series'!$C$4:$Z$7,3)*$H21</f>
        <v>2149.03125</v>
      </c>
      <c r="AG21">
        <f ca="1">$K21*HLOOKUP(AG$11,'Time Series'!$C$4:$Z$7,3)*$H21</f>
        <v>2149.03125</v>
      </c>
      <c r="AH21">
        <f ca="1">$K21*HLOOKUP(AH$11,'Time Series'!$C$4:$Z$7,3)*$H21</f>
        <v>2865.375</v>
      </c>
      <c r="AI21">
        <f ca="1">$K21*HLOOKUP(AI$11,'Time Series'!$C$4:$Z$7,3)*$H21</f>
        <v>3223.546875</v>
      </c>
      <c r="AJ21">
        <f ca="1">$K21*HLOOKUP(AJ$11,'Time Series'!$C$4:$Z$7,3)*$H21</f>
        <v>3223.546875</v>
      </c>
      <c r="AK21">
        <f ca="1">$K21*HLOOKUP(AK$11,'Time Series'!$C$4:$Z$7,3)*$H21</f>
        <v>3223.546875</v>
      </c>
      <c r="AN21">
        <f ca="1">$L21*HLOOKUP(AN$11,'Time Series'!$C$4:$Z$7,2)*$H21</f>
        <v>0</v>
      </c>
      <c r="AO21">
        <f ca="1">$L21*HLOOKUP(AO$11,'Time Series'!$C$4:$Z$7,2)*$H21</f>
        <v>0</v>
      </c>
      <c r="AP21">
        <f ca="1">$L21*HLOOKUP(AP$11,'Time Series'!$C$4:$Z$7,2)*$H21</f>
        <v>0</v>
      </c>
      <c r="AQ21">
        <f ca="1">$L21*HLOOKUP(AQ$11,'Time Series'!$C$4:$Z$7,2)*$H21</f>
        <v>0</v>
      </c>
      <c r="AR21">
        <f ca="1">$L21*HLOOKUP(AR$11,'Time Series'!$C$4:$Z$7,2)*$H21</f>
        <v>0</v>
      </c>
      <c r="AS21">
        <f ca="1">$L21*HLOOKUP(AS$11,'Time Series'!$C$4:$Z$7,2)*$H21</f>
        <v>0</v>
      </c>
    </row>
    <row r="22" spans="1:45">
      <c r="A22" t="str">
        <f t="shared" si="1"/>
        <v>Grand Central - Canal St.</v>
      </c>
      <c r="B22" s="26" t="s">
        <v>20</v>
      </c>
      <c r="C22" s="19">
        <f>144904/24</f>
        <v>6037.666666666667</v>
      </c>
      <c r="D22" s="26" t="s">
        <v>22</v>
      </c>
      <c r="E22" s="19">
        <f>46450/24</f>
        <v>1935.4166666666667</v>
      </c>
      <c r="F22" s="22">
        <f t="shared" si="3"/>
        <v>3986.541666666667</v>
      </c>
      <c r="G22" s="21">
        <v>6</v>
      </c>
      <c r="H22" s="22">
        <f t="shared" si="4"/>
        <v>332.2118055555556</v>
      </c>
      <c r="I22" s="28">
        <v>12</v>
      </c>
      <c r="J22" s="2">
        <v>12.9</v>
      </c>
      <c r="K22" s="4">
        <v>3</v>
      </c>
      <c r="L22" s="4">
        <v>0</v>
      </c>
      <c r="M22" s="19"/>
      <c r="N22" s="18"/>
      <c r="P22" s="10">
        <v>0</v>
      </c>
      <c r="Q22" s="5">
        <v>0</v>
      </c>
      <c r="R22" s="5">
        <v>0</v>
      </c>
      <c r="S22" s="5">
        <v>0</v>
      </c>
      <c r="T22" s="5">
        <v>0</v>
      </c>
      <c r="U22" s="11">
        <v>0</v>
      </c>
      <c r="X22">
        <f ca="1">$J22+HLOOKUP(X$11,'Time Series'!$C$4:$Z$7,4)</f>
        <v>17.899999999999999</v>
      </c>
      <c r="Y22">
        <f ca="1">$J22+HLOOKUP(Y$11,'Time Series'!$C$4:$Z$7,4)</f>
        <v>17.899999999999999</v>
      </c>
      <c r="Z22">
        <f ca="1">$J22+HLOOKUP(Z$11,'Time Series'!$C$4:$Z$7,4)</f>
        <v>22.9</v>
      </c>
      <c r="AA22">
        <f ca="1">$J22+HLOOKUP(AA$11,'Time Series'!$C$4:$Z$7,4)</f>
        <v>22.9</v>
      </c>
      <c r="AB22">
        <f ca="1">$J22+HLOOKUP(AB$11,'Time Series'!$C$4:$Z$7,4)</f>
        <v>22.9</v>
      </c>
      <c r="AC22">
        <f ca="1">$J22+HLOOKUP(AC$11,'Time Series'!$C$4:$Z$7,4)</f>
        <v>22.9</v>
      </c>
      <c r="AF22">
        <f ca="1">$K22*HLOOKUP(AF$11,'Time Series'!$C$4:$Z$7,3)*$H22</f>
        <v>5979.8125000000009</v>
      </c>
      <c r="AG22">
        <f ca="1">$K22*HLOOKUP(AG$11,'Time Series'!$C$4:$Z$7,3)*$H22</f>
        <v>5979.8125000000009</v>
      </c>
      <c r="AH22">
        <f ca="1">$K22*HLOOKUP(AH$11,'Time Series'!$C$4:$Z$7,3)*$H22</f>
        <v>7973.0833333333339</v>
      </c>
      <c r="AI22">
        <f ca="1">$K22*HLOOKUP(AI$11,'Time Series'!$C$4:$Z$7,3)*$H22</f>
        <v>8969.7187500000018</v>
      </c>
      <c r="AJ22">
        <f ca="1">$K22*HLOOKUP(AJ$11,'Time Series'!$C$4:$Z$7,3)*$H22</f>
        <v>8969.7187500000018</v>
      </c>
      <c r="AK22">
        <f ca="1">$K22*HLOOKUP(AK$11,'Time Series'!$C$4:$Z$7,3)*$H22</f>
        <v>8969.7187500000018</v>
      </c>
      <c r="AN22">
        <f ca="1">$L22*HLOOKUP(AN$11,'Time Series'!$C$4:$Z$7,2)*$H22</f>
        <v>0</v>
      </c>
      <c r="AO22">
        <f ca="1">$L22*HLOOKUP(AO$11,'Time Series'!$C$4:$Z$7,2)*$H22</f>
        <v>0</v>
      </c>
      <c r="AP22">
        <f ca="1">$L22*HLOOKUP(AP$11,'Time Series'!$C$4:$Z$7,2)*$H22</f>
        <v>0</v>
      </c>
      <c r="AQ22">
        <f ca="1">$L22*HLOOKUP(AQ$11,'Time Series'!$C$4:$Z$7,2)*$H22</f>
        <v>0</v>
      </c>
      <c r="AR22">
        <f ca="1">$L22*HLOOKUP(AR$11,'Time Series'!$C$4:$Z$7,2)*$H22</f>
        <v>0</v>
      </c>
      <c r="AS22">
        <f ca="1">$L22*HLOOKUP(AS$11,'Time Series'!$C$4:$Z$7,2)*$H22</f>
        <v>0</v>
      </c>
    </row>
    <row r="23" spans="1:45">
      <c r="A23" t="str">
        <f t="shared" si="1"/>
        <v>Grand Central - 59th St.</v>
      </c>
      <c r="B23" s="26" t="s">
        <v>20</v>
      </c>
      <c r="C23" s="19">
        <f>144904/24</f>
        <v>6037.666666666667</v>
      </c>
      <c r="D23" s="26" t="s">
        <v>24</v>
      </c>
      <c r="E23" s="20">
        <f>61403/24</f>
        <v>2558.4583333333335</v>
      </c>
      <c r="F23" s="22">
        <f t="shared" si="3"/>
        <v>4298.0625</v>
      </c>
      <c r="G23" s="21">
        <v>6</v>
      </c>
      <c r="H23" s="22">
        <f t="shared" si="4"/>
        <v>358.171875</v>
      </c>
      <c r="I23" s="28">
        <v>13</v>
      </c>
      <c r="J23" s="2">
        <v>3.7</v>
      </c>
      <c r="K23" s="4">
        <v>1</v>
      </c>
      <c r="L23" s="4">
        <v>0</v>
      </c>
      <c r="M23" s="19"/>
      <c r="N23" s="18"/>
      <c r="P23" s="10">
        <v>0</v>
      </c>
      <c r="Q23" s="5">
        <v>0</v>
      </c>
      <c r="R23" s="5">
        <v>0</v>
      </c>
      <c r="S23" s="5">
        <v>0</v>
      </c>
      <c r="T23" s="5">
        <v>0</v>
      </c>
      <c r="U23" s="11">
        <v>0</v>
      </c>
      <c r="X23">
        <f ca="1">$J23+HLOOKUP(X$11,'Time Series'!$C$4:$Z$7,4)</f>
        <v>8.6999999999999993</v>
      </c>
      <c r="Y23">
        <f ca="1">$J23+HLOOKUP(Y$11,'Time Series'!$C$4:$Z$7,4)</f>
        <v>8.6999999999999993</v>
      </c>
      <c r="Z23">
        <f ca="1">$J23+HLOOKUP(Z$11,'Time Series'!$C$4:$Z$7,4)</f>
        <v>13.7</v>
      </c>
      <c r="AA23">
        <f ca="1">$J23+HLOOKUP(AA$11,'Time Series'!$C$4:$Z$7,4)</f>
        <v>13.7</v>
      </c>
      <c r="AB23">
        <f ca="1">$J23+HLOOKUP(AB$11,'Time Series'!$C$4:$Z$7,4)</f>
        <v>13.7</v>
      </c>
      <c r="AC23">
        <f ca="1">$J23+HLOOKUP(AC$11,'Time Series'!$C$4:$Z$7,4)</f>
        <v>13.7</v>
      </c>
      <c r="AF23">
        <f ca="1">$K23*HLOOKUP(AF$11,'Time Series'!$C$4:$Z$7,3)*$H23</f>
        <v>2149.03125</v>
      </c>
      <c r="AG23">
        <f ca="1">$K23*HLOOKUP(AG$11,'Time Series'!$C$4:$Z$7,3)*$H23</f>
        <v>2149.03125</v>
      </c>
      <c r="AH23">
        <f ca="1">$K23*HLOOKUP(AH$11,'Time Series'!$C$4:$Z$7,3)*$H23</f>
        <v>2865.375</v>
      </c>
      <c r="AI23">
        <f ca="1">$K23*HLOOKUP(AI$11,'Time Series'!$C$4:$Z$7,3)*$H23</f>
        <v>3223.546875</v>
      </c>
      <c r="AJ23">
        <f ca="1">$K23*HLOOKUP(AJ$11,'Time Series'!$C$4:$Z$7,3)*$H23</f>
        <v>3223.546875</v>
      </c>
      <c r="AK23">
        <f ca="1">$K23*HLOOKUP(AK$11,'Time Series'!$C$4:$Z$7,3)*$H23</f>
        <v>3223.546875</v>
      </c>
      <c r="AN23">
        <f ca="1">$L23*HLOOKUP(AN$11,'Time Series'!$C$4:$Z$7,2)*$H23</f>
        <v>0</v>
      </c>
      <c r="AO23">
        <f ca="1">$L23*HLOOKUP(AO$11,'Time Series'!$C$4:$Z$7,2)*$H23</f>
        <v>0</v>
      </c>
      <c r="AP23">
        <f ca="1">$L23*HLOOKUP(AP$11,'Time Series'!$C$4:$Z$7,2)*$H23</f>
        <v>0</v>
      </c>
      <c r="AQ23">
        <f ca="1">$L23*HLOOKUP(AQ$11,'Time Series'!$C$4:$Z$7,2)*$H23</f>
        <v>0</v>
      </c>
      <c r="AR23">
        <f ca="1">$L23*HLOOKUP(AR$11,'Time Series'!$C$4:$Z$7,2)*$H23</f>
        <v>0</v>
      </c>
      <c r="AS23">
        <f ca="1">$L23*HLOOKUP(AS$11,'Time Series'!$C$4:$Z$7,2)*$H23</f>
        <v>0</v>
      </c>
    </row>
    <row r="24" spans="1:45">
      <c r="A24" t="str">
        <f t="shared" si="1"/>
        <v>West 4th - Herald Square</v>
      </c>
      <c r="B24" s="26" t="s">
        <v>25</v>
      </c>
      <c r="C24" s="19">
        <f>37304/24</f>
        <v>1554.3333333333333</v>
      </c>
      <c r="D24" s="26" t="s">
        <v>49</v>
      </c>
      <c r="E24" s="19">
        <f>119202/24</f>
        <v>4966.75</v>
      </c>
      <c r="F24" s="22">
        <f t="shared" si="3"/>
        <v>3260.5416666666665</v>
      </c>
      <c r="G24" s="21">
        <v>4</v>
      </c>
      <c r="H24" s="22">
        <f t="shared" si="4"/>
        <v>407.56770833333331</v>
      </c>
      <c r="I24" s="28">
        <v>14</v>
      </c>
      <c r="J24" s="2">
        <v>3.6</v>
      </c>
      <c r="K24" s="4">
        <v>1</v>
      </c>
      <c r="L24" s="4">
        <v>1</v>
      </c>
      <c r="M24" s="19"/>
      <c r="N24" s="18"/>
      <c r="P24" s="10">
        <v>0</v>
      </c>
      <c r="Q24" s="5">
        <v>0</v>
      </c>
      <c r="R24" s="5">
        <v>0</v>
      </c>
      <c r="S24" s="5">
        <v>0</v>
      </c>
      <c r="T24" s="5">
        <v>0</v>
      </c>
      <c r="U24" s="11">
        <v>0</v>
      </c>
      <c r="X24">
        <f ca="1">$J24+HLOOKUP(X$11,'Time Series'!$C$4:$Z$7,4)</f>
        <v>8.6</v>
      </c>
      <c r="Y24">
        <f ca="1">$J24+HLOOKUP(Y$11,'Time Series'!$C$4:$Z$7,4)</f>
        <v>8.6</v>
      </c>
      <c r="Z24">
        <f ca="1">$J24+HLOOKUP(Z$11,'Time Series'!$C$4:$Z$7,4)</f>
        <v>13.6</v>
      </c>
      <c r="AA24">
        <f ca="1">$J24+HLOOKUP(AA$11,'Time Series'!$C$4:$Z$7,4)</f>
        <v>13.6</v>
      </c>
      <c r="AB24">
        <f ca="1">$J24+HLOOKUP(AB$11,'Time Series'!$C$4:$Z$7,4)</f>
        <v>13.6</v>
      </c>
      <c r="AC24">
        <f ca="1">$J24+HLOOKUP(AC$11,'Time Series'!$C$4:$Z$7,4)</f>
        <v>13.6</v>
      </c>
      <c r="AF24">
        <f ca="1">$K24*HLOOKUP(AF$11,'Time Series'!$C$4:$Z$7,3)*$H24</f>
        <v>2445.40625</v>
      </c>
      <c r="AG24">
        <f ca="1">$K24*HLOOKUP(AG$11,'Time Series'!$C$4:$Z$7,3)*$H24</f>
        <v>2445.40625</v>
      </c>
      <c r="AH24">
        <f ca="1">$K24*HLOOKUP(AH$11,'Time Series'!$C$4:$Z$7,3)*$H24</f>
        <v>3260.5416666666665</v>
      </c>
      <c r="AI24">
        <f ca="1">$K24*HLOOKUP(AI$11,'Time Series'!$C$4:$Z$7,3)*$H24</f>
        <v>3668.109375</v>
      </c>
      <c r="AJ24">
        <f ca="1">$K24*HLOOKUP(AJ$11,'Time Series'!$C$4:$Z$7,3)*$H24</f>
        <v>3668.109375</v>
      </c>
      <c r="AK24">
        <f ca="1">$K24*HLOOKUP(AK$11,'Time Series'!$C$4:$Z$7,3)*$H24</f>
        <v>3668.109375</v>
      </c>
      <c r="AN24">
        <f ca="1">$L24*HLOOKUP(AN$11,'Time Series'!$C$4:$Z$7,2)*$H24</f>
        <v>4075.677083333333</v>
      </c>
      <c r="AO24">
        <f ca="1">$L24*HLOOKUP(AO$11,'Time Series'!$C$4:$Z$7,2)*$H24</f>
        <v>4075.677083333333</v>
      </c>
      <c r="AP24">
        <f ca="1">$L24*HLOOKUP(AP$11,'Time Series'!$C$4:$Z$7,2)*$H24</f>
        <v>2852.973958333333</v>
      </c>
      <c r="AQ24">
        <f ca="1">$L24*HLOOKUP(AQ$11,'Time Series'!$C$4:$Z$7,2)*$H24</f>
        <v>1222.703125</v>
      </c>
      <c r="AR24">
        <f ca="1">$L24*HLOOKUP(AR$11,'Time Series'!$C$4:$Z$7,2)*$H24</f>
        <v>1222.703125</v>
      </c>
      <c r="AS24">
        <f ca="1">$L24*HLOOKUP(AS$11,'Time Series'!$C$4:$Z$7,2)*$H24</f>
        <v>1222.703125</v>
      </c>
    </row>
    <row r="25" spans="1:45">
      <c r="A25" t="str">
        <f t="shared" si="1"/>
        <v>West 4th - B'way - Lafayette</v>
      </c>
      <c r="B25" s="26" t="s">
        <v>25</v>
      </c>
      <c r="C25" s="19">
        <f>37304/24</f>
        <v>1554.3333333333333</v>
      </c>
      <c r="D25" s="26" t="s">
        <v>51</v>
      </c>
      <c r="E25" s="19">
        <f>32489/24</f>
        <v>1353.7083333333333</v>
      </c>
      <c r="F25" s="22">
        <f t="shared" si="3"/>
        <v>1454.0208333333333</v>
      </c>
      <c r="G25" s="21">
        <v>4</v>
      </c>
      <c r="H25" s="22">
        <f t="shared" si="4"/>
        <v>181.75260416666666</v>
      </c>
      <c r="I25" s="28">
        <v>15</v>
      </c>
      <c r="J25" s="2">
        <v>1.9</v>
      </c>
      <c r="K25" s="4">
        <v>0</v>
      </c>
      <c r="L25" s="4">
        <v>0</v>
      </c>
      <c r="M25" s="19"/>
      <c r="N25" s="18"/>
      <c r="P25" s="10">
        <v>0</v>
      </c>
      <c r="Q25" s="5">
        <v>0</v>
      </c>
      <c r="R25" s="5">
        <v>0</v>
      </c>
      <c r="S25" s="5">
        <v>0</v>
      </c>
      <c r="T25" s="5">
        <v>0</v>
      </c>
      <c r="U25" s="11">
        <v>0</v>
      </c>
      <c r="X25">
        <f ca="1">$J25+HLOOKUP(X$11,'Time Series'!$C$4:$Z$7,4)</f>
        <v>6.9</v>
      </c>
      <c r="Y25">
        <f ca="1">$J25+HLOOKUP(Y$11,'Time Series'!$C$4:$Z$7,4)</f>
        <v>6.9</v>
      </c>
      <c r="Z25">
        <f ca="1">$J25+HLOOKUP(Z$11,'Time Series'!$C$4:$Z$7,4)</f>
        <v>11.9</v>
      </c>
      <c r="AA25">
        <f ca="1">$J25+HLOOKUP(AA$11,'Time Series'!$C$4:$Z$7,4)</f>
        <v>11.9</v>
      </c>
      <c r="AB25">
        <f ca="1">$J25+HLOOKUP(AB$11,'Time Series'!$C$4:$Z$7,4)</f>
        <v>11.9</v>
      </c>
      <c r="AC25">
        <f ca="1">$J25+HLOOKUP(AC$11,'Time Series'!$C$4:$Z$7,4)</f>
        <v>11.9</v>
      </c>
      <c r="AF25">
        <f ca="1">$K25*HLOOKUP(AF$11,'Time Series'!$C$4:$Z$7,3)*$H25</f>
        <v>0</v>
      </c>
      <c r="AG25">
        <f ca="1">$K25*HLOOKUP(AG$11,'Time Series'!$C$4:$Z$7,3)*$H25</f>
        <v>0</v>
      </c>
      <c r="AH25">
        <f ca="1">$K25*HLOOKUP(AH$11,'Time Series'!$C$4:$Z$7,3)*$H25</f>
        <v>0</v>
      </c>
      <c r="AI25">
        <f ca="1">$K25*HLOOKUP(AI$11,'Time Series'!$C$4:$Z$7,3)*$H25</f>
        <v>0</v>
      </c>
      <c r="AJ25">
        <f ca="1">$K25*HLOOKUP(AJ$11,'Time Series'!$C$4:$Z$7,3)*$H25</f>
        <v>0</v>
      </c>
      <c r="AK25">
        <f ca="1">$K25*HLOOKUP(AK$11,'Time Series'!$C$4:$Z$7,3)*$H25</f>
        <v>0</v>
      </c>
      <c r="AN25">
        <f ca="1">$L25*HLOOKUP(AN$11,'Time Series'!$C$4:$Z$7,2)*$H25</f>
        <v>0</v>
      </c>
      <c r="AO25">
        <f ca="1">$L25*HLOOKUP(AO$11,'Time Series'!$C$4:$Z$7,2)*$H25</f>
        <v>0</v>
      </c>
      <c r="AP25">
        <f ca="1">$L25*HLOOKUP(AP$11,'Time Series'!$C$4:$Z$7,2)*$H25</f>
        <v>0</v>
      </c>
      <c r="AQ25">
        <f ca="1">$L25*HLOOKUP(AQ$11,'Time Series'!$C$4:$Z$7,2)*$H25</f>
        <v>0</v>
      </c>
      <c r="AR25">
        <f ca="1">$L25*HLOOKUP(AR$11,'Time Series'!$C$4:$Z$7,2)*$H25</f>
        <v>0</v>
      </c>
      <c r="AS25">
        <f ca="1">$L25*HLOOKUP(AS$11,'Time Series'!$C$4:$Z$7,2)*$H25</f>
        <v>0</v>
      </c>
    </row>
    <row r="26" spans="1:45">
      <c r="A26" t="str">
        <f t="shared" si="1"/>
        <v>West 4th - Fulton St.</v>
      </c>
      <c r="B26" s="26" t="s">
        <v>25</v>
      </c>
      <c r="C26" s="19">
        <f>37304/24</f>
        <v>1554.3333333333333</v>
      </c>
      <c r="D26" s="26" t="s">
        <v>21</v>
      </c>
      <c r="E26" s="19">
        <f>65635/24</f>
        <v>2734.7916666666665</v>
      </c>
      <c r="F26" s="22">
        <f t="shared" si="3"/>
        <v>2144.5625</v>
      </c>
      <c r="G26" s="21">
        <v>4</v>
      </c>
      <c r="H26" s="22">
        <f t="shared" si="4"/>
        <v>268.0703125</v>
      </c>
      <c r="I26" s="28">
        <v>16</v>
      </c>
      <c r="J26" s="2">
        <v>5.7</v>
      </c>
      <c r="K26" s="4">
        <v>1</v>
      </c>
      <c r="L26" s="4">
        <v>0</v>
      </c>
      <c r="M26" s="19"/>
      <c r="N26" s="18"/>
      <c r="P26" s="10">
        <v>0</v>
      </c>
      <c r="Q26" s="5">
        <v>0</v>
      </c>
      <c r="R26" s="5">
        <v>0</v>
      </c>
      <c r="S26" s="5">
        <v>0</v>
      </c>
      <c r="T26" s="5">
        <v>0</v>
      </c>
      <c r="U26" s="11">
        <v>0</v>
      </c>
      <c r="X26">
        <f ca="1">$J26+HLOOKUP(X$11,'Time Series'!$C$4:$Z$7,4)</f>
        <v>10.7</v>
      </c>
      <c r="Y26">
        <f ca="1">$J26+HLOOKUP(Y$11,'Time Series'!$C$4:$Z$7,4)</f>
        <v>10.7</v>
      </c>
      <c r="Z26">
        <f ca="1">$J26+HLOOKUP(Z$11,'Time Series'!$C$4:$Z$7,4)</f>
        <v>15.7</v>
      </c>
      <c r="AA26">
        <f ca="1">$J26+HLOOKUP(AA$11,'Time Series'!$C$4:$Z$7,4)</f>
        <v>15.7</v>
      </c>
      <c r="AB26">
        <f ca="1">$J26+HLOOKUP(AB$11,'Time Series'!$C$4:$Z$7,4)</f>
        <v>15.7</v>
      </c>
      <c r="AC26">
        <f ca="1">$J26+HLOOKUP(AC$11,'Time Series'!$C$4:$Z$7,4)</f>
        <v>15.7</v>
      </c>
      <c r="AF26">
        <f ca="1">$K26*HLOOKUP(AF$11,'Time Series'!$C$4:$Z$7,3)*$H26</f>
        <v>1608.421875</v>
      </c>
      <c r="AG26">
        <f ca="1">$K26*HLOOKUP(AG$11,'Time Series'!$C$4:$Z$7,3)*$H26</f>
        <v>1608.421875</v>
      </c>
      <c r="AH26">
        <f ca="1">$K26*HLOOKUP(AH$11,'Time Series'!$C$4:$Z$7,3)*$H26</f>
        <v>2144.5625</v>
      </c>
      <c r="AI26">
        <f ca="1">$K26*HLOOKUP(AI$11,'Time Series'!$C$4:$Z$7,3)*$H26</f>
        <v>2412.6328125</v>
      </c>
      <c r="AJ26">
        <f ca="1">$K26*HLOOKUP(AJ$11,'Time Series'!$C$4:$Z$7,3)*$H26</f>
        <v>2412.6328125</v>
      </c>
      <c r="AK26">
        <f ca="1">$K26*HLOOKUP(AK$11,'Time Series'!$C$4:$Z$7,3)*$H26</f>
        <v>2412.6328125</v>
      </c>
      <c r="AN26">
        <f ca="1">$L26*HLOOKUP(AN$11,'Time Series'!$C$4:$Z$7,2)*$H26</f>
        <v>0</v>
      </c>
      <c r="AO26">
        <f ca="1">$L26*HLOOKUP(AO$11,'Time Series'!$C$4:$Z$7,2)*$H26</f>
        <v>0</v>
      </c>
      <c r="AP26">
        <f ca="1">$L26*HLOOKUP(AP$11,'Time Series'!$C$4:$Z$7,2)*$H26</f>
        <v>0</v>
      </c>
      <c r="AQ26">
        <f ca="1">$L26*HLOOKUP(AQ$11,'Time Series'!$C$4:$Z$7,2)*$H26</f>
        <v>0</v>
      </c>
      <c r="AR26">
        <f ca="1">$L26*HLOOKUP(AR$11,'Time Series'!$C$4:$Z$7,2)*$H26</f>
        <v>0</v>
      </c>
      <c r="AS26">
        <f ca="1">$L26*HLOOKUP(AS$11,'Time Series'!$C$4:$Z$7,2)*$H26</f>
        <v>0</v>
      </c>
    </row>
    <row r="27" spans="1:45">
      <c r="A27" t="str">
        <f t="shared" si="1"/>
        <v>West 4th - Columbus Circle</v>
      </c>
      <c r="B27" s="26" t="s">
        <v>25</v>
      </c>
      <c r="C27" s="19">
        <f>37304/24</f>
        <v>1554.3333333333333</v>
      </c>
      <c r="D27" s="26" t="s">
        <v>23</v>
      </c>
      <c r="E27" s="20">
        <f>65376/24</f>
        <v>2724</v>
      </c>
      <c r="F27" s="22">
        <f t="shared" si="3"/>
        <v>2139.1666666666665</v>
      </c>
      <c r="G27" s="21">
        <v>4</v>
      </c>
      <c r="H27" s="22">
        <f t="shared" si="4"/>
        <v>267.39583333333331</v>
      </c>
      <c r="I27" s="28">
        <v>17</v>
      </c>
      <c r="J27" s="2">
        <v>12.4</v>
      </c>
      <c r="K27" s="4">
        <v>2</v>
      </c>
      <c r="L27" s="4">
        <v>1</v>
      </c>
      <c r="M27" s="19"/>
      <c r="N27" s="18"/>
      <c r="P27" s="10">
        <v>0</v>
      </c>
      <c r="Q27" s="5">
        <v>0</v>
      </c>
      <c r="R27" s="5">
        <v>0</v>
      </c>
      <c r="S27" s="5">
        <v>0</v>
      </c>
      <c r="T27" s="5">
        <v>0</v>
      </c>
      <c r="U27" s="11">
        <v>0</v>
      </c>
      <c r="X27">
        <f ca="1">$J27+HLOOKUP(X$11,'Time Series'!$C$4:$Z$7,4)</f>
        <v>17.399999999999999</v>
      </c>
      <c r="Y27">
        <f ca="1">$J27+HLOOKUP(Y$11,'Time Series'!$C$4:$Z$7,4)</f>
        <v>17.399999999999999</v>
      </c>
      <c r="Z27">
        <f ca="1">$J27+HLOOKUP(Z$11,'Time Series'!$C$4:$Z$7,4)</f>
        <v>22.4</v>
      </c>
      <c r="AA27">
        <f ca="1">$J27+HLOOKUP(AA$11,'Time Series'!$C$4:$Z$7,4)</f>
        <v>22.4</v>
      </c>
      <c r="AB27">
        <f ca="1">$J27+HLOOKUP(AB$11,'Time Series'!$C$4:$Z$7,4)</f>
        <v>22.4</v>
      </c>
      <c r="AC27">
        <f ca="1">$J27+HLOOKUP(AC$11,'Time Series'!$C$4:$Z$7,4)</f>
        <v>22.4</v>
      </c>
      <c r="AF27">
        <f ca="1">$K27*HLOOKUP(AF$11,'Time Series'!$C$4:$Z$7,3)*$H27</f>
        <v>3208.75</v>
      </c>
      <c r="AG27">
        <f ca="1">$K27*HLOOKUP(AG$11,'Time Series'!$C$4:$Z$7,3)*$H27</f>
        <v>3208.75</v>
      </c>
      <c r="AH27">
        <f ca="1">$K27*HLOOKUP(AH$11,'Time Series'!$C$4:$Z$7,3)*$H27</f>
        <v>4278.333333333333</v>
      </c>
      <c r="AI27">
        <f ca="1">$K27*HLOOKUP(AI$11,'Time Series'!$C$4:$Z$7,3)*$H27</f>
        <v>4813.125</v>
      </c>
      <c r="AJ27">
        <f ca="1">$K27*HLOOKUP(AJ$11,'Time Series'!$C$4:$Z$7,3)*$H27</f>
        <v>4813.125</v>
      </c>
      <c r="AK27">
        <f ca="1">$K27*HLOOKUP(AK$11,'Time Series'!$C$4:$Z$7,3)*$H27</f>
        <v>4813.125</v>
      </c>
      <c r="AN27">
        <f ca="1">$L27*HLOOKUP(AN$11,'Time Series'!$C$4:$Z$7,2)*$H27</f>
        <v>2673.958333333333</v>
      </c>
      <c r="AO27">
        <f ca="1">$L27*HLOOKUP(AO$11,'Time Series'!$C$4:$Z$7,2)*$H27</f>
        <v>2673.958333333333</v>
      </c>
      <c r="AP27">
        <f ca="1">$L27*HLOOKUP(AP$11,'Time Series'!$C$4:$Z$7,2)*$H27</f>
        <v>1871.7708333333333</v>
      </c>
      <c r="AQ27">
        <f ca="1">$L27*HLOOKUP(AQ$11,'Time Series'!$C$4:$Z$7,2)*$H27</f>
        <v>802.1875</v>
      </c>
      <c r="AR27">
        <f ca="1">$L27*HLOOKUP(AR$11,'Time Series'!$C$4:$Z$7,2)*$H27</f>
        <v>802.1875</v>
      </c>
      <c r="AS27">
        <f ca="1">$L27*HLOOKUP(AS$11,'Time Series'!$C$4:$Z$7,2)*$H27</f>
        <v>802.1875</v>
      </c>
    </row>
    <row r="28" spans="1:45">
      <c r="A28" t="str">
        <f t="shared" si="1"/>
        <v>Herald Square - Union Square</v>
      </c>
      <c r="B28" s="26" t="s">
        <v>49</v>
      </c>
      <c r="C28" s="19">
        <f>119202/24</f>
        <v>4966.75</v>
      </c>
      <c r="D28" s="26" t="s">
        <v>50</v>
      </c>
      <c r="E28" s="19">
        <f>105118/24</f>
        <v>4379.916666666667</v>
      </c>
      <c r="F28" s="22">
        <f t="shared" si="3"/>
        <v>4673.3333333333339</v>
      </c>
      <c r="G28" s="21">
        <v>7</v>
      </c>
      <c r="H28" s="22">
        <f t="shared" si="4"/>
        <v>333.80952380952385</v>
      </c>
      <c r="I28" s="28">
        <v>18</v>
      </c>
      <c r="J28" s="2">
        <v>4.9000000000000004</v>
      </c>
      <c r="K28" s="4">
        <v>0</v>
      </c>
      <c r="L28" s="4">
        <v>1</v>
      </c>
      <c r="M28" s="19"/>
      <c r="N28" s="18"/>
      <c r="P28" s="10">
        <v>0</v>
      </c>
      <c r="Q28" s="5">
        <v>0</v>
      </c>
      <c r="R28" s="5">
        <v>0</v>
      </c>
      <c r="S28" s="5">
        <v>0</v>
      </c>
      <c r="T28" s="5">
        <v>0</v>
      </c>
      <c r="U28" s="11">
        <v>0</v>
      </c>
      <c r="X28">
        <f ca="1">$J28+HLOOKUP(X$11,'Time Series'!$C$4:$Z$7,4)</f>
        <v>9.9</v>
      </c>
      <c r="Y28">
        <f ca="1">$J28+HLOOKUP(Y$11,'Time Series'!$C$4:$Z$7,4)</f>
        <v>9.9</v>
      </c>
      <c r="Z28">
        <f ca="1">$J28+HLOOKUP(Z$11,'Time Series'!$C$4:$Z$7,4)</f>
        <v>14.9</v>
      </c>
      <c r="AA28">
        <f ca="1">$J28+HLOOKUP(AA$11,'Time Series'!$C$4:$Z$7,4)</f>
        <v>14.9</v>
      </c>
      <c r="AB28">
        <f ca="1">$J28+HLOOKUP(AB$11,'Time Series'!$C$4:$Z$7,4)</f>
        <v>14.9</v>
      </c>
      <c r="AC28">
        <f ca="1">$J28+HLOOKUP(AC$11,'Time Series'!$C$4:$Z$7,4)</f>
        <v>14.9</v>
      </c>
      <c r="AF28">
        <f ca="1">$K28*HLOOKUP(AF$11,'Time Series'!$C$4:$Z$7,3)*$H28</f>
        <v>0</v>
      </c>
      <c r="AG28">
        <f ca="1">$K28*HLOOKUP(AG$11,'Time Series'!$C$4:$Z$7,3)*$H28</f>
        <v>0</v>
      </c>
      <c r="AH28">
        <f ca="1">$K28*HLOOKUP(AH$11,'Time Series'!$C$4:$Z$7,3)*$H28</f>
        <v>0</v>
      </c>
      <c r="AI28">
        <f ca="1">$K28*HLOOKUP(AI$11,'Time Series'!$C$4:$Z$7,3)*$H28</f>
        <v>0</v>
      </c>
      <c r="AJ28">
        <f ca="1">$K28*HLOOKUP(AJ$11,'Time Series'!$C$4:$Z$7,3)*$H28</f>
        <v>0</v>
      </c>
      <c r="AK28">
        <f ca="1">$K28*HLOOKUP(AK$11,'Time Series'!$C$4:$Z$7,3)*$H28</f>
        <v>0</v>
      </c>
      <c r="AN28">
        <f ca="1">$L28*HLOOKUP(AN$11,'Time Series'!$C$4:$Z$7,2)*$H28</f>
        <v>3338.0952380952385</v>
      </c>
      <c r="AO28">
        <f ca="1">$L28*HLOOKUP(AO$11,'Time Series'!$C$4:$Z$7,2)*$H28</f>
        <v>3338.0952380952385</v>
      </c>
      <c r="AP28">
        <f ca="1">$L28*HLOOKUP(AP$11,'Time Series'!$C$4:$Z$7,2)*$H28</f>
        <v>2336.666666666667</v>
      </c>
      <c r="AQ28">
        <f ca="1">$L28*HLOOKUP(AQ$11,'Time Series'!$C$4:$Z$7,2)*$H28</f>
        <v>1001.4285714285716</v>
      </c>
      <c r="AR28">
        <f ca="1">$L28*HLOOKUP(AR$11,'Time Series'!$C$4:$Z$7,2)*$H28</f>
        <v>1001.4285714285716</v>
      </c>
      <c r="AS28">
        <f ca="1">$L28*HLOOKUP(AS$11,'Time Series'!$C$4:$Z$7,2)*$H28</f>
        <v>1001.4285714285716</v>
      </c>
    </row>
    <row r="29" spans="1:45">
      <c r="A29" t="str">
        <f t="shared" si="1"/>
        <v>Herald Square - B'way - Lafayette</v>
      </c>
      <c r="B29" s="26" t="s">
        <v>49</v>
      </c>
      <c r="C29" s="19">
        <f>119202/24</f>
        <v>4966.75</v>
      </c>
      <c r="D29" s="26" t="s">
        <v>51</v>
      </c>
      <c r="E29" s="19">
        <f>32489/24</f>
        <v>1353.7083333333333</v>
      </c>
      <c r="F29" s="22">
        <f t="shared" si="3"/>
        <v>3160.2291666666665</v>
      </c>
      <c r="G29" s="21">
        <v>7</v>
      </c>
      <c r="H29" s="22">
        <f t="shared" si="4"/>
        <v>225.73065476190476</v>
      </c>
      <c r="I29" s="28">
        <v>19</v>
      </c>
      <c r="J29" s="2">
        <v>7.9</v>
      </c>
      <c r="K29" s="4">
        <v>1</v>
      </c>
      <c r="L29" s="4">
        <v>1</v>
      </c>
      <c r="M29" s="19"/>
      <c r="N29" s="18"/>
      <c r="P29" s="10">
        <v>0</v>
      </c>
      <c r="Q29" s="5">
        <v>0</v>
      </c>
      <c r="R29" s="5">
        <v>0</v>
      </c>
      <c r="S29" s="5">
        <v>0</v>
      </c>
      <c r="T29" s="5">
        <v>0</v>
      </c>
      <c r="U29" s="11">
        <v>0</v>
      </c>
      <c r="X29">
        <f ca="1">$J29+HLOOKUP(X$11,'Time Series'!$C$4:$Z$7,4)</f>
        <v>12.9</v>
      </c>
      <c r="Y29">
        <f ca="1">$J29+HLOOKUP(Y$11,'Time Series'!$C$4:$Z$7,4)</f>
        <v>12.9</v>
      </c>
      <c r="Z29">
        <f ca="1">$J29+HLOOKUP(Z$11,'Time Series'!$C$4:$Z$7,4)</f>
        <v>17.899999999999999</v>
      </c>
      <c r="AA29">
        <f ca="1">$J29+HLOOKUP(AA$11,'Time Series'!$C$4:$Z$7,4)</f>
        <v>17.899999999999999</v>
      </c>
      <c r="AB29">
        <f ca="1">$J29+HLOOKUP(AB$11,'Time Series'!$C$4:$Z$7,4)</f>
        <v>17.899999999999999</v>
      </c>
      <c r="AC29">
        <f ca="1">$J29+HLOOKUP(AC$11,'Time Series'!$C$4:$Z$7,4)</f>
        <v>17.899999999999999</v>
      </c>
      <c r="AF29">
        <f ca="1">$K29*HLOOKUP(AF$11,'Time Series'!$C$4:$Z$7,3)*$H29</f>
        <v>1354.3839285714284</v>
      </c>
      <c r="AG29">
        <f ca="1">$K29*HLOOKUP(AG$11,'Time Series'!$C$4:$Z$7,3)*$H29</f>
        <v>1354.3839285714284</v>
      </c>
      <c r="AH29">
        <f ca="1">$K29*HLOOKUP(AH$11,'Time Series'!$C$4:$Z$7,3)*$H29</f>
        <v>1805.8452380952381</v>
      </c>
      <c r="AI29">
        <f ca="1">$K29*HLOOKUP(AI$11,'Time Series'!$C$4:$Z$7,3)*$H29</f>
        <v>2031.5758928571429</v>
      </c>
      <c r="AJ29">
        <f ca="1">$K29*HLOOKUP(AJ$11,'Time Series'!$C$4:$Z$7,3)*$H29</f>
        <v>2031.5758928571429</v>
      </c>
      <c r="AK29">
        <f ca="1">$K29*HLOOKUP(AK$11,'Time Series'!$C$4:$Z$7,3)*$H29</f>
        <v>2031.5758928571429</v>
      </c>
      <c r="AN29">
        <f ca="1">$L29*HLOOKUP(AN$11,'Time Series'!$C$4:$Z$7,2)*$H29</f>
        <v>2257.3065476190477</v>
      </c>
      <c r="AO29">
        <f ca="1">$L29*HLOOKUP(AO$11,'Time Series'!$C$4:$Z$7,2)*$H29</f>
        <v>2257.3065476190477</v>
      </c>
      <c r="AP29">
        <f ca="1">$L29*HLOOKUP(AP$11,'Time Series'!$C$4:$Z$7,2)*$H29</f>
        <v>1580.1145833333333</v>
      </c>
      <c r="AQ29">
        <f ca="1">$L29*HLOOKUP(AQ$11,'Time Series'!$C$4:$Z$7,2)*$H29</f>
        <v>677.19196428571422</v>
      </c>
      <c r="AR29">
        <f ca="1">$L29*HLOOKUP(AR$11,'Time Series'!$C$4:$Z$7,2)*$H29</f>
        <v>677.19196428571422</v>
      </c>
      <c r="AS29">
        <f ca="1">$L29*HLOOKUP(AS$11,'Time Series'!$C$4:$Z$7,2)*$H29</f>
        <v>677.19196428571422</v>
      </c>
    </row>
    <row r="30" spans="1:45">
      <c r="A30" t="str">
        <f t="shared" si="1"/>
        <v>Herald Square - 59th St.</v>
      </c>
      <c r="B30" s="26" t="s">
        <v>49</v>
      </c>
      <c r="C30" s="19">
        <f>119202/24</f>
        <v>4966.75</v>
      </c>
      <c r="D30" s="26" t="s">
        <v>24</v>
      </c>
      <c r="E30" s="20">
        <f>61403/24</f>
        <v>2558.4583333333335</v>
      </c>
      <c r="F30" s="22">
        <f t="shared" si="3"/>
        <v>3762.604166666667</v>
      </c>
      <c r="G30" s="21">
        <v>7</v>
      </c>
      <c r="H30" s="22">
        <f t="shared" si="4"/>
        <v>268.75744047619048</v>
      </c>
      <c r="I30" s="28">
        <v>20</v>
      </c>
      <c r="J30" s="2">
        <v>8.5</v>
      </c>
      <c r="K30" s="4">
        <v>1</v>
      </c>
      <c r="L30" s="4">
        <v>1</v>
      </c>
      <c r="M30" s="19"/>
      <c r="N30" s="18"/>
      <c r="P30" s="10">
        <v>0</v>
      </c>
      <c r="Q30" s="5">
        <v>0</v>
      </c>
      <c r="R30" s="5">
        <v>0</v>
      </c>
      <c r="S30" s="5">
        <v>0</v>
      </c>
      <c r="T30" s="5">
        <v>0</v>
      </c>
      <c r="U30" s="11">
        <v>0</v>
      </c>
      <c r="X30">
        <f ca="1">$J30+HLOOKUP(X$11,'Time Series'!$C$4:$Z$7,4)</f>
        <v>13.5</v>
      </c>
      <c r="Y30">
        <f ca="1">$J30+HLOOKUP(Y$11,'Time Series'!$C$4:$Z$7,4)</f>
        <v>13.5</v>
      </c>
      <c r="Z30">
        <f ca="1">$J30+HLOOKUP(Z$11,'Time Series'!$C$4:$Z$7,4)</f>
        <v>18.5</v>
      </c>
      <c r="AA30">
        <f ca="1">$J30+HLOOKUP(AA$11,'Time Series'!$C$4:$Z$7,4)</f>
        <v>18.5</v>
      </c>
      <c r="AB30">
        <f ca="1">$J30+HLOOKUP(AB$11,'Time Series'!$C$4:$Z$7,4)</f>
        <v>18.5</v>
      </c>
      <c r="AC30">
        <f ca="1">$J30+HLOOKUP(AC$11,'Time Series'!$C$4:$Z$7,4)</f>
        <v>18.5</v>
      </c>
      <c r="AF30">
        <f ca="1">$K30*HLOOKUP(AF$11,'Time Series'!$C$4:$Z$7,3)*$H30</f>
        <v>1612.5446428571429</v>
      </c>
      <c r="AG30">
        <f ca="1">$K30*HLOOKUP(AG$11,'Time Series'!$C$4:$Z$7,3)*$H30</f>
        <v>1612.5446428571429</v>
      </c>
      <c r="AH30">
        <f ca="1">$K30*HLOOKUP(AH$11,'Time Series'!$C$4:$Z$7,3)*$H30</f>
        <v>2150.0595238095239</v>
      </c>
      <c r="AI30">
        <f ca="1">$K30*HLOOKUP(AI$11,'Time Series'!$C$4:$Z$7,3)*$H30</f>
        <v>2418.8169642857142</v>
      </c>
      <c r="AJ30">
        <f ca="1">$K30*HLOOKUP(AJ$11,'Time Series'!$C$4:$Z$7,3)*$H30</f>
        <v>2418.8169642857142</v>
      </c>
      <c r="AK30">
        <f ca="1">$K30*HLOOKUP(AK$11,'Time Series'!$C$4:$Z$7,3)*$H30</f>
        <v>2418.8169642857142</v>
      </c>
      <c r="AN30">
        <f ca="1">$L30*HLOOKUP(AN$11,'Time Series'!$C$4:$Z$7,2)*$H30</f>
        <v>2687.5744047619046</v>
      </c>
      <c r="AO30">
        <f ca="1">$L30*HLOOKUP(AO$11,'Time Series'!$C$4:$Z$7,2)*$H30</f>
        <v>2687.5744047619046</v>
      </c>
      <c r="AP30">
        <f ca="1">$L30*HLOOKUP(AP$11,'Time Series'!$C$4:$Z$7,2)*$H30</f>
        <v>1881.3020833333335</v>
      </c>
      <c r="AQ30">
        <f ca="1">$L30*HLOOKUP(AQ$11,'Time Series'!$C$4:$Z$7,2)*$H30</f>
        <v>806.27232142857144</v>
      </c>
      <c r="AR30">
        <f ca="1">$L30*HLOOKUP(AR$11,'Time Series'!$C$4:$Z$7,2)*$H30</f>
        <v>806.27232142857144</v>
      </c>
      <c r="AS30">
        <f ca="1">$L30*HLOOKUP(AS$11,'Time Series'!$C$4:$Z$7,2)*$H30</f>
        <v>806.27232142857144</v>
      </c>
    </row>
    <row r="31" spans="1:45">
      <c r="A31" t="str">
        <f t="shared" si="1"/>
        <v>Union Square - B'way - Lafayette</v>
      </c>
      <c r="B31" s="26" t="s">
        <v>50</v>
      </c>
      <c r="C31" s="19">
        <f>105118/24</f>
        <v>4379.916666666667</v>
      </c>
      <c r="D31" s="26" t="s">
        <v>51</v>
      </c>
      <c r="E31" s="19">
        <f>32489/24</f>
        <v>1353.7083333333333</v>
      </c>
      <c r="F31" s="22">
        <f t="shared" si="3"/>
        <v>2866.8125</v>
      </c>
      <c r="G31" s="21">
        <v>7</v>
      </c>
      <c r="H31" s="22">
        <f t="shared" si="4"/>
        <v>204.77232142857142</v>
      </c>
      <c r="I31" s="28">
        <v>21</v>
      </c>
      <c r="J31" s="2">
        <v>3.2</v>
      </c>
      <c r="K31" s="4">
        <v>0</v>
      </c>
      <c r="L31" s="4">
        <v>0</v>
      </c>
      <c r="M31" s="19"/>
      <c r="N31" s="18"/>
      <c r="P31" s="10">
        <v>0</v>
      </c>
      <c r="Q31" s="5">
        <v>0</v>
      </c>
      <c r="R31" s="5">
        <v>0</v>
      </c>
      <c r="S31" s="5">
        <v>0</v>
      </c>
      <c r="T31" s="5">
        <v>0</v>
      </c>
      <c r="U31" s="11">
        <v>0</v>
      </c>
      <c r="X31">
        <f ca="1">$J31+HLOOKUP(X$11,'Time Series'!$C$4:$Z$7,4)</f>
        <v>8.1999999999999993</v>
      </c>
      <c r="Y31">
        <f ca="1">$J31+HLOOKUP(Y$11,'Time Series'!$C$4:$Z$7,4)</f>
        <v>8.1999999999999993</v>
      </c>
      <c r="Z31">
        <f ca="1">$J31+HLOOKUP(Z$11,'Time Series'!$C$4:$Z$7,4)</f>
        <v>13.2</v>
      </c>
      <c r="AA31">
        <f ca="1">$J31+HLOOKUP(AA$11,'Time Series'!$C$4:$Z$7,4)</f>
        <v>13.2</v>
      </c>
      <c r="AB31">
        <f ca="1">$J31+HLOOKUP(AB$11,'Time Series'!$C$4:$Z$7,4)</f>
        <v>13.2</v>
      </c>
      <c r="AC31">
        <f ca="1">$J31+HLOOKUP(AC$11,'Time Series'!$C$4:$Z$7,4)</f>
        <v>13.2</v>
      </c>
      <c r="AF31">
        <f ca="1">$K31*HLOOKUP(AF$11,'Time Series'!$C$4:$Z$7,3)*$H31</f>
        <v>0</v>
      </c>
      <c r="AG31">
        <f ca="1">$K31*HLOOKUP(AG$11,'Time Series'!$C$4:$Z$7,3)*$H31</f>
        <v>0</v>
      </c>
      <c r="AH31">
        <f ca="1">$K31*HLOOKUP(AH$11,'Time Series'!$C$4:$Z$7,3)*$H31</f>
        <v>0</v>
      </c>
      <c r="AI31">
        <f ca="1">$K31*HLOOKUP(AI$11,'Time Series'!$C$4:$Z$7,3)*$H31</f>
        <v>0</v>
      </c>
      <c r="AJ31">
        <f ca="1">$K31*HLOOKUP(AJ$11,'Time Series'!$C$4:$Z$7,3)*$H31</f>
        <v>0</v>
      </c>
      <c r="AK31">
        <f ca="1">$K31*HLOOKUP(AK$11,'Time Series'!$C$4:$Z$7,3)*$H31</f>
        <v>0</v>
      </c>
      <c r="AN31">
        <f ca="1">$L31*HLOOKUP(AN$11,'Time Series'!$C$4:$Z$7,2)*$H31</f>
        <v>0</v>
      </c>
      <c r="AO31">
        <f ca="1">$L31*HLOOKUP(AO$11,'Time Series'!$C$4:$Z$7,2)*$H31</f>
        <v>0</v>
      </c>
      <c r="AP31">
        <f ca="1">$L31*HLOOKUP(AP$11,'Time Series'!$C$4:$Z$7,2)*$H31</f>
        <v>0</v>
      </c>
      <c r="AQ31">
        <f ca="1">$L31*HLOOKUP(AQ$11,'Time Series'!$C$4:$Z$7,2)*$H31</f>
        <v>0</v>
      </c>
      <c r="AR31">
        <f ca="1">$L31*HLOOKUP(AR$11,'Time Series'!$C$4:$Z$7,2)*$H31</f>
        <v>0</v>
      </c>
      <c r="AS31">
        <f ca="1">$L31*HLOOKUP(AS$11,'Time Series'!$C$4:$Z$7,2)*$H31</f>
        <v>0</v>
      </c>
    </row>
    <row r="32" spans="1:45">
      <c r="A32" t="str">
        <f t="shared" si="1"/>
        <v>Union Square - Fulton St.</v>
      </c>
      <c r="B32" s="26" t="s">
        <v>50</v>
      </c>
      <c r="C32" s="19">
        <f>105118/24</f>
        <v>4379.916666666667</v>
      </c>
      <c r="D32" s="26" t="s">
        <v>21</v>
      </c>
      <c r="E32" s="19">
        <f>65635/24</f>
        <v>2734.7916666666665</v>
      </c>
      <c r="F32" s="22">
        <f t="shared" si="3"/>
        <v>3557.354166666667</v>
      </c>
      <c r="G32" s="21">
        <v>7</v>
      </c>
      <c r="H32" s="22">
        <f t="shared" si="4"/>
        <v>254.0967261904762</v>
      </c>
      <c r="I32" s="28">
        <v>22</v>
      </c>
      <c r="J32" s="2">
        <v>6.3</v>
      </c>
      <c r="K32" s="4">
        <v>0</v>
      </c>
      <c r="L32" s="4">
        <v>0</v>
      </c>
      <c r="M32" s="19"/>
      <c r="N32" s="18"/>
      <c r="P32" s="10">
        <v>0</v>
      </c>
      <c r="Q32" s="5">
        <v>0</v>
      </c>
      <c r="R32" s="5">
        <v>0</v>
      </c>
      <c r="S32" s="5">
        <v>0</v>
      </c>
      <c r="T32" s="5">
        <v>0</v>
      </c>
      <c r="U32" s="11">
        <v>0</v>
      </c>
      <c r="X32">
        <f ca="1">$J32+HLOOKUP(X$11,'Time Series'!$C$4:$Z$7,4)</f>
        <v>11.3</v>
      </c>
      <c r="Y32">
        <f ca="1">$J32+HLOOKUP(Y$11,'Time Series'!$C$4:$Z$7,4)</f>
        <v>11.3</v>
      </c>
      <c r="Z32">
        <f ca="1">$J32+HLOOKUP(Z$11,'Time Series'!$C$4:$Z$7,4)</f>
        <v>16.3</v>
      </c>
      <c r="AA32">
        <f ca="1">$J32+HLOOKUP(AA$11,'Time Series'!$C$4:$Z$7,4)</f>
        <v>16.3</v>
      </c>
      <c r="AB32">
        <f ca="1">$J32+HLOOKUP(AB$11,'Time Series'!$C$4:$Z$7,4)</f>
        <v>16.3</v>
      </c>
      <c r="AC32">
        <f ca="1">$J32+HLOOKUP(AC$11,'Time Series'!$C$4:$Z$7,4)</f>
        <v>16.3</v>
      </c>
      <c r="AF32">
        <f ca="1">$K32*HLOOKUP(AF$11,'Time Series'!$C$4:$Z$7,3)*$H32</f>
        <v>0</v>
      </c>
      <c r="AG32">
        <f ca="1">$K32*HLOOKUP(AG$11,'Time Series'!$C$4:$Z$7,3)*$H32</f>
        <v>0</v>
      </c>
      <c r="AH32">
        <f ca="1">$K32*HLOOKUP(AH$11,'Time Series'!$C$4:$Z$7,3)*$H32</f>
        <v>0</v>
      </c>
      <c r="AI32">
        <f ca="1">$K32*HLOOKUP(AI$11,'Time Series'!$C$4:$Z$7,3)*$H32</f>
        <v>0</v>
      </c>
      <c r="AJ32">
        <f ca="1">$K32*HLOOKUP(AJ$11,'Time Series'!$C$4:$Z$7,3)*$H32</f>
        <v>0</v>
      </c>
      <c r="AK32">
        <f ca="1">$K32*HLOOKUP(AK$11,'Time Series'!$C$4:$Z$7,3)*$H32</f>
        <v>0</v>
      </c>
      <c r="AN32">
        <f ca="1">$L32*HLOOKUP(AN$11,'Time Series'!$C$4:$Z$7,2)*$H32</f>
        <v>0</v>
      </c>
      <c r="AO32">
        <f ca="1">$L32*HLOOKUP(AO$11,'Time Series'!$C$4:$Z$7,2)*$H32</f>
        <v>0</v>
      </c>
      <c r="AP32">
        <f ca="1">$L32*HLOOKUP(AP$11,'Time Series'!$C$4:$Z$7,2)*$H32</f>
        <v>0</v>
      </c>
      <c r="AQ32">
        <f ca="1">$L32*HLOOKUP(AQ$11,'Time Series'!$C$4:$Z$7,2)*$H32</f>
        <v>0</v>
      </c>
      <c r="AR32">
        <f ca="1">$L32*HLOOKUP(AR$11,'Time Series'!$C$4:$Z$7,2)*$H32</f>
        <v>0</v>
      </c>
      <c r="AS32">
        <f ca="1">$L32*HLOOKUP(AS$11,'Time Series'!$C$4:$Z$7,2)*$H32</f>
        <v>0</v>
      </c>
    </row>
    <row r="33" spans="1:45">
      <c r="A33" t="str">
        <f t="shared" si="1"/>
        <v>Union Square - Canal St.</v>
      </c>
      <c r="B33" s="26" t="s">
        <v>50</v>
      </c>
      <c r="C33" s="19">
        <f>105118/24</f>
        <v>4379.916666666667</v>
      </c>
      <c r="D33" s="26" t="s">
        <v>22</v>
      </c>
      <c r="E33" s="19">
        <f>46450/24</f>
        <v>1935.4166666666667</v>
      </c>
      <c r="F33" s="22">
        <f t="shared" si="3"/>
        <v>3157.666666666667</v>
      </c>
      <c r="G33" s="21">
        <v>7</v>
      </c>
      <c r="H33" s="22">
        <f t="shared" si="4"/>
        <v>225.54761904761907</v>
      </c>
      <c r="I33" s="28">
        <v>23</v>
      </c>
      <c r="J33" s="2">
        <v>6.3</v>
      </c>
      <c r="K33" s="4">
        <v>1</v>
      </c>
      <c r="L33" s="4">
        <v>1</v>
      </c>
      <c r="M33" s="19"/>
      <c r="N33" s="18"/>
      <c r="P33" s="10">
        <v>0</v>
      </c>
      <c r="Q33" s="5">
        <v>0</v>
      </c>
      <c r="R33" s="5">
        <v>0</v>
      </c>
      <c r="S33" s="5">
        <v>0</v>
      </c>
      <c r="T33" s="5">
        <v>0</v>
      </c>
      <c r="U33" s="11">
        <v>0</v>
      </c>
      <c r="X33">
        <f ca="1">$J33+HLOOKUP(X$11,'Time Series'!$C$4:$Z$7,4)</f>
        <v>11.3</v>
      </c>
      <c r="Y33">
        <f ca="1">$J33+HLOOKUP(Y$11,'Time Series'!$C$4:$Z$7,4)</f>
        <v>11.3</v>
      </c>
      <c r="Z33">
        <f ca="1">$J33+HLOOKUP(Z$11,'Time Series'!$C$4:$Z$7,4)</f>
        <v>16.3</v>
      </c>
      <c r="AA33">
        <f ca="1">$J33+HLOOKUP(AA$11,'Time Series'!$C$4:$Z$7,4)</f>
        <v>16.3</v>
      </c>
      <c r="AB33">
        <f ca="1">$J33+HLOOKUP(AB$11,'Time Series'!$C$4:$Z$7,4)</f>
        <v>16.3</v>
      </c>
      <c r="AC33">
        <f ca="1">$J33+HLOOKUP(AC$11,'Time Series'!$C$4:$Z$7,4)</f>
        <v>16.3</v>
      </c>
      <c r="AF33">
        <f ca="1">$K33*HLOOKUP(AF$11,'Time Series'!$C$4:$Z$7,3)*$H33</f>
        <v>1353.2857142857144</v>
      </c>
      <c r="AG33">
        <f ca="1">$K33*HLOOKUP(AG$11,'Time Series'!$C$4:$Z$7,3)*$H33</f>
        <v>1353.2857142857144</v>
      </c>
      <c r="AH33">
        <f ca="1">$K33*HLOOKUP(AH$11,'Time Series'!$C$4:$Z$7,3)*$H33</f>
        <v>1804.3809523809525</v>
      </c>
      <c r="AI33">
        <f ca="1">$K33*HLOOKUP(AI$11,'Time Series'!$C$4:$Z$7,3)*$H33</f>
        <v>2029.9285714285716</v>
      </c>
      <c r="AJ33">
        <f ca="1">$K33*HLOOKUP(AJ$11,'Time Series'!$C$4:$Z$7,3)*$H33</f>
        <v>2029.9285714285716</v>
      </c>
      <c r="AK33">
        <f ca="1">$K33*HLOOKUP(AK$11,'Time Series'!$C$4:$Z$7,3)*$H33</f>
        <v>2029.9285714285716</v>
      </c>
      <c r="AN33">
        <f ca="1">$L33*HLOOKUP(AN$11,'Time Series'!$C$4:$Z$7,2)*$H33</f>
        <v>2255.4761904761908</v>
      </c>
      <c r="AO33">
        <f ca="1">$L33*HLOOKUP(AO$11,'Time Series'!$C$4:$Z$7,2)*$H33</f>
        <v>2255.4761904761908</v>
      </c>
      <c r="AP33">
        <f ca="1">$L33*HLOOKUP(AP$11,'Time Series'!$C$4:$Z$7,2)*$H33</f>
        <v>1578.8333333333335</v>
      </c>
      <c r="AQ33">
        <f ca="1">$L33*HLOOKUP(AQ$11,'Time Series'!$C$4:$Z$7,2)*$H33</f>
        <v>676.64285714285722</v>
      </c>
      <c r="AR33">
        <f ca="1">$L33*HLOOKUP(AR$11,'Time Series'!$C$4:$Z$7,2)*$H33</f>
        <v>676.64285714285722</v>
      </c>
      <c r="AS33">
        <f ca="1">$L33*HLOOKUP(AS$11,'Time Series'!$C$4:$Z$7,2)*$H33</f>
        <v>676.64285714285722</v>
      </c>
    </row>
    <row r="34" spans="1:45">
      <c r="A34" t="str">
        <f t="shared" si="1"/>
        <v>Union Square - 59th St.</v>
      </c>
      <c r="B34" s="26" t="s">
        <v>50</v>
      </c>
      <c r="C34" s="19">
        <f>105118/24</f>
        <v>4379.916666666667</v>
      </c>
      <c r="D34" s="26" t="s">
        <v>24</v>
      </c>
      <c r="E34" s="20">
        <f>61403/24</f>
        <v>2558.4583333333335</v>
      </c>
      <c r="F34" s="22">
        <f t="shared" si="3"/>
        <v>3469.1875</v>
      </c>
      <c r="G34" s="21">
        <v>7</v>
      </c>
      <c r="H34" s="22">
        <f t="shared" si="4"/>
        <v>247.79910714285714</v>
      </c>
      <c r="I34" s="28">
        <v>24</v>
      </c>
      <c r="J34" s="2">
        <v>10.3</v>
      </c>
      <c r="K34" s="4">
        <v>0</v>
      </c>
      <c r="L34" s="4">
        <v>1</v>
      </c>
      <c r="M34" s="19"/>
      <c r="N34" s="18"/>
      <c r="P34" s="10">
        <v>0</v>
      </c>
      <c r="Q34" s="5">
        <v>0</v>
      </c>
      <c r="R34" s="5">
        <v>0</v>
      </c>
      <c r="S34" s="5">
        <v>0</v>
      </c>
      <c r="T34" s="5">
        <v>0</v>
      </c>
      <c r="U34" s="11">
        <v>0</v>
      </c>
      <c r="X34">
        <f ca="1">$J34+HLOOKUP(X$11,'Time Series'!$C$4:$Z$7,4)</f>
        <v>15.3</v>
      </c>
      <c r="Y34">
        <f ca="1">$J34+HLOOKUP(Y$11,'Time Series'!$C$4:$Z$7,4)</f>
        <v>15.3</v>
      </c>
      <c r="Z34">
        <f ca="1">$J34+HLOOKUP(Z$11,'Time Series'!$C$4:$Z$7,4)</f>
        <v>20.3</v>
      </c>
      <c r="AA34">
        <f ca="1">$J34+HLOOKUP(AA$11,'Time Series'!$C$4:$Z$7,4)</f>
        <v>20.3</v>
      </c>
      <c r="AB34">
        <f ca="1">$J34+HLOOKUP(AB$11,'Time Series'!$C$4:$Z$7,4)</f>
        <v>20.3</v>
      </c>
      <c r="AC34">
        <f ca="1">$J34+HLOOKUP(AC$11,'Time Series'!$C$4:$Z$7,4)</f>
        <v>20.3</v>
      </c>
      <c r="AF34">
        <f ca="1">$K34*HLOOKUP(AF$11,'Time Series'!$C$4:$Z$7,3)*$H34</f>
        <v>0</v>
      </c>
      <c r="AG34">
        <f ca="1">$K34*HLOOKUP(AG$11,'Time Series'!$C$4:$Z$7,3)*$H34</f>
        <v>0</v>
      </c>
      <c r="AH34">
        <f ca="1">$K34*HLOOKUP(AH$11,'Time Series'!$C$4:$Z$7,3)*$H34</f>
        <v>0</v>
      </c>
      <c r="AI34">
        <f ca="1">$K34*HLOOKUP(AI$11,'Time Series'!$C$4:$Z$7,3)*$H34</f>
        <v>0</v>
      </c>
      <c r="AJ34">
        <f ca="1">$K34*HLOOKUP(AJ$11,'Time Series'!$C$4:$Z$7,3)*$H34</f>
        <v>0</v>
      </c>
      <c r="AK34">
        <f ca="1">$K34*HLOOKUP(AK$11,'Time Series'!$C$4:$Z$7,3)*$H34</f>
        <v>0</v>
      </c>
      <c r="AN34">
        <f ca="1">$L34*HLOOKUP(AN$11,'Time Series'!$C$4:$Z$7,2)*$H34</f>
        <v>2477.9910714285716</v>
      </c>
      <c r="AO34">
        <f ca="1">$L34*HLOOKUP(AO$11,'Time Series'!$C$4:$Z$7,2)*$H34</f>
        <v>2477.9910714285716</v>
      </c>
      <c r="AP34">
        <f ca="1">$L34*HLOOKUP(AP$11,'Time Series'!$C$4:$Z$7,2)*$H34</f>
        <v>1734.59375</v>
      </c>
      <c r="AQ34">
        <f ca="1">$L34*HLOOKUP(AQ$11,'Time Series'!$C$4:$Z$7,2)*$H34</f>
        <v>743.39732142857144</v>
      </c>
      <c r="AR34">
        <f ca="1">$L34*HLOOKUP(AR$11,'Time Series'!$C$4:$Z$7,2)*$H34</f>
        <v>743.39732142857144</v>
      </c>
      <c r="AS34">
        <f ca="1">$L34*HLOOKUP(AS$11,'Time Series'!$C$4:$Z$7,2)*$H34</f>
        <v>743.39732142857144</v>
      </c>
    </row>
    <row r="35" spans="1:45">
      <c r="A35" t="str">
        <f t="shared" si="1"/>
        <v>B'way - Lafayette - Canal St.</v>
      </c>
      <c r="B35" s="26" t="s">
        <v>51</v>
      </c>
      <c r="C35" s="19">
        <f>32489/24</f>
        <v>1353.7083333333333</v>
      </c>
      <c r="D35" s="26" t="s">
        <v>22</v>
      </c>
      <c r="E35" s="19">
        <f>46450/24</f>
        <v>1935.4166666666667</v>
      </c>
      <c r="F35" s="22">
        <f t="shared" si="3"/>
        <v>1644.5625</v>
      </c>
      <c r="G35" s="21">
        <v>5</v>
      </c>
      <c r="H35" s="22">
        <f t="shared" si="4"/>
        <v>164.45625000000001</v>
      </c>
      <c r="I35" s="28">
        <v>25</v>
      </c>
      <c r="J35" s="2">
        <v>3.1</v>
      </c>
      <c r="K35" s="4">
        <v>0</v>
      </c>
      <c r="L35" s="4">
        <v>0</v>
      </c>
      <c r="M35" s="19"/>
      <c r="N35" s="18"/>
      <c r="P35" s="10">
        <v>0</v>
      </c>
      <c r="Q35" s="5">
        <v>0</v>
      </c>
      <c r="R35" s="5">
        <v>0</v>
      </c>
      <c r="S35" s="5">
        <v>0</v>
      </c>
      <c r="T35" s="5">
        <v>0</v>
      </c>
      <c r="U35" s="11">
        <v>0</v>
      </c>
      <c r="X35">
        <f ca="1">$J35+HLOOKUP(X$11,'Time Series'!$C$4:$Z$7,4)</f>
        <v>8.1</v>
      </c>
      <c r="Y35">
        <f ca="1">$J35+HLOOKUP(Y$11,'Time Series'!$C$4:$Z$7,4)</f>
        <v>8.1</v>
      </c>
      <c r="Z35">
        <f ca="1">$J35+HLOOKUP(Z$11,'Time Series'!$C$4:$Z$7,4)</f>
        <v>13.1</v>
      </c>
      <c r="AA35">
        <f ca="1">$J35+HLOOKUP(AA$11,'Time Series'!$C$4:$Z$7,4)</f>
        <v>13.1</v>
      </c>
      <c r="AB35">
        <f ca="1">$J35+HLOOKUP(AB$11,'Time Series'!$C$4:$Z$7,4)</f>
        <v>13.1</v>
      </c>
      <c r="AC35">
        <f ca="1">$J35+HLOOKUP(AC$11,'Time Series'!$C$4:$Z$7,4)</f>
        <v>13.1</v>
      </c>
      <c r="AF35">
        <f ca="1">$K35*HLOOKUP(AF$11,'Time Series'!$C$4:$Z$7,3)*$H35</f>
        <v>0</v>
      </c>
      <c r="AG35">
        <f ca="1">$K35*HLOOKUP(AG$11,'Time Series'!$C$4:$Z$7,3)*$H35</f>
        <v>0</v>
      </c>
      <c r="AH35">
        <f ca="1">$K35*HLOOKUP(AH$11,'Time Series'!$C$4:$Z$7,3)*$H35</f>
        <v>0</v>
      </c>
      <c r="AI35">
        <f ca="1">$K35*HLOOKUP(AI$11,'Time Series'!$C$4:$Z$7,3)*$H35</f>
        <v>0</v>
      </c>
      <c r="AJ35">
        <f ca="1">$K35*HLOOKUP(AJ$11,'Time Series'!$C$4:$Z$7,3)*$H35</f>
        <v>0</v>
      </c>
      <c r="AK35">
        <f ca="1">$K35*HLOOKUP(AK$11,'Time Series'!$C$4:$Z$7,3)*$H35</f>
        <v>0</v>
      </c>
      <c r="AN35">
        <f ca="1">$L35*HLOOKUP(AN$11,'Time Series'!$C$4:$Z$7,2)*$H35</f>
        <v>0</v>
      </c>
      <c r="AO35">
        <f ca="1">$L35*HLOOKUP(AO$11,'Time Series'!$C$4:$Z$7,2)*$H35</f>
        <v>0</v>
      </c>
      <c r="AP35">
        <f ca="1">$L35*HLOOKUP(AP$11,'Time Series'!$C$4:$Z$7,2)*$H35</f>
        <v>0</v>
      </c>
      <c r="AQ35">
        <f ca="1">$L35*HLOOKUP(AQ$11,'Time Series'!$C$4:$Z$7,2)*$H35</f>
        <v>0</v>
      </c>
      <c r="AR35">
        <f ca="1">$L35*HLOOKUP(AR$11,'Time Series'!$C$4:$Z$7,2)*$H35</f>
        <v>0</v>
      </c>
      <c r="AS35">
        <f ca="1">$L35*HLOOKUP(AS$11,'Time Series'!$C$4:$Z$7,2)*$H35</f>
        <v>0</v>
      </c>
    </row>
    <row r="36" spans="1:45">
      <c r="A36" t="str">
        <f t="shared" si="1"/>
        <v>B'way - Lafayette - Columbus Circle</v>
      </c>
      <c r="B36" s="26" t="s">
        <v>51</v>
      </c>
      <c r="C36" s="19">
        <f>32489/24</f>
        <v>1353.7083333333333</v>
      </c>
      <c r="D36" s="26" t="s">
        <v>23</v>
      </c>
      <c r="E36" s="20">
        <f>65376/24</f>
        <v>2724</v>
      </c>
      <c r="F36" s="22">
        <f t="shared" si="3"/>
        <v>2038.8541666666665</v>
      </c>
      <c r="G36" s="21">
        <v>5</v>
      </c>
      <c r="H36" s="22">
        <f t="shared" si="4"/>
        <v>203.88541666666666</v>
      </c>
      <c r="I36" s="28">
        <v>26</v>
      </c>
      <c r="J36" s="2">
        <v>14.3</v>
      </c>
      <c r="K36" s="4">
        <v>4</v>
      </c>
      <c r="L36" s="4">
        <v>1</v>
      </c>
      <c r="M36" s="19"/>
      <c r="N36" s="18"/>
      <c r="P36" s="10">
        <v>0</v>
      </c>
      <c r="Q36" s="5">
        <v>0</v>
      </c>
      <c r="R36" s="5">
        <v>0</v>
      </c>
      <c r="S36" s="5">
        <v>0</v>
      </c>
      <c r="T36" s="5">
        <v>0</v>
      </c>
      <c r="U36" s="11">
        <v>0</v>
      </c>
      <c r="X36">
        <f ca="1">$J36+HLOOKUP(X$11,'Time Series'!$C$4:$Z$7,4)</f>
        <v>19.3</v>
      </c>
      <c r="Y36">
        <f ca="1">$J36+HLOOKUP(Y$11,'Time Series'!$C$4:$Z$7,4)</f>
        <v>19.3</v>
      </c>
      <c r="Z36">
        <f ca="1">$J36+HLOOKUP(Z$11,'Time Series'!$C$4:$Z$7,4)</f>
        <v>24.3</v>
      </c>
      <c r="AA36">
        <f ca="1">$J36+HLOOKUP(AA$11,'Time Series'!$C$4:$Z$7,4)</f>
        <v>24.3</v>
      </c>
      <c r="AB36">
        <f ca="1">$J36+HLOOKUP(AB$11,'Time Series'!$C$4:$Z$7,4)</f>
        <v>24.3</v>
      </c>
      <c r="AC36">
        <f ca="1">$J36+HLOOKUP(AC$11,'Time Series'!$C$4:$Z$7,4)</f>
        <v>24.3</v>
      </c>
      <c r="AF36">
        <f ca="1">$K36*HLOOKUP(AF$11,'Time Series'!$C$4:$Z$7,3)*$H36</f>
        <v>4893.25</v>
      </c>
      <c r="AG36">
        <f ca="1">$K36*HLOOKUP(AG$11,'Time Series'!$C$4:$Z$7,3)*$H36</f>
        <v>4893.25</v>
      </c>
      <c r="AH36">
        <f ca="1">$K36*HLOOKUP(AH$11,'Time Series'!$C$4:$Z$7,3)*$H36</f>
        <v>6524.333333333333</v>
      </c>
      <c r="AI36">
        <f ca="1">$K36*HLOOKUP(AI$11,'Time Series'!$C$4:$Z$7,3)*$H36</f>
        <v>7339.875</v>
      </c>
      <c r="AJ36">
        <f ca="1">$K36*HLOOKUP(AJ$11,'Time Series'!$C$4:$Z$7,3)*$H36</f>
        <v>7339.875</v>
      </c>
      <c r="AK36">
        <f ca="1">$K36*HLOOKUP(AK$11,'Time Series'!$C$4:$Z$7,3)*$H36</f>
        <v>7339.875</v>
      </c>
      <c r="AN36">
        <f ca="1">$L36*HLOOKUP(AN$11,'Time Series'!$C$4:$Z$7,2)*$H36</f>
        <v>2038.8541666666665</v>
      </c>
      <c r="AO36">
        <f ca="1">$L36*HLOOKUP(AO$11,'Time Series'!$C$4:$Z$7,2)*$H36</f>
        <v>2038.8541666666665</v>
      </c>
      <c r="AP36">
        <f ca="1">$L36*HLOOKUP(AP$11,'Time Series'!$C$4:$Z$7,2)*$H36</f>
        <v>1427.1979166666665</v>
      </c>
      <c r="AQ36">
        <f ca="1">$L36*HLOOKUP(AQ$11,'Time Series'!$C$4:$Z$7,2)*$H36</f>
        <v>611.65625</v>
      </c>
      <c r="AR36">
        <f ca="1">$L36*HLOOKUP(AR$11,'Time Series'!$C$4:$Z$7,2)*$H36</f>
        <v>611.65625</v>
      </c>
      <c r="AS36">
        <f ca="1">$L36*HLOOKUP(AS$11,'Time Series'!$C$4:$Z$7,2)*$H36</f>
        <v>611.65625</v>
      </c>
    </row>
    <row r="37" spans="1:45">
      <c r="A37" t="str">
        <f t="shared" si="1"/>
        <v>B'way - Lafayette - 59th St.</v>
      </c>
      <c r="B37" s="26" t="s">
        <v>51</v>
      </c>
      <c r="C37" s="19">
        <f>32489/24</f>
        <v>1353.7083333333333</v>
      </c>
      <c r="D37" s="26" t="s">
        <v>24</v>
      </c>
      <c r="E37" s="20">
        <f>61403/24</f>
        <v>2558.4583333333335</v>
      </c>
      <c r="F37" s="22">
        <f t="shared" si="3"/>
        <v>1956.0833333333335</v>
      </c>
      <c r="G37" s="21">
        <v>5</v>
      </c>
      <c r="H37" s="22">
        <f t="shared" si="4"/>
        <v>195.60833333333335</v>
      </c>
      <c r="I37" s="28">
        <v>27</v>
      </c>
      <c r="J37" s="2">
        <v>13.5</v>
      </c>
      <c r="K37" s="4">
        <v>1</v>
      </c>
      <c r="L37" s="4">
        <v>1</v>
      </c>
      <c r="M37" s="19"/>
      <c r="N37" s="18"/>
      <c r="P37" s="10">
        <v>0</v>
      </c>
      <c r="Q37" s="5">
        <v>0</v>
      </c>
      <c r="R37" s="5">
        <v>0</v>
      </c>
      <c r="S37" s="5">
        <v>0</v>
      </c>
      <c r="T37" s="5">
        <v>0</v>
      </c>
      <c r="U37" s="11">
        <v>0</v>
      </c>
      <c r="X37">
        <f ca="1">$J37+HLOOKUP(X$11,'Time Series'!$C$4:$Z$7,4)</f>
        <v>18.5</v>
      </c>
      <c r="Y37">
        <f ca="1">$J37+HLOOKUP(Y$11,'Time Series'!$C$4:$Z$7,4)</f>
        <v>18.5</v>
      </c>
      <c r="Z37">
        <f ca="1">$J37+HLOOKUP(Z$11,'Time Series'!$C$4:$Z$7,4)</f>
        <v>23.5</v>
      </c>
      <c r="AA37">
        <f ca="1">$J37+HLOOKUP(AA$11,'Time Series'!$C$4:$Z$7,4)</f>
        <v>23.5</v>
      </c>
      <c r="AB37">
        <f ca="1">$J37+HLOOKUP(AB$11,'Time Series'!$C$4:$Z$7,4)</f>
        <v>23.5</v>
      </c>
      <c r="AC37">
        <f ca="1">$J37+HLOOKUP(AC$11,'Time Series'!$C$4:$Z$7,4)</f>
        <v>23.5</v>
      </c>
      <c r="AF37">
        <f ca="1">$K37*HLOOKUP(AF$11,'Time Series'!$C$4:$Z$7,3)*$H37</f>
        <v>1173.6500000000001</v>
      </c>
      <c r="AG37">
        <f ca="1">$K37*HLOOKUP(AG$11,'Time Series'!$C$4:$Z$7,3)*$H37</f>
        <v>1173.6500000000001</v>
      </c>
      <c r="AH37">
        <f ca="1">$K37*HLOOKUP(AH$11,'Time Series'!$C$4:$Z$7,3)*$H37</f>
        <v>1564.8666666666668</v>
      </c>
      <c r="AI37">
        <f ca="1">$K37*HLOOKUP(AI$11,'Time Series'!$C$4:$Z$7,3)*$H37</f>
        <v>1760.4750000000001</v>
      </c>
      <c r="AJ37">
        <f ca="1">$K37*HLOOKUP(AJ$11,'Time Series'!$C$4:$Z$7,3)*$H37</f>
        <v>1760.4750000000001</v>
      </c>
      <c r="AK37">
        <f ca="1">$K37*HLOOKUP(AK$11,'Time Series'!$C$4:$Z$7,3)*$H37</f>
        <v>1760.4750000000001</v>
      </c>
      <c r="AN37">
        <f ca="1">$L37*HLOOKUP(AN$11,'Time Series'!$C$4:$Z$7,2)*$H37</f>
        <v>1956.0833333333335</v>
      </c>
      <c r="AO37">
        <f ca="1">$L37*HLOOKUP(AO$11,'Time Series'!$C$4:$Z$7,2)*$H37</f>
        <v>1956.0833333333335</v>
      </c>
      <c r="AP37">
        <f ca="1">$L37*HLOOKUP(AP$11,'Time Series'!$C$4:$Z$7,2)*$H37</f>
        <v>1369.2583333333334</v>
      </c>
      <c r="AQ37">
        <f ca="1">$L37*HLOOKUP(AQ$11,'Time Series'!$C$4:$Z$7,2)*$H37</f>
        <v>586.82500000000005</v>
      </c>
      <c r="AR37">
        <f ca="1">$L37*HLOOKUP(AR$11,'Time Series'!$C$4:$Z$7,2)*$H37</f>
        <v>586.82500000000005</v>
      </c>
      <c r="AS37">
        <f ca="1">$L37*HLOOKUP(AS$11,'Time Series'!$C$4:$Z$7,2)*$H37</f>
        <v>586.82500000000005</v>
      </c>
    </row>
    <row r="38" spans="1:45">
      <c r="A38" t="str">
        <f t="shared" si="1"/>
        <v>Fulton St. - Columbus Circle</v>
      </c>
      <c r="B38" s="26" t="s">
        <v>21</v>
      </c>
      <c r="C38" s="19">
        <f>65635/24</f>
        <v>2734.7916666666665</v>
      </c>
      <c r="D38" s="26" t="s">
        <v>23</v>
      </c>
      <c r="E38" s="20">
        <f>65376/24</f>
        <v>2724</v>
      </c>
      <c r="F38" s="22">
        <f t="shared" si="3"/>
        <v>2729.395833333333</v>
      </c>
      <c r="G38" s="21">
        <v>7</v>
      </c>
      <c r="H38" s="22">
        <f t="shared" si="4"/>
        <v>194.95684523809521</v>
      </c>
      <c r="I38" s="28">
        <v>28</v>
      </c>
      <c r="J38" s="2">
        <v>17.2</v>
      </c>
      <c r="K38" s="4">
        <v>2</v>
      </c>
      <c r="L38" s="4">
        <v>2</v>
      </c>
      <c r="M38" s="19"/>
      <c r="N38" s="18"/>
      <c r="P38" s="10">
        <v>0</v>
      </c>
      <c r="Q38" s="5">
        <v>0</v>
      </c>
      <c r="R38" s="5">
        <v>0</v>
      </c>
      <c r="S38" s="5">
        <v>0</v>
      </c>
      <c r="T38" s="5">
        <v>0</v>
      </c>
      <c r="U38" s="11">
        <v>0</v>
      </c>
      <c r="X38">
        <f ca="1">$J38+HLOOKUP(X$11,'Time Series'!$C$4:$Z$7,4)</f>
        <v>22.2</v>
      </c>
      <c r="Y38">
        <f ca="1">$J38+HLOOKUP(Y$11,'Time Series'!$C$4:$Z$7,4)</f>
        <v>22.2</v>
      </c>
      <c r="Z38">
        <f ca="1">$J38+HLOOKUP(Z$11,'Time Series'!$C$4:$Z$7,4)</f>
        <v>27.2</v>
      </c>
      <c r="AA38">
        <f ca="1">$J38+HLOOKUP(AA$11,'Time Series'!$C$4:$Z$7,4)</f>
        <v>27.2</v>
      </c>
      <c r="AB38">
        <f ca="1">$J38+HLOOKUP(AB$11,'Time Series'!$C$4:$Z$7,4)</f>
        <v>27.2</v>
      </c>
      <c r="AC38">
        <f ca="1">$J38+HLOOKUP(AC$11,'Time Series'!$C$4:$Z$7,4)</f>
        <v>27.2</v>
      </c>
      <c r="AF38">
        <f ca="1">$K38*HLOOKUP(AF$11,'Time Series'!$C$4:$Z$7,3)*$H38</f>
        <v>2339.4821428571427</v>
      </c>
      <c r="AG38">
        <f ca="1">$K38*HLOOKUP(AG$11,'Time Series'!$C$4:$Z$7,3)*$H38</f>
        <v>2339.4821428571427</v>
      </c>
      <c r="AH38">
        <f ca="1">$K38*HLOOKUP(AH$11,'Time Series'!$C$4:$Z$7,3)*$H38</f>
        <v>3119.3095238095234</v>
      </c>
      <c r="AI38">
        <f ca="1">$K38*HLOOKUP(AI$11,'Time Series'!$C$4:$Z$7,3)*$H38</f>
        <v>3509.2232142857138</v>
      </c>
      <c r="AJ38">
        <f ca="1">$K38*HLOOKUP(AJ$11,'Time Series'!$C$4:$Z$7,3)*$H38</f>
        <v>3509.2232142857138</v>
      </c>
      <c r="AK38">
        <f ca="1">$K38*HLOOKUP(AK$11,'Time Series'!$C$4:$Z$7,3)*$H38</f>
        <v>3509.2232142857138</v>
      </c>
      <c r="AN38">
        <f ca="1">$L38*HLOOKUP(AN$11,'Time Series'!$C$4:$Z$7,2)*$H38</f>
        <v>3899.1369047619041</v>
      </c>
      <c r="AO38">
        <f ca="1">$L38*HLOOKUP(AO$11,'Time Series'!$C$4:$Z$7,2)*$H38</f>
        <v>3899.1369047619041</v>
      </c>
      <c r="AP38">
        <f ca="1">$L38*HLOOKUP(AP$11,'Time Series'!$C$4:$Z$7,2)*$H38</f>
        <v>2729.395833333333</v>
      </c>
      <c r="AQ38">
        <f ca="1">$L38*HLOOKUP(AQ$11,'Time Series'!$C$4:$Z$7,2)*$H38</f>
        <v>1169.7410714285713</v>
      </c>
      <c r="AR38">
        <f ca="1">$L38*HLOOKUP(AR$11,'Time Series'!$C$4:$Z$7,2)*$H38</f>
        <v>1169.7410714285713</v>
      </c>
      <c r="AS38">
        <f ca="1">$L38*HLOOKUP(AS$11,'Time Series'!$C$4:$Z$7,2)*$H38</f>
        <v>1169.7410714285713</v>
      </c>
    </row>
    <row r="39" spans="1:45" ht="15.75" thickBot="1">
      <c r="A39" t="str">
        <f t="shared" si="1"/>
        <v>Canal St. - 59th St.</v>
      </c>
      <c r="B39" s="26" t="s">
        <v>22</v>
      </c>
      <c r="C39" s="19">
        <f>46450/24</f>
        <v>1935.4166666666667</v>
      </c>
      <c r="D39" s="26" t="s">
        <v>24</v>
      </c>
      <c r="E39" s="20">
        <f>61403/24</f>
        <v>2558.4583333333335</v>
      </c>
      <c r="F39" s="22">
        <f t="shared" si="3"/>
        <v>2246.9375</v>
      </c>
      <c r="G39" s="21">
        <v>5</v>
      </c>
      <c r="H39" s="22">
        <f t="shared" si="4"/>
        <v>224.69374999999999</v>
      </c>
      <c r="I39" s="28">
        <v>29</v>
      </c>
      <c r="J39" s="2">
        <v>16.600000000000001</v>
      </c>
      <c r="K39" s="4">
        <v>5</v>
      </c>
      <c r="L39" s="4">
        <v>1</v>
      </c>
      <c r="M39" s="19"/>
      <c r="P39" s="12">
        <v>0</v>
      </c>
      <c r="Q39" s="13">
        <v>0</v>
      </c>
      <c r="R39" s="13">
        <v>2</v>
      </c>
      <c r="S39" s="13">
        <v>2</v>
      </c>
      <c r="T39" s="13">
        <v>2</v>
      </c>
      <c r="U39" s="14">
        <v>2</v>
      </c>
      <c r="X39">
        <f ca="1">$J39+HLOOKUP(X$11,'Time Series'!$C$4:$Z$7,4)</f>
        <v>21.6</v>
      </c>
      <c r="Y39">
        <f ca="1">$J39+HLOOKUP(Y$11,'Time Series'!$C$4:$Z$7,4)</f>
        <v>21.6</v>
      </c>
      <c r="Z39">
        <f ca="1">$J39+HLOOKUP(Z$11,'Time Series'!$C$4:$Z$7,4)</f>
        <v>26.6</v>
      </c>
      <c r="AA39">
        <f ca="1">$J39+HLOOKUP(AA$11,'Time Series'!$C$4:$Z$7,4)</f>
        <v>26.6</v>
      </c>
      <c r="AB39">
        <f ca="1">$J39+HLOOKUP(AB$11,'Time Series'!$C$4:$Z$7,4)</f>
        <v>26.6</v>
      </c>
      <c r="AC39">
        <f ca="1">$J39+HLOOKUP(AC$11,'Time Series'!$C$4:$Z$7,4)</f>
        <v>26.6</v>
      </c>
      <c r="AF39">
        <f ca="1">$K39*HLOOKUP(AF$11,'Time Series'!$C$4:$Z$7,3)*$H39</f>
        <v>6740.8125</v>
      </c>
      <c r="AG39">
        <f ca="1">$K39*HLOOKUP(AG$11,'Time Series'!$C$4:$Z$7,3)*$H39</f>
        <v>6740.8125</v>
      </c>
      <c r="AH39">
        <f ca="1">$K39*HLOOKUP(AH$11,'Time Series'!$C$4:$Z$7,3)*$H39</f>
        <v>8987.75</v>
      </c>
      <c r="AI39">
        <f ca="1">$K39*HLOOKUP(AI$11,'Time Series'!$C$4:$Z$7,3)*$H39</f>
        <v>10111.21875</v>
      </c>
      <c r="AJ39">
        <f ca="1">$K39*HLOOKUP(AJ$11,'Time Series'!$C$4:$Z$7,3)*$H39</f>
        <v>10111.21875</v>
      </c>
      <c r="AK39">
        <f ca="1">$K39*HLOOKUP(AK$11,'Time Series'!$C$4:$Z$7,3)*$H39</f>
        <v>10111.21875</v>
      </c>
      <c r="AN39">
        <f ca="1">$L39*HLOOKUP(AN$11,'Time Series'!$C$4:$Z$7,2)*$H39</f>
        <v>2246.9375</v>
      </c>
      <c r="AO39">
        <f ca="1">$L39*HLOOKUP(AO$11,'Time Series'!$C$4:$Z$7,2)*$H39</f>
        <v>2246.9375</v>
      </c>
      <c r="AP39">
        <f ca="1">$L39*HLOOKUP(AP$11,'Time Series'!$C$4:$Z$7,2)*$H39</f>
        <v>1572.85625</v>
      </c>
      <c r="AQ39">
        <f ca="1">$L39*HLOOKUP(AQ$11,'Time Series'!$C$4:$Z$7,2)*$H39</f>
        <v>674.08124999999995</v>
      </c>
      <c r="AR39">
        <f ca="1">$L39*HLOOKUP(AR$11,'Time Series'!$C$4:$Z$7,2)*$H39</f>
        <v>674.08124999999995</v>
      </c>
      <c r="AS39">
        <f ca="1">$L39*HLOOKUP(AS$11,'Time Series'!$C$4:$Z$7,2)*$H39</f>
        <v>674.08124999999995</v>
      </c>
    </row>
    <row r="40" spans="1:45">
      <c r="P40">
        <f t="shared" ref="P40:U40" si="5">SUMPRODUCT(P12:P39,X12:X39)</f>
        <v>59</v>
      </c>
      <c r="Q40">
        <f t="shared" si="5"/>
        <v>59</v>
      </c>
      <c r="R40">
        <f t="shared" si="5"/>
        <v>53.2</v>
      </c>
      <c r="S40">
        <f t="shared" si="5"/>
        <v>53.2</v>
      </c>
      <c r="T40">
        <f t="shared" si="5"/>
        <v>53.2</v>
      </c>
      <c r="U40">
        <f t="shared" si="5"/>
        <v>53.2</v>
      </c>
    </row>
    <row r="41" spans="1:45">
      <c r="P41" s="25" t="s">
        <v>0</v>
      </c>
      <c r="Q41" s="25" t="s">
        <v>0</v>
      </c>
      <c r="R41" s="25" t="s">
        <v>0</v>
      </c>
      <c r="S41" s="25" t="s">
        <v>0</v>
      </c>
      <c r="T41" s="25" t="s">
        <v>0</v>
      </c>
      <c r="U41" s="25" t="s">
        <v>0</v>
      </c>
    </row>
    <row r="42" spans="1:45">
      <c r="P42">
        <v>60</v>
      </c>
      <c r="Q42">
        <v>60</v>
      </c>
      <c r="R42">
        <v>60</v>
      </c>
      <c r="S42">
        <v>60</v>
      </c>
      <c r="T42">
        <v>60</v>
      </c>
      <c r="U42">
        <v>60</v>
      </c>
    </row>
    <row r="45" spans="1:45">
      <c r="P45" s="15"/>
      <c r="Q45" s="15"/>
      <c r="R45" s="15"/>
      <c r="S45" s="15"/>
      <c r="T45" s="15"/>
      <c r="U45" s="15"/>
    </row>
  </sheetData>
  <mergeCells count="6">
    <mergeCell ref="M7:N7"/>
    <mergeCell ref="O7:Q7"/>
    <mergeCell ref="M5:N5"/>
    <mergeCell ref="O5:Q5"/>
    <mergeCell ref="M6:N6"/>
    <mergeCell ref="O6:Q6"/>
  </mergeCells>
  <phoneticPr fontId="3" type="noConversion"/>
  <pageMargins left="0.7" right="0.7" top="0.75" bottom="0.75" header="0.3" footer="0.3"/>
  <pageSetup paperSize="0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User Interface</vt:lpstr>
      <vt:lpstr>Manager Inputs</vt:lpstr>
      <vt:lpstr>Time Series</vt:lpstr>
      <vt:lpstr>Model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ashellhammer1</cp:lastModifiedBy>
  <dcterms:created xsi:type="dcterms:W3CDTF">2010-11-21T23:04:34Z</dcterms:created>
  <dcterms:modified xsi:type="dcterms:W3CDTF">2010-12-05T22:32:38Z</dcterms:modified>
</cp:coreProperties>
</file>