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autoCompressPictures="0" defaultThemeVersion="124226"/>
  <bookViews>
    <workbookView xWindow="360" yWindow="24" windowWidth="17496" windowHeight="10752" tabRatio="674" activeTab="2"/>
  </bookViews>
  <sheets>
    <sheet name="Solver Model &amp; Output" sheetId="1" r:id="rId1"/>
    <sheet name="List of NFL Teams" sheetId="2" r:id="rId2"/>
    <sheet name="Game Data" sheetId="3" r:id="rId3"/>
    <sheet name="DVOA DATA" sheetId="12" r:id="rId4"/>
    <sheet name="Discount Rates" sheetId="5" r:id="rId5"/>
    <sheet name="CB_DATA_" sheetId="9" state="veryHidden" r:id="rId6"/>
  </sheets>
  <definedNames>
    <definedName name="CB_Block_00000000000000000000000000000001" localSheetId="5" hidden="1">"'634584358562343750"</definedName>
    <definedName name="CBWorkbookPriority" localSheetId="5" hidden="1">-1530550092</definedName>
    <definedName name="CBx_1f0fa66469344eb8946fdeb4064390bd" localSheetId="5" hidden="1">"'Simulation'!$A$1"</definedName>
    <definedName name="CBx_9f698d85cd5c4cfc82da556ecd3d9276" localSheetId="5" hidden="1">"'CB_DATA_'!$A$1"</definedName>
    <definedName name="CBx_Sheet_Guid" localSheetId="5" hidden="1">"'9f698d85-cd5c-4cfc-82da-556ecd3d9276"</definedName>
    <definedName name="CBx_SheetRef" localSheetId="5" hidden="1">CB_DATA_!$A$14</definedName>
    <definedName name="CBx_StorageType" localSheetId="5" hidden="1">2</definedName>
    <definedName name="ListNFLTeams">'List of NFL Teams'!$F$2:$F$33</definedName>
    <definedName name="NFLTEAMS">'List of NFL Teams'!$B$2:$B$33</definedName>
    <definedName name="solver_adj" localSheetId="0" hidden="1">'Solver Model &amp; Output'!$G$13:$G$29</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tr" localSheetId="0" hidden="1">100</definedName>
    <definedName name="solver_lhs1" localSheetId="0" hidden="1">'Solver Model &amp; Output'!$G$13:$G$29</definedName>
    <definedName name="solver_lhs2" localSheetId="0" hidden="1">'Solver Model &amp; Output'!$G$13:$G$29</definedName>
    <definedName name="solver_lhs3" localSheetId="0" hidden="1">'Solver Model &amp; Output'!$K$13:$K$29</definedName>
    <definedName name="solver_lhs4" localSheetId="1" hidden="1">'List of NFL Teams'!$N$2:$N$33</definedName>
    <definedName name="solver_lhs4" localSheetId="0" hidden="1">'Solver Model &amp; Output'!$N$13:$N$44</definedName>
    <definedName name="solver_lin" localSheetId="0" hidden="1">2</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2</definedName>
    <definedName name="solver_nod" localSheetId="0" hidden="1">2147483647</definedName>
    <definedName name="solver_num" localSheetId="1" hidden="1">4</definedName>
    <definedName name="solver_num" localSheetId="0" hidden="1">4</definedName>
    <definedName name="solver_nwt" localSheetId="0" hidden="1">1</definedName>
    <definedName name="solver_opt" localSheetId="0" hidden="1">'Solver Model &amp; Output'!$H$31</definedName>
    <definedName name="solver_pre" localSheetId="0" hidden="1">0.000001</definedName>
    <definedName name="solver_rbv" localSheetId="0" hidden="1">1</definedName>
    <definedName name="solver_rel1" localSheetId="0" hidden="1">1</definedName>
    <definedName name="solver_rel2" localSheetId="0" hidden="1">4</definedName>
    <definedName name="solver_rel3" localSheetId="0" hidden="1">1</definedName>
    <definedName name="solver_rel4" localSheetId="1" hidden="1">1</definedName>
    <definedName name="solver_rel4" localSheetId="0" hidden="1">1</definedName>
    <definedName name="solver_rhs1" localSheetId="0" hidden="1">32</definedName>
    <definedName name="solver_rhs2" localSheetId="0" hidden="1">integer</definedName>
    <definedName name="solver_rhs3" localSheetId="0" hidden="1">1</definedName>
    <definedName name="solver_rhs4" localSheetId="1" hidden="1">1</definedName>
    <definedName name="solver_rhs4" localSheetId="0" hidden="1">1</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100</definedName>
    <definedName name="solver_tol" localSheetId="0" hidden="1">0.05</definedName>
    <definedName name="solver_typ" localSheetId="0" hidden="1">1</definedName>
    <definedName name="solver_val" localSheetId="0" hidden="1">0</definedName>
    <definedName name="solver_ver" localSheetId="0" hidden="1">3</definedName>
  </definedNames>
  <calcPr calcId="125725" iterate="1" concurrentCalc="0"/>
  <extLst>
    <ext xmlns:mx="http://schemas.microsoft.com/office/mac/excel/2008/main" uri="{7523E5D3-25F3-A5E0-1632-64F254C22452}">
      <mx:ArchID Flags="2"/>
    </ext>
  </extLst>
</workbook>
</file>

<file path=xl/calcChain.xml><?xml version="1.0" encoding="utf-8"?>
<calcChain xmlns="http://schemas.openxmlformats.org/spreadsheetml/2006/main">
  <c r="M3" i="3"/>
  <c r="M4"/>
  <c r="M5"/>
  <c r="M6"/>
  <c r="M7"/>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96"/>
  <c r="M97"/>
  <c r="M98"/>
  <c r="M99"/>
  <c r="M100"/>
  <c r="M101"/>
  <c r="M102"/>
  <c r="M103"/>
  <c r="M104"/>
  <c r="M105"/>
  <c r="M106"/>
  <c r="M107"/>
  <c r="M108"/>
  <c r="M109"/>
  <c r="M110"/>
  <c r="M111"/>
  <c r="M112"/>
  <c r="M113"/>
  <c r="M114"/>
  <c r="M115"/>
  <c r="M116"/>
  <c r="M117"/>
  <c r="M118"/>
  <c r="M119"/>
  <c r="M120"/>
  <c r="M121"/>
  <c r="M122"/>
  <c r="M123"/>
  <c r="M124"/>
  <c r="M125"/>
  <c r="M126"/>
  <c r="M127"/>
  <c r="M128"/>
  <c r="M129"/>
  <c r="M130"/>
  <c r="M131"/>
  <c r="M132"/>
  <c r="M133"/>
  <c r="M134"/>
  <c r="M135"/>
  <c r="M136"/>
  <c r="M137"/>
  <c r="M138"/>
  <c r="M139"/>
  <c r="M140"/>
  <c r="M141"/>
  <c r="M142"/>
  <c r="M143"/>
  <c r="M144"/>
  <c r="M145"/>
  <c r="M146"/>
  <c r="M147"/>
  <c r="M148"/>
  <c r="M149"/>
  <c r="M150"/>
  <c r="M151"/>
  <c r="M152"/>
  <c r="M153"/>
  <c r="M154"/>
  <c r="M155"/>
  <c r="M156"/>
  <c r="M157"/>
  <c r="M158"/>
  <c r="M159"/>
  <c r="M160"/>
  <c r="M161"/>
  <c r="M162"/>
  <c r="M163"/>
  <c r="M164"/>
  <c r="M165"/>
  <c r="M166"/>
  <c r="M167"/>
  <c r="M168"/>
  <c r="M169"/>
  <c r="M170"/>
  <c r="M171"/>
  <c r="M172"/>
  <c r="M173"/>
  <c r="M174"/>
  <c r="M175"/>
  <c r="M176"/>
  <c r="M177"/>
  <c r="M178"/>
  <c r="M179"/>
  <c r="M180"/>
  <c r="M181"/>
  <c r="M182"/>
  <c r="M183"/>
  <c r="M184"/>
  <c r="M185"/>
  <c r="M186"/>
  <c r="M187"/>
  <c r="M188"/>
  <c r="M189"/>
  <c r="M190"/>
  <c r="M191"/>
  <c r="M192"/>
  <c r="M193"/>
  <c r="M194"/>
  <c r="M195"/>
  <c r="M196"/>
  <c r="M197"/>
  <c r="M198"/>
  <c r="M199"/>
  <c r="M200"/>
  <c r="M201"/>
  <c r="M202"/>
  <c r="M203"/>
  <c r="M204"/>
  <c r="M205"/>
  <c r="M206"/>
  <c r="M207"/>
  <c r="M208"/>
  <c r="M209"/>
  <c r="M210"/>
  <c r="M211"/>
  <c r="M212"/>
  <c r="M213"/>
  <c r="M214"/>
  <c r="M215"/>
  <c r="M216"/>
  <c r="M217"/>
  <c r="M218"/>
  <c r="M219"/>
  <c r="M220"/>
  <c r="M221"/>
  <c r="M222"/>
  <c r="M223"/>
  <c r="M224"/>
  <c r="M225"/>
  <c r="M226"/>
  <c r="M227"/>
  <c r="M228"/>
  <c r="M229"/>
  <c r="M230"/>
  <c r="M231"/>
  <c r="M232"/>
  <c r="M233"/>
  <c r="M234"/>
  <c r="M235"/>
  <c r="M236"/>
  <c r="M237"/>
  <c r="M238"/>
  <c r="M239"/>
  <c r="M240"/>
  <c r="M241"/>
  <c r="M242"/>
  <c r="M243"/>
  <c r="M244"/>
  <c r="M245"/>
  <c r="M246"/>
  <c r="M247"/>
  <c r="M248"/>
  <c r="M249"/>
  <c r="M250"/>
  <c r="M251"/>
  <c r="M252"/>
  <c r="M253"/>
  <c r="M254"/>
  <c r="M255"/>
  <c r="M256"/>
  <c r="M257"/>
  <c r="M2"/>
  <c r="L3"/>
  <c r="L4"/>
  <c r="L5"/>
  <c r="L6"/>
  <c r="L7"/>
  <c r="L8"/>
  <c r="L9"/>
  <c r="L10"/>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0"/>
  <c r="L101"/>
  <c r="L102"/>
  <c r="L103"/>
  <c r="L104"/>
  <c r="L105"/>
  <c r="L106"/>
  <c r="L107"/>
  <c r="L108"/>
  <c r="L109"/>
  <c r="L110"/>
  <c r="L111"/>
  <c r="L112"/>
  <c r="L113"/>
  <c r="L114"/>
  <c r="L115"/>
  <c r="L116"/>
  <c r="L117"/>
  <c r="L118"/>
  <c r="L119"/>
  <c r="L120"/>
  <c r="L121"/>
  <c r="L122"/>
  <c r="L123"/>
  <c r="L124"/>
  <c r="L125"/>
  <c r="L126"/>
  <c r="L127"/>
  <c r="L128"/>
  <c r="L129"/>
  <c r="L130"/>
  <c r="L131"/>
  <c r="L132"/>
  <c r="L133"/>
  <c r="L134"/>
  <c r="L135"/>
  <c r="L136"/>
  <c r="L137"/>
  <c r="L138"/>
  <c r="L139"/>
  <c r="L140"/>
  <c r="L141"/>
  <c r="L142"/>
  <c r="L143"/>
  <c r="L144"/>
  <c r="L145"/>
  <c r="L146"/>
  <c r="L147"/>
  <c r="L148"/>
  <c r="L149"/>
  <c r="L150"/>
  <c r="L151"/>
  <c r="L152"/>
  <c r="L153"/>
  <c r="L154"/>
  <c r="L155"/>
  <c r="L156"/>
  <c r="L157"/>
  <c r="L158"/>
  <c r="L159"/>
  <c r="L160"/>
  <c r="L161"/>
  <c r="L162"/>
  <c r="L163"/>
  <c r="L164"/>
  <c r="L165"/>
  <c r="L166"/>
  <c r="L167"/>
  <c r="L168"/>
  <c r="L169"/>
  <c r="L170"/>
  <c r="L171"/>
  <c r="L172"/>
  <c r="L173"/>
  <c r="L174"/>
  <c r="L175"/>
  <c r="L176"/>
  <c r="L177"/>
  <c r="L178"/>
  <c r="L179"/>
  <c r="L180"/>
  <c r="L181"/>
  <c r="L182"/>
  <c r="L183"/>
  <c r="L184"/>
  <c r="L185"/>
  <c r="L186"/>
  <c r="L187"/>
  <c r="L188"/>
  <c r="L189"/>
  <c r="L190"/>
  <c r="L191"/>
  <c r="L192"/>
  <c r="L193"/>
  <c r="L194"/>
  <c r="L195"/>
  <c r="L196"/>
  <c r="L197"/>
  <c r="L198"/>
  <c r="L199"/>
  <c r="L200"/>
  <c r="L201"/>
  <c r="L202"/>
  <c r="L203"/>
  <c r="L204"/>
  <c r="L205"/>
  <c r="L206"/>
  <c r="L207"/>
  <c r="L208"/>
  <c r="L209"/>
  <c r="L210"/>
  <c r="L211"/>
  <c r="L212"/>
  <c r="L213"/>
  <c r="L214"/>
  <c r="L215"/>
  <c r="L216"/>
  <c r="L217"/>
  <c r="L218"/>
  <c r="L219"/>
  <c r="L220"/>
  <c r="L221"/>
  <c r="L222"/>
  <c r="L223"/>
  <c r="L224"/>
  <c r="L225"/>
  <c r="L226"/>
  <c r="L227"/>
  <c r="L228"/>
  <c r="L229"/>
  <c r="L230"/>
  <c r="L231"/>
  <c r="L232"/>
  <c r="L233"/>
  <c r="L234"/>
  <c r="L235"/>
  <c r="L236"/>
  <c r="L237"/>
  <c r="L238"/>
  <c r="L239"/>
  <c r="L240"/>
  <c r="L241"/>
  <c r="L242"/>
  <c r="L243"/>
  <c r="L244"/>
  <c r="L245"/>
  <c r="L246"/>
  <c r="L247"/>
  <c r="L248"/>
  <c r="L249"/>
  <c r="L250"/>
  <c r="L251"/>
  <c r="L252"/>
  <c r="L253"/>
  <c r="L254"/>
  <c r="L255"/>
  <c r="L256"/>
  <c r="L257"/>
  <c r="L2"/>
  <c r="H2"/>
  <c r="K2"/>
  <c r="I2"/>
  <c r="J2"/>
  <c r="N2"/>
  <c r="H3"/>
  <c r="K3"/>
  <c r="I3"/>
  <c r="J3"/>
  <c r="N3"/>
  <c r="H4"/>
  <c r="K4"/>
  <c r="I4"/>
  <c r="J4"/>
  <c r="N4"/>
  <c r="H5"/>
  <c r="K5"/>
  <c r="I5"/>
  <c r="J5"/>
  <c r="N5"/>
  <c r="H6"/>
  <c r="K6"/>
  <c r="I6"/>
  <c r="J6"/>
  <c r="N6"/>
  <c r="H7"/>
  <c r="K7"/>
  <c r="I7"/>
  <c r="J7"/>
  <c r="N7"/>
  <c r="H8"/>
  <c r="K8"/>
  <c r="I8"/>
  <c r="J8"/>
  <c r="N8"/>
  <c r="H9"/>
  <c r="K9"/>
  <c r="I9"/>
  <c r="J9"/>
  <c r="N9"/>
  <c r="H10"/>
  <c r="K10"/>
  <c r="I10"/>
  <c r="J10"/>
  <c r="N10"/>
  <c r="H11"/>
  <c r="K11"/>
  <c r="I11"/>
  <c r="J11"/>
  <c r="N11"/>
  <c r="H12"/>
  <c r="K12"/>
  <c r="I12"/>
  <c r="J12"/>
  <c r="N12"/>
  <c r="H13"/>
  <c r="K13"/>
  <c r="I13"/>
  <c r="J13"/>
  <c r="N13"/>
  <c r="H14"/>
  <c r="K14"/>
  <c r="I14"/>
  <c r="J14"/>
  <c r="N14"/>
  <c r="H15"/>
  <c r="K15"/>
  <c r="I15"/>
  <c r="J15"/>
  <c r="N15"/>
  <c r="H16"/>
  <c r="K16"/>
  <c r="I16"/>
  <c r="J16"/>
  <c r="N16"/>
  <c r="H17"/>
  <c r="K17"/>
  <c r="I17"/>
  <c r="J17"/>
  <c r="N17"/>
  <c r="H18"/>
  <c r="K18"/>
  <c r="I18"/>
  <c r="J18"/>
  <c r="N18"/>
  <c r="H19"/>
  <c r="K19"/>
  <c r="I19"/>
  <c r="J19"/>
  <c r="N19"/>
  <c r="H20"/>
  <c r="K20"/>
  <c r="I20"/>
  <c r="J20"/>
  <c r="N20"/>
  <c r="H21"/>
  <c r="K21"/>
  <c r="I21"/>
  <c r="J21"/>
  <c r="N21"/>
  <c r="H22"/>
  <c r="K22"/>
  <c r="I22"/>
  <c r="J22"/>
  <c r="N22"/>
  <c r="H23"/>
  <c r="K23"/>
  <c r="I23"/>
  <c r="J23"/>
  <c r="N23"/>
  <c r="H24"/>
  <c r="K24"/>
  <c r="I24"/>
  <c r="J24"/>
  <c r="N24"/>
  <c r="H25"/>
  <c r="K25"/>
  <c r="I25"/>
  <c r="J25"/>
  <c r="N25"/>
  <c r="H26"/>
  <c r="K26"/>
  <c r="I26"/>
  <c r="J26"/>
  <c r="N26"/>
  <c r="H27"/>
  <c r="K27"/>
  <c r="I27"/>
  <c r="J27"/>
  <c r="N27"/>
  <c r="H28"/>
  <c r="K28"/>
  <c r="I28"/>
  <c r="J28"/>
  <c r="N28"/>
  <c r="H29"/>
  <c r="K29"/>
  <c r="I29"/>
  <c r="J29"/>
  <c r="N29"/>
  <c r="H30"/>
  <c r="K30"/>
  <c r="I30"/>
  <c r="J30"/>
  <c r="N30"/>
  <c r="H31"/>
  <c r="K31"/>
  <c r="I31"/>
  <c r="J31"/>
  <c r="N31"/>
  <c r="H32"/>
  <c r="K32"/>
  <c r="I32"/>
  <c r="J32"/>
  <c r="N32"/>
  <c r="H33"/>
  <c r="K33"/>
  <c r="I33"/>
  <c r="J33"/>
  <c r="N33"/>
  <c r="H34"/>
  <c r="K34"/>
  <c r="I34"/>
  <c r="J34"/>
  <c r="N34"/>
  <c r="H35"/>
  <c r="K35"/>
  <c r="I35"/>
  <c r="J35"/>
  <c r="N35"/>
  <c r="H36"/>
  <c r="K36"/>
  <c r="I36"/>
  <c r="J36"/>
  <c r="N36"/>
  <c r="H37"/>
  <c r="K37"/>
  <c r="I37"/>
  <c r="J37"/>
  <c r="N37"/>
  <c r="H38"/>
  <c r="K38"/>
  <c r="I38"/>
  <c r="J38"/>
  <c r="N38"/>
  <c r="H39"/>
  <c r="K39"/>
  <c r="I39"/>
  <c r="J39"/>
  <c r="N39"/>
  <c r="H40"/>
  <c r="K40"/>
  <c r="I40"/>
  <c r="J40"/>
  <c r="N40"/>
  <c r="H41"/>
  <c r="K41"/>
  <c r="I41"/>
  <c r="J41"/>
  <c r="N41"/>
  <c r="H42"/>
  <c r="K42"/>
  <c r="I42"/>
  <c r="J42"/>
  <c r="N42"/>
  <c r="H43"/>
  <c r="K43"/>
  <c r="I43"/>
  <c r="J43"/>
  <c r="N43"/>
  <c r="H44"/>
  <c r="K44"/>
  <c r="I44"/>
  <c r="J44"/>
  <c r="N44"/>
  <c r="H45"/>
  <c r="K45"/>
  <c r="I45"/>
  <c r="J45"/>
  <c r="N45"/>
  <c r="H46"/>
  <c r="K46"/>
  <c r="I46"/>
  <c r="J46"/>
  <c r="N46"/>
  <c r="H47"/>
  <c r="K47"/>
  <c r="I47"/>
  <c r="J47"/>
  <c r="N47"/>
  <c r="H48"/>
  <c r="K48"/>
  <c r="I48"/>
  <c r="J48"/>
  <c r="N48"/>
  <c r="H49"/>
  <c r="K49"/>
  <c r="I49"/>
  <c r="J49"/>
  <c r="N49"/>
  <c r="H50"/>
  <c r="K50"/>
  <c r="I50"/>
  <c r="J50"/>
  <c r="N50"/>
  <c r="H51"/>
  <c r="K51"/>
  <c r="I51"/>
  <c r="J51"/>
  <c r="N51"/>
  <c r="H52"/>
  <c r="K52"/>
  <c r="I52"/>
  <c r="J52"/>
  <c r="N52"/>
  <c r="H53"/>
  <c r="K53"/>
  <c r="I53"/>
  <c r="J53"/>
  <c r="N53"/>
  <c r="H54"/>
  <c r="K54"/>
  <c r="I54"/>
  <c r="J54"/>
  <c r="N54"/>
  <c r="H55"/>
  <c r="K55"/>
  <c r="I55"/>
  <c r="J55"/>
  <c r="N55"/>
  <c r="H56"/>
  <c r="K56"/>
  <c r="I56"/>
  <c r="J56"/>
  <c r="N56"/>
  <c r="H57"/>
  <c r="K57"/>
  <c r="I57"/>
  <c r="J57"/>
  <c r="N57"/>
  <c r="H58"/>
  <c r="K58"/>
  <c r="I58"/>
  <c r="J58"/>
  <c r="N58"/>
  <c r="H59"/>
  <c r="K59"/>
  <c r="I59"/>
  <c r="J59"/>
  <c r="N59"/>
  <c r="H60"/>
  <c r="K60"/>
  <c r="I60"/>
  <c r="J60"/>
  <c r="N60"/>
  <c r="H61"/>
  <c r="K61"/>
  <c r="I61"/>
  <c r="J61"/>
  <c r="N61"/>
  <c r="H62"/>
  <c r="K62"/>
  <c r="I62"/>
  <c r="J62"/>
  <c r="N62"/>
  <c r="H63"/>
  <c r="K63"/>
  <c r="I63"/>
  <c r="J63"/>
  <c r="N63"/>
  <c r="H64"/>
  <c r="K64"/>
  <c r="I64"/>
  <c r="J64"/>
  <c r="N64"/>
  <c r="H65"/>
  <c r="K65"/>
  <c r="I65"/>
  <c r="J65"/>
  <c r="N65"/>
  <c r="H66"/>
  <c r="K66"/>
  <c r="I66"/>
  <c r="J66"/>
  <c r="N66"/>
  <c r="H67"/>
  <c r="K67"/>
  <c r="I67"/>
  <c r="J67"/>
  <c r="N67"/>
  <c r="H68"/>
  <c r="K68"/>
  <c r="I68"/>
  <c r="J68"/>
  <c r="N68"/>
  <c r="H69"/>
  <c r="K69"/>
  <c r="I69"/>
  <c r="J69"/>
  <c r="N69"/>
  <c r="H70"/>
  <c r="K70"/>
  <c r="I70"/>
  <c r="J70"/>
  <c r="N70"/>
  <c r="H71"/>
  <c r="K71"/>
  <c r="I71"/>
  <c r="J71"/>
  <c r="N71"/>
  <c r="H72"/>
  <c r="K72"/>
  <c r="I72"/>
  <c r="J72"/>
  <c r="N72"/>
  <c r="H73"/>
  <c r="K73"/>
  <c r="I73"/>
  <c r="J73"/>
  <c r="N73"/>
  <c r="H74"/>
  <c r="K74"/>
  <c r="I74"/>
  <c r="J74"/>
  <c r="N74"/>
  <c r="H75"/>
  <c r="K75"/>
  <c r="I75"/>
  <c r="J75"/>
  <c r="N75"/>
  <c r="H76"/>
  <c r="K76"/>
  <c r="I76"/>
  <c r="J76"/>
  <c r="N76"/>
  <c r="H77"/>
  <c r="K77"/>
  <c r="I77"/>
  <c r="J77"/>
  <c r="N77"/>
  <c r="H78"/>
  <c r="K78"/>
  <c r="I78"/>
  <c r="J78"/>
  <c r="N78"/>
  <c r="H79"/>
  <c r="K79"/>
  <c r="I79"/>
  <c r="J79"/>
  <c r="N79"/>
  <c r="H80"/>
  <c r="K80"/>
  <c r="I80"/>
  <c r="J80"/>
  <c r="N80"/>
  <c r="H81"/>
  <c r="K81"/>
  <c r="I81"/>
  <c r="J81"/>
  <c r="N81"/>
  <c r="H82"/>
  <c r="K82"/>
  <c r="I82"/>
  <c r="J82"/>
  <c r="N82"/>
  <c r="H83"/>
  <c r="K83"/>
  <c r="I83"/>
  <c r="J83"/>
  <c r="N83"/>
  <c r="H84"/>
  <c r="K84"/>
  <c r="I84"/>
  <c r="J84"/>
  <c r="N84"/>
  <c r="H85"/>
  <c r="K85"/>
  <c r="I85"/>
  <c r="J85"/>
  <c r="N85"/>
  <c r="H86"/>
  <c r="K86"/>
  <c r="I86"/>
  <c r="J86"/>
  <c r="N86"/>
  <c r="H87"/>
  <c r="K87"/>
  <c r="I87"/>
  <c r="J87"/>
  <c r="N87"/>
  <c r="H88"/>
  <c r="K88"/>
  <c r="I88"/>
  <c r="J88"/>
  <c r="N88"/>
  <c r="H89"/>
  <c r="K89"/>
  <c r="I89"/>
  <c r="J89"/>
  <c r="N89"/>
  <c r="H90"/>
  <c r="K90"/>
  <c r="I90"/>
  <c r="J90"/>
  <c r="N90"/>
  <c r="H91"/>
  <c r="K91"/>
  <c r="I91"/>
  <c r="J91"/>
  <c r="N91"/>
  <c r="H92"/>
  <c r="K92"/>
  <c r="I92"/>
  <c r="J92"/>
  <c r="N92"/>
  <c r="H93"/>
  <c r="K93"/>
  <c r="I93"/>
  <c r="J93"/>
  <c r="N93"/>
  <c r="H94"/>
  <c r="K94"/>
  <c r="I94"/>
  <c r="J94"/>
  <c r="N94"/>
  <c r="H95"/>
  <c r="K95"/>
  <c r="I95"/>
  <c r="J95"/>
  <c r="N95"/>
  <c r="H96"/>
  <c r="K96"/>
  <c r="I96"/>
  <c r="J96"/>
  <c r="N96"/>
  <c r="H97"/>
  <c r="K97"/>
  <c r="I97"/>
  <c r="J97"/>
  <c r="N97"/>
  <c r="H98"/>
  <c r="K98"/>
  <c r="I98"/>
  <c r="J98"/>
  <c r="N98"/>
  <c r="H99"/>
  <c r="K99"/>
  <c r="I99"/>
  <c r="J99"/>
  <c r="N99"/>
  <c r="H100"/>
  <c r="K100"/>
  <c r="I100"/>
  <c r="J100"/>
  <c r="N100"/>
  <c r="H101"/>
  <c r="K101"/>
  <c r="I101"/>
  <c r="J101"/>
  <c r="N101"/>
  <c r="H102"/>
  <c r="K102"/>
  <c r="I102"/>
  <c r="J102"/>
  <c r="N102"/>
  <c r="H103"/>
  <c r="K103"/>
  <c r="I103"/>
  <c r="J103"/>
  <c r="N103"/>
  <c r="H104"/>
  <c r="K104"/>
  <c r="I104"/>
  <c r="J104"/>
  <c r="N104"/>
  <c r="H105"/>
  <c r="K105"/>
  <c r="I105"/>
  <c r="J105"/>
  <c r="N105"/>
  <c r="H106"/>
  <c r="K106"/>
  <c r="I106"/>
  <c r="J106"/>
  <c r="N106"/>
  <c r="H107"/>
  <c r="K107"/>
  <c r="I107"/>
  <c r="J107"/>
  <c r="N107"/>
  <c r="H108"/>
  <c r="K108"/>
  <c r="I108"/>
  <c r="J108"/>
  <c r="N108"/>
  <c r="H109"/>
  <c r="K109"/>
  <c r="I109"/>
  <c r="J109"/>
  <c r="N109"/>
  <c r="H110"/>
  <c r="K110"/>
  <c r="I110"/>
  <c r="J110"/>
  <c r="N110"/>
  <c r="H111"/>
  <c r="K111"/>
  <c r="I111"/>
  <c r="J111"/>
  <c r="N111"/>
  <c r="H112"/>
  <c r="K112"/>
  <c r="I112"/>
  <c r="J112"/>
  <c r="N112"/>
  <c r="H113"/>
  <c r="K113"/>
  <c r="I113"/>
  <c r="J113"/>
  <c r="N113"/>
  <c r="H114"/>
  <c r="K114"/>
  <c r="I114"/>
  <c r="J114"/>
  <c r="N114"/>
  <c r="H115"/>
  <c r="K115"/>
  <c r="I115"/>
  <c r="J115"/>
  <c r="N115"/>
  <c r="H116"/>
  <c r="K116"/>
  <c r="I116"/>
  <c r="J116"/>
  <c r="N116"/>
  <c r="H117"/>
  <c r="K117"/>
  <c r="I117"/>
  <c r="J117"/>
  <c r="N117"/>
  <c r="H118"/>
  <c r="K118"/>
  <c r="I118"/>
  <c r="J118"/>
  <c r="N118"/>
  <c r="H119"/>
  <c r="K119"/>
  <c r="I119"/>
  <c r="J119"/>
  <c r="N119"/>
  <c r="H120"/>
  <c r="K120"/>
  <c r="I120"/>
  <c r="J120"/>
  <c r="N120"/>
  <c r="H121"/>
  <c r="K121"/>
  <c r="I121"/>
  <c r="J121"/>
  <c r="N121"/>
  <c r="H122"/>
  <c r="K122"/>
  <c r="I122"/>
  <c r="J122"/>
  <c r="N122"/>
  <c r="H123"/>
  <c r="K123"/>
  <c r="I123"/>
  <c r="J123"/>
  <c r="N123"/>
  <c r="H124"/>
  <c r="K124"/>
  <c r="I124"/>
  <c r="J124"/>
  <c r="N124"/>
  <c r="H125"/>
  <c r="K125"/>
  <c r="I125"/>
  <c r="J125"/>
  <c r="N125"/>
  <c r="H126"/>
  <c r="K126"/>
  <c r="I126"/>
  <c r="J126"/>
  <c r="N126"/>
  <c r="H127"/>
  <c r="K127"/>
  <c r="I127"/>
  <c r="J127"/>
  <c r="N127"/>
  <c r="H128"/>
  <c r="K128"/>
  <c r="I128"/>
  <c r="J128"/>
  <c r="N128"/>
  <c r="H129"/>
  <c r="K129"/>
  <c r="I129"/>
  <c r="J129"/>
  <c r="N129"/>
  <c r="H130"/>
  <c r="K130"/>
  <c r="I130"/>
  <c r="J130"/>
  <c r="N130"/>
  <c r="H131"/>
  <c r="K131"/>
  <c r="I131"/>
  <c r="J131"/>
  <c r="N131"/>
  <c r="H132"/>
  <c r="K132"/>
  <c r="I132"/>
  <c r="J132"/>
  <c r="N132"/>
  <c r="H133"/>
  <c r="K133"/>
  <c r="I133"/>
  <c r="J133"/>
  <c r="N133"/>
  <c r="H134"/>
  <c r="K134"/>
  <c r="I134"/>
  <c r="J134"/>
  <c r="N134"/>
  <c r="H135"/>
  <c r="K135"/>
  <c r="I135"/>
  <c r="J135"/>
  <c r="N135"/>
  <c r="H136"/>
  <c r="K136"/>
  <c r="I136"/>
  <c r="J136"/>
  <c r="N136"/>
  <c r="H137"/>
  <c r="K137"/>
  <c r="I137"/>
  <c r="J137"/>
  <c r="N137"/>
  <c r="H138"/>
  <c r="K138"/>
  <c r="I138"/>
  <c r="J138"/>
  <c r="N138"/>
  <c r="H139"/>
  <c r="K139"/>
  <c r="I139"/>
  <c r="J139"/>
  <c r="N139"/>
  <c r="H140"/>
  <c r="K140"/>
  <c r="I140"/>
  <c r="J140"/>
  <c r="N140"/>
  <c r="H141"/>
  <c r="K141"/>
  <c r="I141"/>
  <c r="J141"/>
  <c r="N141"/>
  <c r="H142"/>
  <c r="K142"/>
  <c r="I142"/>
  <c r="J142"/>
  <c r="N142"/>
  <c r="H143"/>
  <c r="K143"/>
  <c r="I143"/>
  <c r="J143"/>
  <c r="N143"/>
  <c r="H144"/>
  <c r="K144"/>
  <c r="I144"/>
  <c r="J144"/>
  <c r="N144"/>
  <c r="H145"/>
  <c r="K145"/>
  <c r="I145"/>
  <c r="J145"/>
  <c r="N145"/>
  <c r="H146"/>
  <c r="K146"/>
  <c r="I146"/>
  <c r="J146"/>
  <c r="N146"/>
  <c r="H147"/>
  <c r="K147"/>
  <c r="I147"/>
  <c r="J147"/>
  <c r="N147"/>
  <c r="H148"/>
  <c r="K148"/>
  <c r="I148"/>
  <c r="J148"/>
  <c r="N148"/>
  <c r="H149"/>
  <c r="K149"/>
  <c r="I149"/>
  <c r="J149"/>
  <c r="N149"/>
  <c r="H150"/>
  <c r="K150"/>
  <c r="I150"/>
  <c r="J150"/>
  <c r="N150"/>
  <c r="H151"/>
  <c r="K151"/>
  <c r="I151"/>
  <c r="J151"/>
  <c r="N151"/>
  <c r="H152"/>
  <c r="K152"/>
  <c r="I152"/>
  <c r="J152"/>
  <c r="N152"/>
  <c r="H153"/>
  <c r="K153"/>
  <c r="I153"/>
  <c r="J153"/>
  <c r="N153"/>
  <c r="H154"/>
  <c r="K154"/>
  <c r="I154"/>
  <c r="J154"/>
  <c r="N154"/>
  <c r="H155"/>
  <c r="K155"/>
  <c r="I155"/>
  <c r="J155"/>
  <c r="N155"/>
  <c r="H156"/>
  <c r="K156"/>
  <c r="I156"/>
  <c r="J156"/>
  <c r="N156"/>
  <c r="H157"/>
  <c r="K157"/>
  <c r="I157"/>
  <c r="J157"/>
  <c r="N157"/>
  <c r="H158"/>
  <c r="K158"/>
  <c r="I158"/>
  <c r="J158"/>
  <c r="N158"/>
  <c r="H159"/>
  <c r="K159"/>
  <c r="I159"/>
  <c r="J159"/>
  <c r="N159"/>
  <c r="H160"/>
  <c r="K160"/>
  <c r="I160"/>
  <c r="J160"/>
  <c r="N160"/>
  <c r="H161"/>
  <c r="K161"/>
  <c r="I161"/>
  <c r="J161"/>
  <c r="N161"/>
  <c r="H162"/>
  <c r="K162"/>
  <c r="I162"/>
  <c r="J162"/>
  <c r="N162"/>
  <c r="H163"/>
  <c r="K163"/>
  <c r="I163"/>
  <c r="J163"/>
  <c r="N163"/>
  <c r="H164"/>
  <c r="K164"/>
  <c r="I164"/>
  <c r="J164"/>
  <c r="N164"/>
  <c r="H165"/>
  <c r="K165"/>
  <c r="I165"/>
  <c r="J165"/>
  <c r="N165"/>
  <c r="H166"/>
  <c r="K166"/>
  <c r="I166"/>
  <c r="J166"/>
  <c r="N166"/>
  <c r="H167"/>
  <c r="K167"/>
  <c r="I167"/>
  <c r="J167"/>
  <c r="N167"/>
  <c r="H168"/>
  <c r="K168"/>
  <c r="I168"/>
  <c r="J168"/>
  <c r="N168"/>
  <c r="H169"/>
  <c r="K169"/>
  <c r="I169"/>
  <c r="J169"/>
  <c r="N169"/>
  <c r="H170"/>
  <c r="K170"/>
  <c r="I170"/>
  <c r="J170"/>
  <c r="N170"/>
  <c r="H171"/>
  <c r="K171"/>
  <c r="I171"/>
  <c r="J171"/>
  <c r="N171"/>
  <c r="H172"/>
  <c r="K172"/>
  <c r="I172"/>
  <c r="J172"/>
  <c r="N172"/>
  <c r="H173"/>
  <c r="K173"/>
  <c r="I173"/>
  <c r="J173"/>
  <c r="N173"/>
  <c r="H174"/>
  <c r="K174"/>
  <c r="I174"/>
  <c r="J174"/>
  <c r="N174"/>
  <c r="H175"/>
  <c r="K175"/>
  <c r="I175"/>
  <c r="J175"/>
  <c r="N175"/>
  <c r="H176"/>
  <c r="K176"/>
  <c r="I176"/>
  <c r="J176"/>
  <c r="N176"/>
  <c r="H177"/>
  <c r="K177"/>
  <c r="I177"/>
  <c r="J177"/>
  <c r="N177"/>
  <c r="H178"/>
  <c r="K178"/>
  <c r="I178"/>
  <c r="J178"/>
  <c r="N178"/>
  <c r="H179"/>
  <c r="K179"/>
  <c r="I179"/>
  <c r="J179"/>
  <c r="N179"/>
  <c r="H180"/>
  <c r="K180"/>
  <c r="I180"/>
  <c r="J180"/>
  <c r="N180"/>
  <c r="H181"/>
  <c r="K181"/>
  <c r="I181"/>
  <c r="J181"/>
  <c r="N181"/>
  <c r="H182"/>
  <c r="K182"/>
  <c r="I182"/>
  <c r="J182"/>
  <c r="N182"/>
  <c r="H183"/>
  <c r="K183"/>
  <c r="I183"/>
  <c r="J183"/>
  <c r="N183"/>
  <c r="H184"/>
  <c r="K184"/>
  <c r="I184"/>
  <c r="J184"/>
  <c r="N184"/>
  <c r="H185"/>
  <c r="K185"/>
  <c r="I185"/>
  <c r="J185"/>
  <c r="N185"/>
  <c r="H186"/>
  <c r="K186"/>
  <c r="I186"/>
  <c r="J186"/>
  <c r="N186"/>
  <c r="H187"/>
  <c r="K187"/>
  <c r="I187"/>
  <c r="J187"/>
  <c r="N187"/>
  <c r="H188"/>
  <c r="K188"/>
  <c r="I188"/>
  <c r="J188"/>
  <c r="N188"/>
  <c r="H189"/>
  <c r="K189"/>
  <c r="I189"/>
  <c r="J189"/>
  <c r="N189"/>
  <c r="H190"/>
  <c r="K190"/>
  <c r="I190"/>
  <c r="J190"/>
  <c r="N190"/>
  <c r="H191"/>
  <c r="K191"/>
  <c r="I191"/>
  <c r="J191"/>
  <c r="N191"/>
  <c r="H192"/>
  <c r="K192"/>
  <c r="I192"/>
  <c r="J192"/>
  <c r="N192"/>
  <c r="H193"/>
  <c r="K193"/>
  <c r="I193"/>
  <c r="J193"/>
  <c r="N193"/>
  <c r="H194"/>
  <c r="K194"/>
  <c r="I194"/>
  <c r="J194"/>
  <c r="N194"/>
  <c r="H195"/>
  <c r="K195"/>
  <c r="I195"/>
  <c r="J195"/>
  <c r="N195"/>
  <c r="H196"/>
  <c r="K196"/>
  <c r="I196"/>
  <c r="J196"/>
  <c r="N196"/>
  <c r="H197"/>
  <c r="K197"/>
  <c r="I197"/>
  <c r="J197"/>
  <c r="N197"/>
  <c r="H198"/>
  <c r="K198"/>
  <c r="I198"/>
  <c r="J198"/>
  <c r="N198"/>
  <c r="H199"/>
  <c r="K199"/>
  <c r="I199"/>
  <c r="J199"/>
  <c r="N199"/>
  <c r="H200"/>
  <c r="K200"/>
  <c r="I200"/>
  <c r="J200"/>
  <c r="N200"/>
  <c r="H201"/>
  <c r="K201"/>
  <c r="I201"/>
  <c r="J201"/>
  <c r="N201"/>
  <c r="H202"/>
  <c r="K202"/>
  <c r="I202"/>
  <c r="J202"/>
  <c r="N202"/>
  <c r="H203"/>
  <c r="K203"/>
  <c r="I203"/>
  <c r="J203"/>
  <c r="N203"/>
  <c r="H204"/>
  <c r="K204"/>
  <c r="I204"/>
  <c r="J204"/>
  <c r="N204"/>
  <c r="H205"/>
  <c r="K205"/>
  <c r="I205"/>
  <c r="J205"/>
  <c r="N205"/>
  <c r="H206"/>
  <c r="K206"/>
  <c r="I206"/>
  <c r="J206"/>
  <c r="N206"/>
  <c r="H207"/>
  <c r="K207"/>
  <c r="I207"/>
  <c r="J207"/>
  <c r="N207"/>
  <c r="H208"/>
  <c r="K208"/>
  <c r="I208"/>
  <c r="J208"/>
  <c r="N208"/>
  <c r="H209"/>
  <c r="K209"/>
  <c r="I209"/>
  <c r="J209"/>
  <c r="N209"/>
  <c r="H210"/>
  <c r="K210"/>
  <c r="I210"/>
  <c r="J210"/>
  <c r="N210"/>
  <c r="H211"/>
  <c r="K211"/>
  <c r="I211"/>
  <c r="J211"/>
  <c r="N211"/>
  <c r="H212"/>
  <c r="K212"/>
  <c r="I212"/>
  <c r="J212"/>
  <c r="N212"/>
  <c r="H213"/>
  <c r="K213"/>
  <c r="I213"/>
  <c r="J213"/>
  <c r="N213"/>
  <c r="H214"/>
  <c r="K214"/>
  <c r="I214"/>
  <c r="J214"/>
  <c r="N214"/>
  <c r="H215"/>
  <c r="K215"/>
  <c r="I215"/>
  <c r="J215"/>
  <c r="N215"/>
  <c r="H216"/>
  <c r="K216"/>
  <c r="I216"/>
  <c r="J216"/>
  <c r="N216"/>
  <c r="H217"/>
  <c r="K217"/>
  <c r="I217"/>
  <c r="J217"/>
  <c r="N217"/>
  <c r="H218"/>
  <c r="K218"/>
  <c r="I218"/>
  <c r="J218"/>
  <c r="N218"/>
  <c r="H219"/>
  <c r="K219"/>
  <c r="I219"/>
  <c r="J219"/>
  <c r="N219"/>
  <c r="H220"/>
  <c r="K220"/>
  <c r="I220"/>
  <c r="J220"/>
  <c r="N220"/>
  <c r="H221"/>
  <c r="K221"/>
  <c r="I221"/>
  <c r="J221"/>
  <c r="N221"/>
  <c r="H222"/>
  <c r="K222"/>
  <c r="I222"/>
  <c r="J222"/>
  <c r="N222"/>
  <c r="H223"/>
  <c r="K223"/>
  <c r="I223"/>
  <c r="J223"/>
  <c r="N223"/>
  <c r="H224"/>
  <c r="K224"/>
  <c r="I224"/>
  <c r="J224"/>
  <c r="N224"/>
  <c r="H225"/>
  <c r="K225"/>
  <c r="I225"/>
  <c r="J225"/>
  <c r="N225"/>
  <c r="H226"/>
  <c r="K226"/>
  <c r="I226"/>
  <c r="J226"/>
  <c r="N226"/>
  <c r="H227"/>
  <c r="K227"/>
  <c r="I227"/>
  <c r="J227"/>
  <c r="N227"/>
  <c r="H228"/>
  <c r="K228"/>
  <c r="I228"/>
  <c r="J228"/>
  <c r="N228"/>
  <c r="H229"/>
  <c r="K229"/>
  <c r="I229"/>
  <c r="J229"/>
  <c r="N229"/>
  <c r="H230"/>
  <c r="K230"/>
  <c r="I230"/>
  <c r="J230"/>
  <c r="N230"/>
  <c r="H231"/>
  <c r="K231"/>
  <c r="I231"/>
  <c r="J231"/>
  <c r="N231"/>
  <c r="H232"/>
  <c r="K232"/>
  <c r="I232"/>
  <c r="J232"/>
  <c r="N232"/>
  <c r="H233"/>
  <c r="K233"/>
  <c r="I233"/>
  <c r="J233"/>
  <c r="N233"/>
  <c r="H234"/>
  <c r="K234"/>
  <c r="I234"/>
  <c r="J234"/>
  <c r="N234"/>
  <c r="H235"/>
  <c r="K235"/>
  <c r="I235"/>
  <c r="J235"/>
  <c r="N235"/>
  <c r="H236"/>
  <c r="K236"/>
  <c r="I236"/>
  <c r="J236"/>
  <c r="N236"/>
  <c r="H237"/>
  <c r="K237"/>
  <c r="I237"/>
  <c r="J237"/>
  <c r="N237"/>
  <c r="H238"/>
  <c r="K238"/>
  <c r="I238"/>
  <c r="J238"/>
  <c r="N238"/>
  <c r="H239"/>
  <c r="K239"/>
  <c r="I239"/>
  <c r="J239"/>
  <c r="N239"/>
  <c r="H240"/>
  <c r="K240"/>
  <c r="I240"/>
  <c r="J240"/>
  <c r="N240"/>
  <c r="H241"/>
  <c r="K241"/>
  <c r="I241"/>
  <c r="J241"/>
  <c r="N241"/>
  <c r="H242"/>
  <c r="K242"/>
  <c r="I242"/>
  <c r="J242"/>
  <c r="N242"/>
  <c r="H243"/>
  <c r="K243"/>
  <c r="I243"/>
  <c r="J243"/>
  <c r="N243"/>
  <c r="H244"/>
  <c r="K244"/>
  <c r="I244"/>
  <c r="J244"/>
  <c r="N244"/>
  <c r="H245"/>
  <c r="K245"/>
  <c r="I245"/>
  <c r="J245"/>
  <c r="N245"/>
  <c r="H246"/>
  <c r="K246"/>
  <c r="I246"/>
  <c r="J246"/>
  <c r="N246"/>
  <c r="H247"/>
  <c r="K247"/>
  <c r="I247"/>
  <c r="J247"/>
  <c r="N247"/>
  <c r="H248"/>
  <c r="K248"/>
  <c r="I248"/>
  <c r="J248"/>
  <c r="N248"/>
  <c r="H249"/>
  <c r="K249"/>
  <c r="I249"/>
  <c r="J249"/>
  <c r="N249"/>
  <c r="H250"/>
  <c r="K250"/>
  <c r="I250"/>
  <c r="J250"/>
  <c r="N250"/>
  <c r="H251"/>
  <c r="K251"/>
  <c r="I251"/>
  <c r="J251"/>
  <c r="N251"/>
  <c r="H252"/>
  <c r="K252"/>
  <c r="I252"/>
  <c r="J252"/>
  <c r="N252"/>
  <c r="H253"/>
  <c r="K253"/>
  <c r="I253"/>
  <c r="J253"/>
  <c r="N253"/>
  <c r="H254"/>
  <c r="K254"/>
  <c r="I254"/>
  <c r="J254"/>
  <c r="N254"/>
  <c r="H255"/>
  <c r="K255"/>
  <c r="I255"/>
  <c r="J255"/>
  <c r="N255"/>
  <c r="H256"/>
  <c r="K256"/>
  <c r="I256"/>
  <c r="J256"/>
  <c r="N256"/>
  <c r="H257"/>
  <c r="K257"/>
  <c r="I257"/>
  <c r="J257"/>
  <c r="N257"/>
  <c r="C34"/>
  <c r="C35"/>
  <c r="C36"/>
  <c r="C37"/>
  <c r="C38"/>
  <c r="C39"/>
  <c r="D39"/>
  <c r="C40"/>
  <c r="C41"/>
  <c r="C42"/>
  <c r="C43"/>
  <c r="C44"/>
  <c r="C45"/>
  <c r="C46"/>
  <c r="C47"/>
  <c r="C48"/>
  <c r="C49"/>
  <c r="H15" i="1"/>
  <c r="C50" i="3"/>
  <c r="C51"/>
  <c r="C52"/>
  <c r="C53"/>
  <c r="C54"/>
  <c r="C55"/>
  <c r="C56"/>
  <c r="C57"/>
  <c r="C58"/>
  <c r="C59"/>
  <c r="C60"/>
  <c r="C61"/>
  <c r="C62"/>
  <c r="C63"/>
  <c r="C64"/>
  <c r="C65"/>
  <c r="D64"/>
  <c r="H16" i="1"/>
  <c r="C66" i="3"/>
  <c r="C67"/>
  <c r="C68"/>
  <c r="C69"/>
  <c r="C70"/>
  <c r="C71"/>
  <c r="C72"/>
  <c r="C73"/>
  <c r="C74"/>
  <c r="C75"/>
  <c r="C76"/>
  <c r="C77"/>
  <c r="C78"/>
  <c r="H17" i="1"/>
  <c r="C79" i="3"/>
  <c r="C80"/>
  <c r="C81"/>
  <c r="C82"/>
  <c r="C83"/>
  <c r="C84"/>
  <c r="C85"/>
  <c r="C86"/>
  <c r="C87"/>
  <c r="C88"/>
  <c r="C89"/>
  <c r="C90"/>
  <c r="C91"/>
  <c r="H18" i="1"/>
  <c r="C92" i="3"/>
  <c r="C93"/>
  <c r="D93"/>
  <c r="C94"/>
  <c r="C95"/>
  <c r="C96"/>
  <c r="C97"/>
  <c r="C98"/>
  <c r="C99"/>
  <c r="C100"/>
  <c r="C101"/>
  <c r="C102"/>
  <c r="C103"/>
  <c r="C104"/>
  <c r="H19" i="1"/>
  <c r="C105" i="3"/>
  <c r="C106"/>
  <c r="C107"/>
  <c r="C108"/>
  <c r="C109"/>
  <c r="C110"/>
  <c r="C111"/>
  <c r="C112"/>
  <c r="C113"/>
  <c r="C114"/>
  <c r="C115"/>
  <c r="C116"/>
  <c r="C117"/>
  <c r="D115"/>
  <c r="H20" i="1"/>
  <c r="C118" i="3"/>
  <c r="C119"/>
  <c r="C120"/>
  <c r="C121"/>
  <c r="D121"/>
  <c r="C122"/>
  <c r="C123"/>
  <c r="C124"/>
  <c r="C125"/>
  <c r="C126"/>
  <c r="C127"/>
  <c r="C128"/>
  <c r="C129"/>
  <c r="C130"/>
  <c r="C131"/>
  <c r="H21" i="1"/>
  <c r="C132" i="3"/>
  <c r="C133"/>
  <c r="C134"/>
  <c r="D134"/>
  <c r="C135"/>
  <c r="C136"/>
  <c r="C137"/>
  <c r="C138"/>
  <c r="C139"/>
  <c r="C140"/>
  <c r="C141"/>
  <c r="C142"/>
  <c r="C143"/>
  <c r="C144"/>
  <c r="C145"/>
  <c r="C146"/>
  <c r="C147"/>
  <c r="H22" i="1"/>
  <c r="C148" i="3"/>
  <c r="C149"/>
  <c r="C150"/>
  <c r="C151"/>
  <c r="C152"/>
  <c r="C153"/>
  <c r="D153"/>
  <c r="C154"/>
  <c r="C155"/>
  <c r="C156"/>
  <c r="C157"/>
  <c r="C158"/>
  <c r="C159"/>
  <c r="C160"/>
  <c r="C161"/>
  <c r="H23" i="1"/>
  <c r="C162" i="3"/>
  <c r="C163"/>
  <c r="C164"/>
  <c r="C165"/>
  <c r="C166"/>
  <c r="C167"/>
  <c r="C168"/>
  <c r="C169"/>
  <c r="C170"/>
  <c r="C171"/>
  <c r="C172"/>
  <c r="C173"/>
  <c r="C174"/>
  <c r="C175"/>
  <c r="C176"/>
  <c r="C177"/>
  <c r="H24" i="1"/>
  <c r="C178" i="3"/>
  <c r="C179"/>
  <c r="C180"/>
  <c r="C181"/>
  <c r="C182"/>
  <c r="C183"/>
  <c r="C184"/>
  <c r="C185"/>
  <c r="C186"/>
  <c r="C187"/>
  <c r="C188"/>
  <c r="C189"/>
  <c r="C190"/>
  <c r="C191"/>
  <c r="C192"/>
  <c r="C193"/>
  <c r="H25" i="1"/>
  <c r="C194" i="3"/>
  <c r="C195"/>
  <c r="C196"/>
  <c r="C197"/>
  <c r="C198"/>
  <c r="C199"/>
  <c r="C200"/>
  <c r="C201"/>
  <c r="D201"/>
  <c r="C202"/>
  <c r="C203"/>
  <c r="C204"/>
  <c r="C205"/>
  <c r="C206"/>
  <c r="C207"/>
  <c r="C208"/>
  <c r="C209"/>
  <c r="H26" i="1"/>
  <c r="C210" i="3"/>
  <c r="C211"/>
  <c r="C212"/>
  <c r="C213"/>
  <c r="C214"/>
  <c r="C215"/>
  <c r="C216"/>
  <c r="C217"/>
  <c r="C218"/>
  <c r="C219"/>
  <c r="C220"/>
  <c r="C221"/>
  <c r="C222"/>
  <c r="C223"/>
  <c r="C224"/>
  <c r="C225"/>
  <c r="H27" i="1"/>
  <c r="C226" i="3"/>
  <c r="C227"/>
  <c r="C228"/>
  <c r="C229"/>
  <c r="C230"/>
  <c r="C231"/>
  <c r="C232"/>
  <c r="C233"/>
  <c r="C234"/>
  <c r="C235"/>
  <c r="C236"/>
  <c r="C237"/>
  <c r="D237"/>
  <c r="C238"/>
  <c r="C239"/>
  <c r="C240"/>
  <c r="C241"/>
  <c r="H28" i="1"/>
  <c r="C242" i="3"/>
  <c r="C243"/>
  <c r="C244"/>
  <c r="C245"/>
  <c r="C246"/>
  <c r="C247"/>
  <c r="C248"/>
  <c r="C249"/>
  <c r="C250"/>
  <c r="C251"/>
  <c r="C252"/>
  <c r="D252"/>
  <c r="C253"/>
  <c r="C254"/>
  <c r="C255"/>
  <c r="C256"/>
  <c r="C257"/>
  <c r="H29" i="1"/>
  <c r="C18" i="3"/>
  <c r="C19"/>
  <c r="C20"/>
  <c r="C21"/>
  <c r="C22"/>
  <c r="C23"/>
  <c r="C24"/>
  <c r="C25"/>
  <c r="C26"/>
  <c r="C27"/>
  <c r="C28"/>
  <c r="C29"/>
  <c r="C30"/>
  <c r="C31"/>
  <c r="C32"/>
  <c r="C33"/>
  <c r="H14" i="1"/>
  <c r="C2" i="3"/>
  <c r="C3"/>
  <c r="C4"/>
  <c r="C5"/>
  <c r="C6"/>
  <c r="C7"/>
  <c r="C8"/>
  <c r="C9"/>
  <c r="C10"/>
  <c r="C11"/>
  <c r="C12"/>
  <c r="C13"/>
  <c r="C14"/>
  <c r="C15"/>
  <c r="C16"/>
  <c r="C17"/>
  <c r="H13" i="1"/>
  <c r="O9" i="5"/>
  <c r="P9"/>
  <c r="I17" i="1"/>
  <c r="J17"/>
  <c r="D7" i="3"/>
  <c r="D8"/>
  <c r="D9"/>
  <c r="D10"/>
  <c r="D11"/>
  <c r="D12"/>
  <c r="D13"/>
  <c r="D14"/>
  <c r="D15"/>
  <c r="D16"/>
  <c r="D17"/>
  <c r="D18"/>
  <c r="D19"/>
  <c r="D20"/>
  <c r="D21"/>
  <c r="D22"/>
  <c r="D23"/>
  <c r="D24"/>
  <c r="D25"/>
  <c r="D26"/>
  <c r="D27"/>
  <c r="D28"/>
  <c r="D29"/>
  <c r="D30"/>
  <c r="D31"/>
  <c r="D32"/>
  <c r="D33"/>
  <c r="D34"/>
  <c r="D35"/>
  <c r="D36"/>
  <c r="D37"/>
  <c r="D38"/>
  <c r="D40"/>
  <c r="D41"/>
  <c r="D42"/>
  <c r="D43"/>
  <c r="D44"/>
  <c r="D45"/>
  <c r="D46"/>
  <c r="D47"/>
  <c r="D48"/>
  <c r="D49"/>
  <c r="D50"/>
  <c r="D51"/>
  <c r="D52"/>
  <c r="D53"/>
  <c r="D54"/>
  <c r="D55"/>
  <c r="D56"/>
  <c r="D57"/>
  <c r="D58"/>
  <c r="D59"/>
  <c r="D60"/>
  <c r="D61"/>
  <c r="D62"/>
  <c r="D63"/>
  <c r="D65"/>
  <c r="D66"/>
  <c r="D67"/>
  <c r="D68"/>
  <c r="D69"/>
  <c r="D70"/>
  <c r="D71"/>
  <c r="D72"/>
  <c r="D73"/>
  <c r="D74"/>
  <c r="D75"/>
  <c r="D76"/>
  <c r="D77"/>
  <c r="D78"/>
  <c r="D79"/>
  <c r="D80"/>
  <c r="D81"/>
  <c r="D82"/>
  <c r="D83"/>
  <c r="D84"/>
  <c r="D85"/>
  <c r="D86"/>
  <c r="D87"/>
  <c r="D88"/>
  <c r="D89"/>
  <c r="D90"/>
  <c r="D91"/>
  <c r="D92"/>
  <c r="D94"/>
  <c r="D95"/>
  <c r="D96"/>
  <c r="D97"/>
  <c r="D98"/>
  <c r="D99"/>
  <c r="D100"/>
  <c r="D101"/>
  <c r="D102"/>
  <c r="D103"/>
  <c r="D104"/>
  <c r="D105"/>
  <c r="D106"/>
  <c r="D107"/>
  <c r="D108"/>
  <c r="D109"/>
  <c r="D110"/>
  <c r="D111"/>
  <c r="D112"/>
  <c r="D113"/>
  <c r="D114"/>
  <c r="D116"/>
  <c r="D117"/>
  <c r="D118"/>
  <c r="D119"/>
  <c r="D120"/>
  <c r="D122"/>
  <c r="D123"/>
  <c r="D124"/>
  <c r="D125"/>
  <c r="D126"/>
  <c r="D127"/>
  <c r="D128"/>
  <c r="D129"/>
  <c r="D130"/>
  <c r="D131"/>
  <c r="D132"/>
  <c r="D133"/>
  <c r="D135"/>
  <c r="D136"/>
  <c r="D137"/>
  <c r="D138"/>
  <c r="D139"/>
  <c r="D140"/>
  <c r="D141"/>
  <c r="D142"/>
  <c r="D143"/>
  <c r="D144"/>
  <c r="D145"/>
  <c r="D146"/>
  <c r="D147"/>
  <c r="D148"/>
  <c r="D149"/>
  <c r="D150"/>
  <c r="D151"/>
  <c r="D152"/>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D197"/>
  <c r="D198"/>
  <c r="D199"/>
  <c r="D200"/>
  <c r="D202"/>
  <c r="D203"/>
  <c r="D204"/>
  <c r="D205"/>
  <c r="D206"/>
  <c r="D207"/>
  <c r="D208"/>
  <c r="D209"/>
  <c r="D210"/>
  <c r="D211"/>
  <c r="D212"/>
  <c r="D213"/>
  <c r="D214"/>
  <c r="D215"/>
  <c r="D216"/>
  <c r="D217"/>
  <c r="D218"/>
  <c r="D219"/>
  <c r="D220"/>
  <c r="D221"/>
  <c r="D222"/>
  <c r="D223"/>
  <c r="D224"/>
  <c r="D225"/>
  <c r="D226"/>
  <c r="D227"/>
  <c r="D228"/>
  <c r="D229"/>
  <c r="D230"/>
  <c r="D231"/>
  <c r="D232"/>
  <c r="D233"/>
  <c r="D234"/>
  <c r="D235"/>
  <c r="D236"/>
  <c r="D238"/>
  <c r="D239"/>
  <c r="D240"/>
  <c r="D241"/>
  <c r="D242"/>
  <c r="D243"/>
  <c r="D244"/>
  <c r="D245"/>
  <c r="D246"/>
  <c r="D247"/>
  <c r="D248"/>
  <c r="D249"/>
  <c r="D250"/>
  <c r="D251"/>
  <c r="D253"/>
  <c r="D254"/>
  <c r="D255"/>
  <c r="D256"/>
  <c r="D257"/>
  <c r="D6"/>
  <c r="D5"/>
  <c r="D3"/>
  <c r="D4"/>
  <c r="D2"/>
  <c r="O18"/>
  <c r="O19"/>
  <c r="O20"/>
  <c r="O21"/>
  <c r="O22"/>
  <c r="O23"/>
  <c r="O24"/>
  <c r="O25"/>
  <c r="O26"/>
  <c r="O27"/>
  <c r="O28"/>
  <c r="O29"/>
  <c r="O30"/>
  <c r="O31"/>
  <c r="O32"/>
  <c r="O33"/>
  <c r="O34"/>
  <c r="O35"/>
  <c r="O36"/>
  <c r="O37"/>
  <c r="O38"/>
  <c r="O39"/>
  <c r="O40"/>
  <c r="O41"/>
  <c r="O42"/>
  <c r="O43"/>
  <c r="O44"/>
  <c r="O45"/>
  <c r="O46"/>
  <c r="O47"/>
  <c r="O48"/>
  <c r="O49"/>
  <c r="Q39"/>
  <c r="O50"/>
  <c r="O51"/>
  <c r="O52"/>
  <c r="O53"/>
  <c r="O54"/>
  <c r="O55"/>
  <c r="O56"/>
  <c r="O57"/>
  <c r="O58"/>
  <c r="O59"/>
  <c r="O60"/>
  <c r="O61"/>
  <c r="O62"/>
  <c r="O63"/>
  <c r="O64"/>
  <c r="O65"/>
  <c r="O66"/>
  <c r="O67"/>
  <c r="O68"/>
  <c r="O69"/>
  <c r="O70"/>
  <c r="O71"/>
  <c r="O72"/>
  <c r="O73"/>
  <c r="O74"/>
  <c r="O75"/>
  <c r="O76"/>
  <c r="O77"/>
  <c r="O78"/>
  <c r="O79"/>
  <c r="O80"/>
  <c r="O81"/>
  <c r="Q81"/>
  <c r="O82"/>
  <c r="O83"/>
  <c r="O84"/>
  <c r="O85"/>
  <c r="O86"/>
  <c r="O87"/>
  <c r="O88"/>
  <c r="O89"/>
  <c r="O90"/>
  <c r="O91"/>
  <c r="O92"/>
  <c r="O93"/>
  <c r="Q93"/>
  <c r="O94"/>
  <c r="O95"/>
  <c r="O96"/>
  <c r="O97"/>
  <c r="O98"/>
  <c r="O99"/>
  <c r="O100"/>
  <c r="O101"/>
  <c r="O102"/>
  <c r="O103"/>
  <c r="O104"/>
  <c r="O105"/>
  <c r="O106"/>
  <c r="O107"/>
  <c r="O108"/>
  <c r="O109"/>
  <c r="O110"/>
  <c r="O111"/>
  <c r="O112"/>
  <c r="O113"/>
  <c r="O114"/>
  <c r="O115"/>
  <c r="O116"/>
  <c r="O117"/>
  <c r="O118"/>
  <c r="O119"/>
  <c r="O120"/>
  <c r="O121"/>
  <c r="Q121"/>
  <c r="O122"/>
  <c r="O123"/>
  <c r="O124"/>
  <c r="O125"/>
  <c r="O126"/>
  <c r="O127"/>
  <c r="O128"/>
  <c r="O129"/>
  <c r="O130"/>
  <c r="O131"/>
  <c r="O132"/>
  <c r="O133"/>
  <c r="O134"/>
  <c r="O135"/>
  <c r="O136"/>
  <c r="O137"/>
  <c r="O138"/>
  <c r="O139"/>
  <c r="O140"/>
  <c r="O141"/>
  <c r="O142"/>
  <c r="O143"/>
  <c r="O144"/>
  <c r="O145"/>
  <c r="O146"/>
  <c r="O147"/>
  <c r="Q134"/>
  <c r="O148"/>
  <c r="O149"/>
  <c r="O150"/>
  <c r="O151"/>
  <c r="O152"/>
  <c r="O153"/>
  <c r="Q153"/>
  <c r="O154"/>
  <c r="O155"/>
  <c r="O156"/>
  <c r="O157"/>
  <c r="O158"/>
  <c r="O159"/>
  <c r="O160"/>
  <c r="O161"/>
  <c r="O162"/>
  <c r="O163"/>
  <c r="O164"/>
  <c r="O165"/>
  <c r="O166"/>
  <c r="O167"/>
  <c r="Q167"/>
  <c r="O168"/>
  <c r="O169"/>
  <c r="O170"/>
  <c r="O171"/>
  <c r="O172"/>
  <c r="O173"/>
  <c r="O174"/>
  <c r="O175"/>
  <c r="O176"/>
  <c r="O177"/>
  <c r="O178"/>
  <c r="O179"/>
  <c r="O180"/>
  <c r="O181"/>
  <c r="O182"/>
  <c r="O183"/>
  <c r="O184"/>
  <c r="O185"/>
  <c r="O186"/>
  <c r="O187"/>
  <c r="O188"/>
  <c r="O189"/>
  <c r="O190"/>
  <c r="O191"/>
  <c r="O192"/>
  <c r="O193"/>
  <c r="O194"/>
  <c r="O195"/>
  <c r="O196"/>
  <c r="O197"/>
  <c r="O198"/>
  <c r="O199"/>
  <c r="O200"/>
  <c r="O201"/>
  <c r="O202"/>
  <c r="O203"/>
  <c r="O204"/>
  <c r="O205"/>
  <c r="O206"/>
  <c r="O207"/>
  <c r="O208"/>
  <c r="O209"/>
  <c r="O210"/>
  <c r="O211"/>
  <c r="O212"/>
  <c r="O213"/>
  <c r="O214"/>
  <c r="O215"/>
  <c r="O216"/>
  <c r="O217"/>
  <c r="O218"/>
  <c r="O219"/>
  <c r="O220"/>
  <c r="O221"/>
  <c r="O222"/>
  <c r="O223"/>
  <c r="O224"/>
  <c r="O225"/>
  <c r="O226"/>
  <c r="O227"/>
  <c r="O228"/>
  <c r="O229"/>
  <c r="O230"/>
  <c r="O231"/>
  <c r="O232"/>
  <c r="O233"/>
  <c r="O234"/>
  <c r="O235"/>
  <c r="O236"/>
  <c r="O237"/>
  <c r="O238"/>
  <c r="O239"/>
  <c r="O240"/>
  <c r="O241"/>
  <c r="O242"/>
  <c r="O243"/>
  <c r="O244"/>
  <c r="O245"/>
  <c r="O246"/>
  <c r="O247"/>
  <c r="O248"/>
  <c r="O249"/>
  <c r="O250"/>
  <c r="O251"/>
  <c r="O252"/>
  <c r="O253"/>
  <c r="O254"/>
  <c r="O255"/>
  <c r="O256"/>
  <c r="O257"/>
  <c r="O2"/>
  <c r="O3"/>
  <c r="O4"/>
  <c r="O5"/>
  <c r="Q5"/>
  <c r="O6"/>
  <c r="O7"/>
  <c r="O8"/>
  <c r="O9"/>
  <c r="O10"/>
  <c r="O11"/>
  <c r="O12"/>
  <c r="O13"/>
  <c r="O14"/>
  <c r="O15"/>
  <c r="O16"/>
  <c r="O17"/>
  <c r="Q178"/>
  <c r="B11" i="9"/>
  <c r="A11"/>
  <c r="O6" i="5"/>
  <c r="P6"/>
  <c r="O7"/>
  <c r="P7"/>
  <c r="O8"/>
  <c r="P8"/>
  <c r="O10"/>
  <c r="P10"/>
  <c r="O11"/>
  <c r="P11"/>
  <c r="O12"/>
  <c r="P12"/>
  <c r="O13"/>
  <c r="P13"/>
  <c r="O14"/>
  <c r="P14"/>
  <c r="O15"/>
  <c r="P15"/>
  <c r="O16"/>
  <c r="P16"/>
  <c r="O17"/>
  <c r="P17"/>
  <c r="O18"/>
  <c r="P18"/>
  <c r="O19"/>
  <c r="P19"/>
  <c r="O20"/>
  <c r="P20"/>
  <c r="O21"/>
  <c r="P21"/>
  <c r="O5"/>
  <c r="P5"/>
  <c r="Q3" i="3"/>
  <c r="Q4"/>
  <c r="Q6"/>
  <c r="Q7"/>
  <c r="Q8"/>
  <c r="Q9"/>
  <c r="Q10"/>
  <c r="Q11"/>
  <c r="Q12"/>
  <c r="Q13"/>
  <c r="Q14"/>
  <c r="Q15"/>
  <c r="Q16"/>
  <c r="Q17"/>
  <c r="Q18"/>
  <c r="Q19"/>
  <c r="Q20"/>
  <c r="Q21"/>
  <c r="Q22"/>
  <c r="Q23"/>
  <c r="Q24"/>
  <c r="Q25"/>
  <c r="Q26"/>
  <c r="Q27"/>
  <c r="Q28"/>
  <c r="Q29"/>
  <c r="Q30"/>
  <c r="Q31"/>
  <c r="Q32"/>
  <c r="Q33"/>
  <c r="Q34"/>
  <c r="Q35"/>
  <c r="Q36"/>
  <c r="Q37"/>
  <c r="Q38"/>
  <c r="Q40"/>
  <c r="Q41"/>
  <c r="Q42"/>
  <c r="Q43"/>
  <c r="Q44"/>
  <c r="Q45"/>
  <c r="Q46"/>
  <c r="Q47"/>
  <c r="Q48"/>
  <c r="Q49"/>
  <c r="Q50"/>
  <c r="Q51"/>
  <c r="Q52"/>
  <c r="Q53"/>
  <c r="Q54"/>
  <c r="Q55"/>
  <c r="Q56"/>
  <c r="Q57"/>
  <c r="Q58"/>
  <c r="Q59"/>
  <c r="Q60"/>
  <c r="Q61"/>
  <c r="Q62"/>
  <c r="Q63"/>
  <c r="Q64"/>
  <c r="Q65"/>
  <c r="Q66"/>
  <c r="Q67"/>
  <c r="Q68"/>
  <c r="Q69"/>
  <c r="Q70"/>
  <c r="Q71"/>
  <c r="Q72"/>
  <c r="Q73"/>
  <c r="Q74"/>
  <c r="Q75"/>
  <c r="Q76"/>
  <c r="Q77"/>
  <c r="Q78"/>
  <c r="Q79"/>
  <c r="Q80"/>
  <c r="Q82"/>
  <c r="Q83"/>
  <c r="Q84"/>
  <c r="Q85"/>
  <c r="Q86"/>
  <c r="Q87"/>
  <c r="Q88"/>
  <c r="Q89"/>
  <c r="Q90"/>
  <c r="Q91"/>
  <c r="Q92"/>
  <c r="Q94"/>
  <c r="Q95"/>
  <c r="Q96"/>
  <c r="Q97"/>
  <c r="Q98"/>
  <c r="Q99"/>
  <c r="Q100"/>
  <c r="Q101"/>
  <c r="Q102"/>
  <c r="Q103"/>
  <c r="Q104"/>
  <c r="Q105"/>
  <c r="Q106"/>
  <c r="Q107"/>
  <c r="Q108"/>
  <c r="Q109"/>
  <c r="Q110"/>
  <c r="Q111"/>
  <c r="Q112"/>
  <c r="Q113"/>
  <c r="Q114"/>
  <c r="Q115"/>
  <c r="Q116"/>
  <c r="Q117"/>
  <c r="Q118"/>
  <c r="Q119"/>
  <c r="Q120"/>
  <c r="Q122"/>
  <c r="Q123"/>
  <c r="Q124"/>
  <c r="Q125"/>
  <c r="Q126"/>
  <c r="Q127"/>
  <c r="Q128"/>
  <c r="Q129"/>
  <c r="Q130"/>
  <c r="Q131"/>
  <c r="Q132"/>
  <c r="Q133"/>
  <c r="Q135"/>
  <c r="Q136"/>
  <c r="Q137"/>
  <c r="Q138"/>
  <c r="Q139"/>
  <c r="Q140"/>
  <c r="Q141"/>
  <c r="Q142"/>
  <c r="Q143"/>
  <c r="Q144"/>
  <c r="Q145"/>
  <c r="Q146"/>
  <c r="Q147"/>
  <c r="Q148"/>
  <c r="Q149"/>
  <c r="Q150"/>
  <c r="Q151"/>
  <c r="Q152"/>
  <c r="Q154"/>
  <c r="Q155"/>
  <c r="Q156"/>
  <c r="Q157"/>
  <c r="Q158"/>
  <c r="Q159"/>
  <c r="Q160"/>
  <c r="Q161"/>
  <c r="Q162"/>
  <c r="Q163"/>
  <c r="Q164"/>
  <c r="Q165"/>
  <c r="Q166"/>
  <c r="Q168"/>
  <c r="Q169"/>
  <c r="Q170"/>
  <c r="Q171"/>
  <c r="Q172"/>
  <c r="Q173"/>
  <c r="Q174"/>
  <c r="Q175"/>
  <c r="Q176"/>
  <c r="Q177"/>
  <c r="Q2"/>
  <c r="I14" i="1"/>
  <c r="I15"/>
  <c r="I16"/>
  <c r="I18"/>
  <c r="I19"/>
  <c r="I20"/>
  <c r="I21"/>
  <c r="I22"/>
  <c r="I23"/>
  <c r="I24"/>
  <c r="I25"/>
  <c r="I26"/>
  <c r="I27"/>
  <c r="I28"/>
  <c r="I29"/>
  <c r="I13"/>
  <c r="N14"/>
  <c r="N15"/>
  <c r="N16"/>
  <c r="N17"/>
  <c r="N18"/>
  <c r="N19"/>
  <c r="N20"/>
  <c r="N21"/>
  <c r="N22"/>
  <c r="N23"/>
  <c r="N24"/>
  <c r="N25"/>
  <c r="N26"/>
  <c r="N27"/>
  <c r="N28"/>
  <c r="N29"/>
  <c r="N30"/>
  <c r="N31"/>
  <c r="N32"/>
  <c r="N33"/>
  <c r="N34"/>
  <c r="N35"/>
  <c r="N36"/>
  <c r="N37"/>
  <c r="N38"/>
  <c r="N39"/>
  <c r="N40"/>
  <c r="N41"/>
  <c r="N42"/>
  <c r="N43"/>
  <c r="N44"/>
  <c r="N13"/>
  <c r="J14"/>
  <c r="J15"/>
  <c r="J16"/>
  <c r="J18"/>
  <c r="J19"/>
  <c r="J20"/>
  <c r="J21"/>
  <c r="J22"/>
  <c r="J23"/>
  <c r="J24"/>
  <c r="J25"/>
  <c r="J26"/>
  <c r="J27"/>
  <c r="J28"/>
  <c r="J29"/>
  <c r="J13"/>
  <c r="J31"/>
  <c r="D17"/>
  <c r="K17"/>
  <c r="D18"/>
  <c r="K18"/>
  <c r="D19"/>
  <c r="K19"/>
  <c r="D20"/>
  <c r="K20"/>
  <c r="D21"/>
  <c r="K21"/>
  <c r="D22"/>
  <c r="K22"/>
  <c r="D23"/>
  <c r="K23"/>
  <c r="D24"/>
  <c r="K24"/>
  <c r="D25"/>
  <c r="K25"/>
  <c r="D26"/>
  <c r="K26"/>
  <c r="D27"/>
  <c r="K27"/>
  <c r="D28"/>
  <c r="K28"/>
  <c r="D29"/>
  <c r="K29"/>
  <c r="D14"/>
  <c r="D15"/>
  <c r="K15"/>
  <c r="D16"/>
  <c r="K16"/>
  <c r="D13"/>
  <c r="K13"/>
  <c r="F2" i="2"/>
  <c r="F3"/>
  <c r="F4"/>
  <c r="F5"/>
  <c r="F6"/>
  <c r="F7"/>
  <c r="F8"/>
  <c r="F9"/>
  <c r="F10"/>
  <c r="F11"/>
  <c r="F12"/>
  <c r="F13"/>
  <c r="F14"/>
  <c r="F15"/>
  <c r="F16"/>
  <c r="F17"/>
  <c r="F18"/>
  <c r="F19"/>
  <c r="F20"/>
  <c r="F21"/>
  <c r="F22"/>
  <c r="F23"/>
  <c r="F24"/>
  <c r="F25"/>
  <c r="F26"/>
  <c r="F27"/>
  <c r="F28"/>
  <c r="F29"/>
  <c r="F30"/>
  <c r="F31"/>
  <c r="F32"/>
  <c r="F33"/>
  <c r="I2"/>
  <c r="K14" i="1"/>
</calcChain>
</file>

<file path=xl/comments1.xml><?xml version="1.0" encoding="utf-8"?>
<comments xmlns="http://schemas.openxmlformats.org/spreadsheetml/2006/main">
  <authors>
    <author>James Fischer</author>
  </authors>
  <commentList>
    <comment ref="D13" authorId="0">
      <text>
        <r>
          <rPr>
            <b/>
            <sz val="10"/>
            <color indexed="81"/>
            <rFont val="Arial"/>
            <family val="2"/>
          </rPr>
          <t>=IF(ISERROR(VLOOKUP(G13,'List of NFL Teams'!$A$2:$B$33,2,FALSE))=TRUE,"",VLOOKUP(G13,'List of NFL Teams'!$A$2:$B$33,2,FALSE))</t>
        </r>
      </text>
    </comment>
    <comment ref="I13" authorId="0">
      <text>
        <r>
          <rPr>
            <b/>
            <sz val="10"/>
            <color indexed="81"/>
            <rFont val="Arial"/>
            <family val="2"/>
          </rPr>
          <t>='Discount Rates'!P5</t>
        </r>
      </text>
    </comment>
    <comment ref="J13" authorId="0">
      <text>
        <r>
          <rPr>
            <b/>
            <sz val="10"/>
            <color indexed="81"/>
            <rFont val="Arial"/>
            <family val="2"/>
          </rPr>
          <t>=H13/I13</t>
        </r>
      </text>
    </comment>
    <comment ref="K13" authorId="0">
      <text>
        <r>
          <rPr>
            <b/>
            <sz val="10"/>
            <color indexed="81"/>
            <rFont val="Arial"/>
            <family val="2"/>
          </rPr>
          <t>=IF(ISERROR(VLOOKUP(C13,NFLTEAMS,1,FALSE)),0,1)+IF(ISERROR(VLOOKUP(D13,NFLTEAMS,1,FALSE)),0,1)</t>
        </r>
      </text>
    </comment>
    <comment ref="N13" authorId="0">
      <text>
        <r>
          <rPr>
            <b/>
            <sz val="10"/>
            <color indexed="81"/>
            <rFont val="Arial"/>
            <family val="2"/>
          </rPr>
          <t>=COUNTIF($G$13:$G$29,'List of NFL Teams'!A2)+IF(ISERROR(VLOOKUP('List of NFL Teams'!B2,'Solver Model &amp; Output'!$C$13:$C$29,1,FALSE)),0,1)</t>
        </r>
      </text>
    </comment>
    <comment ref="H29" authorId="0">
      <text>
        <r>
          <rPr>
            <b/>
            <sz val="10"/>
            <color indexed="81"/>
            <rFont val="Arial"/>
            <family val="2"/>
          </rPr>
          <t>=SUMIFS('Game Data'!D:D,'Game Data'!$B:$B,F29,'Game Data'!$C:$C,VLOOKUP('Solver Model &amp; Output'!G29,'List of NFL Teams'!$A$2:$C$33,3,FALSE))</t>
        </r>
      </text>
    </comment>
    <comment ref="J31" authorId="0">
      <text>
        <r>
          <rPr>
            <b/>
            <sz val="10"/>
            <color indexed="81"/>
            <rFont val="Arial"/>
            <family val="2"/>
          </rPr>
          <t>=SUM(J13:J29)</t>
        </r>
      </text>
    </comment>
  </commentList>
</comments>
</file>

<file path=xl/comments2.xml><?xml version="1.0" encoding="utf-8"?>
<comments xmlns="http://schemas.openxmlformats.org/spreadsheetml/2006/main">
  <authors>
    <author>James Fischer</author>
  </authors>
  <commentList>
    <comment ref="F5" authorId="0">
      <text>
        <r>
          <rPr>
            <b/>
            <sz val="10"/>
            <color indexed="81"/>
            <rFont val="Arial"/>
            <family val="2"/>
          </rPr>
          <t>=IF(ISERROR(VLOOKUP(B5,'Solver Model &amp; Output'!$C$13:$C$29,1,FALSE)),'List of NFL Teams'!B5,"")</t>
        </r>
      </text>
    </comment>
  </commentList>
</comments>
</file>

<file path=xl/comments3.xml><?xml version="1.0" encoding="utf-8"?>
<comments xmlns="http://schemas.openxmlformats.org/spreadsheetml/2006/main">
  <authors>
    <author>James Fischer</author>
  </authors>
  <commentList>
    <comment ref="C2" authorId="0">
      <text>
        <r>
          <rPr>
            <b/>
            <sz val="10"/>
            <color indexed="81"/>
            <rFont val="Arial"/>
            <family val="2"/>
          </rPr>
          <t>=IF(N2&gt;0,E2,F2)</t>
        </r>
      </text>
    </comment>
    <comment ref="D2" authorId="0">
      <text>
        <r>
          <rPr>
            <b/>
            <sz val="10"/>
            <color indexed="81"/>
            <rFont val="Arial"/>
            <family val="2"/>
          </rPr>
          <t>=ABS(L2-M2)+IF(C2=F2,0.2,0)</t>
        </r>
      </text>
    </comment>
    <comment ref="H2" authorId="0">
      <text>
        <r>
          <rPr>
            <b/>
            <sz val="10"/>
            <color indexed="81"/>
            <rFont val="Arial"/>
            <family val="2"/>
          </rPr>
          <t>=VLOOKUP(E2,'DVOA DATA'!$A$1:$AK$35,IF('Solver Model &amp; Output'!$M$3&lt;3,('Solver Model &amp; Output'!$M$3)*2,('Solver Model &amp; Output'!$M$3+1)*2), FALSE)</t>
        </r>
      </text>
    </comment>
    <comment ref="I2" authorId="0">
      <text>
        <r>
          <rPr>
            <b/>
            <sz val="10"/>
            <color indexed="81"/>
            <rFont val="Arial"/>
            <family val="2"/>
          </rPr>
          <t>=VLOOKUP(F2,'DVOA DATA'!$A$1:$AK$35,IF('Solver Model &amp; Output'!$M$3&lt;3,('Solver Model &amp; Output'!$M$3)*2,('Solver Model &amp; Output'!$M$3+1)*2), FALSE)</t>
        </r>
      </text>
    </comment>
    <comment ref="J2" authorId="0">
      <text>
        <r>
          <rPr>
            <b/>
            <sz val="10"/>
            <color indexed="81"/>
            <rFont val="Arial"/>
            <family val="2"/>
          </rPr>
          <t>=VLOOKUP(E2,'DVOA DATA'!$A$1:$AK$35,IF('Solver Model &amp; Output'!$M$3&lt;3,(('Solver Model &amp; Output'!$M$3)*2)+1,(('Solver Model &amp; Output'!$M$3+1)*2)+1), FALSE)</t>
        </r>
      </text>
    </comment>
    <comment ref="K2" authorId="0">
      <text>
        <r>
          <rPr>
            <b/>
            <sz val="10"/>
            <color indexed="81"/>
            <rFont val="Arial"/>
            <family val="2"/>
          </rPr>
          <t>=VLOOKUP(F2,'DVOA DATA'!$A$1:$AK$35,IF('Solver Model &amp; Output'!$M$3&lt;3,(('Solver Model &amp; Output'!$M$3)*2)+1,(('Solver Model &amp; Output'!$M$3+1)*2)+1), FALSE)</t>
        </r>
      </text>
    </comment>
    <comment ref="L2" authorId="0">
      <text>
        <r>
          <rPr>
            <b/>
            <sz val="10"/>
            <color indexed="81"/>
            <rFont val="Arial"/>
            <family val="2"/>
          </rPr>
          <t>=H2-J2</t>
        </r>
      </text>
    </comment>
    <comment ref="M2" authorId="0">
      <text>
        <r>
          <rPr>
            <b/>
            <sz val="10"/>
            <color indexed="81"/>
            <rFont val="Arial"/>
            <family val="2"/>
          </rPr>
          <t>=I2-K2</t>
        </r>
      </text>
    </comment>
    <comment ref="N2" authorId="0">
      <text>
        <r>
          <rPr>
            <b/>
            <sz val="10"/>
            <color indexed="81"/>
            <rFont val="Arial"/>
            <family val="2"/>
          </rPr>
          <t>=L2-M2</t>
        </r>
      </text>
    </comment>
    <comment ref="O2" authorId="0">
      <text>
        <r>
          <rPr>
            <b/>
            <sz val="10"/>
            <color indexed="81"/>
            <rFont val="Arial"/>
            <family val="2"/>
          </rPr>
          <t>=IF(N2&gt;0,E2,F2)</t>
        </r>
      </text>
    </comment>
  </commentList>
</comments>
</file>

<file path=xl/sharedStrings.xml><?xml version="1.0" encoding="utf-8"?>
<sst xmlns="http://schemas.openxmlformats.org/spreadsheetml/2006/main" count="996" uniqueCount="138">
  <si>
    <t>Week 1</t>
  </si>
  <si>
    <t>Week 2</t>
  </si>
  <si>
    <t>Week 3</t>
  </si>
  <si>
    <t>Week 4</t>
  </si>
  <si>
    <t>Week 5</t>
  </si>
  <si>
    <t>Week 6</t>
  </si>
  <si>
    <t>Week 7</t>
  </si>
  <si>
    <t>Week 8</t>
  </si>
  <si>
    <t>Week 9</t>
  </si>
  <si>
    <t>Week 10</t>
  </si>
  <si>
    <t>Week 11</t>
  </si>
  <si>
    <t>Week 12</t>
  </si>
  <si>
    <t>Week 13</t>
  </si>
  <si>
    <t>Week 14</t>
  </si>
  <si>
    <t>Week 15</t>
  </si>
  <si>
    <t>Week 16</t>
  </si>
  <si>
    <t>Week 17</t>
  </si>
  <si>
    <t>Buffalo Bills</t>
  </si>
  <si>
    <t>Miami Dolphins</t>
  </si>
  <si>
    <t>New England Patriots</t>
  </si>
  <si>
    <t>New York Jets</t>
  </si>
  <si>
    <t>Baltimore Ravens</t>
  </si>
  <si>
    <t>Cincinnati Bengals</t>
  </si>
  <si>
    <t>Cleveland Browns</t>
  </si>
  <si>
    <t>Pittsburgh Steelers</t>
  </si>
  <si>
    <t>Houston Texans</t>
  </si>
  <si>
    <t>Indianapolis Colts</t>
  </si>
  <si>
    <t>Jacksonville Jaguars</t>
  </si>
  <si>
    <t>Tennessee Titans</t>
  </si>
  <si>
    <t>Denver Broncos</t>
  </si>
  <si>
    <t>Kansas City Chiefs</t>
  </si>
  <si>
    <t>Oakland Raiders</t>
  </si>
  <si>
    <t>San Diego Chargers</t>
  </si>
  <si>
    <t>Dallas Cowboys</t>
  </si>
  <si>
    <t>New York Giants</t>
  </si>
  <si>
    <t>Philadelphia Eagles</t>
  </si>
  <si>
    <t>Washington Redskins</t>
  </si>
  <si>
    <t>Chicago Bears</t>
  </si>
  <si>
    <t>Detroit Lions</t>
  </si>
  <si>
    <t>Green Bay Packers</t>
  </si>
  <si>
    <t>Minnesota Vikings</t>
  </si>
  <si>
    <t>Atlanta Falcons</t>
  </si>
  <si>
    <t>Carolina Panthers</t>
  </si>
  <si>
    <t>New Orleans Saints</t>
  </si>
  <si>
    <t>Tampa Bay Buccaneers</t>
  </si>
  <si>
    <t>Arizona Cardinals</t>
  </si>
  <si>
    <t>St. Louis Rams</t>
  </si>
  <si>
    <t>San Francisco 49ers</t>
  </si>
  <si>
    <t>Seattle Seahawks</t>
  </si>
  <si>
    <t>List for User Picks</t>
  </si>
  <si>
    <t/>
  </si>
  <si>
    <t>Pick Only Once!</t>
  </si>
  <si>
    <t>Already Picked?</t>
  </si>
  <si>
    <t>ARI</t>
  </si>
  <si>
    <t>ATL</t>
  </si>
  <si>
    <t>BAL</t>
  </si>
  <si>
    <t>BUF</t>
  </si>
  <si>
    <t>CAR</t>
  </si>
  <si>
    <t>CHI</t>
  </si>
  <si>
    <t>CIN</t>
  </si>
  <si>
    <t>CLE</t>
  </si>
  <si>
    <t>DAL</t>
  </si>
  <si>
    <t>DEN</t>
  </si>
  <si>
    <t>DET</t>
  </si>
  <si>
    <t>GB</t>
  </si>
  <si>
    <t>HOU</t>
  </si>
  <si>
    <t>IND</t>
  </si>
  <si>
    <t>JAC</t>
  </si>
  <si>
    <t>KC</t>
  </si>
  <si>
    <t>MIA</t>
  </si>
  <si>
    <t>MIN</t>
  </si>
  <si>
    <t>NE</t>
  </si>
  <si>
    <t>NO</t>
  </si>
  <si>
    <t>NYG</t>
  </si>
  <si>
    <t>NYJ</t>
  </si>
  <si>
    <t>OAK</t>
  </si>
  <si>
    <t>PHI</t>
  </si>
  <si>
    <t>PIT</t>
  </si>
  <si>
    <t>SD</t>
  </si>
  <si>
    <t>SEA</t>
  </si>
  <si>
    <t>SF</t>
  </si>
  <si>
    <t>STL</t>
  </si>
  <si>
    <t>TB</t>
  </si>
  <si>
    <t>TEN</t>
  </si>
  <si>
    <t>WAS</t>
  </si>
  <si>
    <t>SEAS</t>
  </si>
  <si>
    <t>WEEK</t>
  </si>
  <si>
    <t>V</t>
  </si>
  <si>
    <t>H</t>
  </si>
  <si>
    <t>Game Value</t>
  </si>
  <si>
    <t>Perdicited Winner</t>
  </si>
  <si>
    <t>Vistor OFF DVOA</t>
  </si>
  <si>
    <t>Home Off DVOA</t>
  </si>
  <si>
    <t>Vistor Def DVOA</t>
  </si>
  <si>
    <t>Home Def DVOA</t>
  </si>
  <si>
    <t>Vistor Chance</t>
  </si>
  <si>
    <t xml:space="preserve">Home Chance </t>
  </si>
  <si>
    <t>Our Perdiction</t>
  </si>
  <si>
    <t>Correct?</t>
  </si>
  <si>
    <t>Week</t>
  </si>
  <si>
    <t>Sum</t>
  </si>
  <si>
    <t>Actual Winner</t>
  </si>
  <si>
    <t>Discount</t>
  </si>
  <si>
    <t># of Players</t>
  </si>
  <si>
    <t>Pick Accuracy</t>
  </si>
  <si>
    <t>% That Lose</t>
  </si>
  <si>
    <t># Still In</t>
  </si>
  <si>
    <t>% Likelihood that 1 person will finish Season</t>
  </si>
  <si>
    <t>Bunch of Jokers</t>
  </si>
  <si>
    <t>Average</t>
  </si>
  <si>
    <t>These Guys Are Good</t>
  </si>
  <si>
    <t>I Think These Guys Cheat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</si>
  <si>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</si>
  <si>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</si>
  <si>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</si>
  <si>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</si>
  <si>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</si>
  <si>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</si>
  <si>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</si>
  <si>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</si>
  <si>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</si>
  <si>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</si>
  <si>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</si>
  <si>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</si>
  <si>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9f698d85-cd5c-4cfc-82da-556ecd3d9276</t>
  </si>
  <si>
    <t>CB_Block_0</t>
  </si>
  <si>
    <t>㜸〱敤㕣㔹㙣㈴㐷ㄹ㥥㙡㑦㡦愷挷昶摡㔹㙦㡥つ㈱㌱〹㈱㄰㉦捥㝡㤳㈵〴㔸㡣㡦散ㄱ扣㙢㘷敤摤㠰〰捤戶㘷慡搷㥤㥤敥㜶扡㝢扣敢㄰㈹ㄱ㈴ㅣ㠲㠰ㄴづㄱ〸㠷㈲㠴挴ぢ搷〳户㤰㤰㤰㐰㈸㐸㍣挰〳㠸㠷㜰〸ㅥ㐰㘸ㄱ㉦㍣㠰攰晢慡扢㘷㝡㘶㍣㙤㘷㤲㠰㠳㕣㥢昹㕤㕤㔷㔷搵㝦搶晦㔷㈷㈷㜲戹摣扦㤱昸㤷㈹捦捣㜵㑢ㅢ㐱㈸㥤㠹㔹慦㔶㤳㤵搰昶摣㘰㘲摡昷捤㡤㜹㍢〸晢搰愰㔰戶㔱ㅦ攸攵挰㝥㔰ㄶ换敢搲て搰㐸捦攵㡡㐵㐳㐳㍤〷攱㙦㈴㜹㌰搸㙢㌰て戰㍣㍢戳戰㜲㍦㐶㕤ち㍤㕦ㅥㄸ㍢ㅢ昵㍤㌲㌹㌹㌱㌹㜱攸昶扢㈶㈷づㅥㄸ㥢慤搷挲扡㉦㡦戸戲ㅥ晡㘶敤挰搸㘲㝤愵㘶㔷摥㉡㌷㤶扤ぢ搲㍤㈲㔷づ摥扥㘲摥昱晡挹㍢づㅦ戶敥扡敢昵㠳㜸㜵敥搴散捣愲㉦慤攰〵ㅡ㔳攷㤴敦㤸㤳ㄵ㥢㙢㤳搲户摤昳ㄳ戳㌳昸㉦㌵㝦㍣摤㌹戱戴㉡㘵挸㔷㑢㕦扡ㄵㄹㄸ攸㌸攰㑣〷㐱摤㔹攳收ㄹ捥㔱㉣戵㘲〶愱敥捣捡㕡捤㜰㤲㔱㡢捥〲昶慥㘶㙥っ㍡㑢搲つ散搰㕥户挳㡤㠲戳㡣㠱慡㐳捥㤹㐰㥥㌶摤昳昲㤴改㐸摤㌹㔶户慢昹㈸攵晡㙥㐹㠶㐸㑦㑣㉤㝦㘲㍡㜰㘶㔷㑤㕦捤㈸攰挶㘴戴㍤敡㔷㕡摢摥搴㝤㕣㑥㕤扤㠱㘳摥摣扤ㅤ㙡捥㥡㝥愳攵㜸昷㤶昱攲㕢㘷㜰㕢昷昶愹㍤㙡敤昳㥡敥㝤搴㔶戶戶ㄶ〳㌱㝤慢ㅤ挵㘲㡣〲㐱㍦㐱㤱㠰〸㌴㑡〴〳〴㠳〰㈲晦㜷㜰㐹扡㈳慢戴戲愹㤵㔷戴㜲㐵㉢㔷戵戲搴捡㤶㔶㍥慦㤵㔷戵戲慤㤵敦搷捡ㄷ搰㈶㐹挵晥㝥㉤㑥㝦晢挶扦㥣搷晤晡挳戳㥦㍦㌲昳晢ㅦ㑣㑥㍤㍥戸〷㡤敥㡤㈷㌵攷㥢ㄷ㐱㙡㑤㉡㍥㌴㜱㤰晦戶收ち㌰㠵㜵搸扡搳㥡㥣慣ㅥ㍥㘸摥㙥敡㕣㔶〶昲㕢〸㘵〴㙤〷慤晢㙣户敡㕤㔴戸扢㙥挶っ㘴㜳攳挶攳扡ㄹ慦敥㔶㠳㤷㙤㕥戹ㄴ㥡愱扣戶扤慥㌹㐸㐷户㈵戰㤵っ搴晢慥㙦敦㜶搶慣搵攵昴㈵㍢慡㝥㜹㕢戵戳攸㝢㉢摤㙢㡦晡昲㠱㐶㙤挷㡣愶㈱搴搶搵搸ㅤ慢㡣慡愲㜹㡤捤慥㝡㠱㜴搵昴挶㥤㐵扢㜲㐱晡㑢㤲㈲㔱㔶搵㔲慦㘴㔵捣昵攳ぢ㉥ㄶち㙥慤摥㤸㉥戵敥扥ㄴ㠲㤹㘵ㄵ昳㕤㤳㝥戸戱㙣慥搴攴㔵㉤㑤愲㜷愲㘲㝦㑢昱㔱慦㔲て㘶㍤㌷昴扤㕡㙢捤㜴㜵摤㠴愴愹㥥昴慡㌲㥦捦㈹愱〰㠱摢搷㈷㐴敥搶敥扣愰㄰㤱㐲㌱ㄹ昹㥡㔶戲㥢㌸㡤搵㘱ㄵ㌵㐹㥡搴㕥戹挵㘰㥣慦㤲㌱ㄹㅣ㤸㕡ㄳ昵〷㕦晡敡㉤㠶㙤㘰敥挵㙤慣㘹愳昱敡敦㕥㤷㙥㜸摣㜴慢㌵改㘷㙡㍦挱ㄹㄹ挳〰晡㘵〸㠴慥扢㐷㔵㈷㉥㠹つ晤愲㕤つ㔷ぢ慢搲㍥扦ㅡ愲っㅡ戲㔸攴搶㜶㈴攳ちㄴㄹ㝢〹㐶〱㑡愵㕣㘱ㅦㅢㄵ㑡㐸㌹㥤搲㈹㠳㤷㕢〴㌹晢戵昰昲愰㜵搴慥㠵㌲ㄲ捡挳ㄶ㌰ㄲ㘹㌵㠵扥㈱㤲愸㙦㔶㈲㠵戱捦㥡〵㤵㥡戶ㅢ㙥㌴昹戶㠳㑢㈲㈲摡㤵〵㍢㑥ㄶ㔰ㄴ戴捡㠳っ㕥〳搱戴㐹㠳散挶㈹㈲㈲ㅢ㘴㘸㜶㡣摣㑡㘴㙣㥦㈱㈳搰㍥㑤㠴㙣㝤戰扢㡣㈰戱㜷ㄲ㈹㍢㜵攵挷㕤㘹戶㤹㉤ㅦ㐹戳㉢戱㜱挶㔵〴㔷ㄳ㕣㐳戰ㅦ㐰晣ㄱㄲ㡥㔲づ昹搶㘴扣っ捦挶㜵〴㉦〷㠰㝣㌲㈸㜳㘲㔱㐵ㅢ㙡㍢㜶㈴摢つ挱㑥㔶㐶㜱㈴㡡㘸ㄹ㌷散捣㈱㐷㈱㍡戶㍡㜷㠶慥捤㉢ㅤ晢慡敥戴㤹㕥づ㈹㌲愳㘹㝡慤㕢㌴㑤㙦〴㥢昶愸户㙥㐰㔷㘳㡣攰ㄵ〰㈵攳㐶㐲㈸ㄷㅡ扣摢戳攸㘹㔲扥㈴捣愲挸ㄸ敡㔱挱挷㠴捣㈳㐰㠶㤰敢㌸扥散摡搰㌴〷挷慤㤷扣つ㝤愰㍢㝦挷㐸㙦搳㥢扢㝡㠷晥愲攷㘸㐵摦〴昶ㄲ扦改慡㘳㙥㐶戵昱㉡㠲㕢〰摡㜴っ㑦摦捦搵㔳愰捣㘲㈷㠵戹扤昴扡㈸㉢㜷㜹㘳㑤㉡つ㌴㘸㉤㥢晥㜹ㄹ挲㠳㜱㘲づ戶戰攷晢戲㠶㐳㙤㔵ㄵ昰晣㜲㜵㙢㘱㜰搴昷ㅣ㤶敦摡挸挱㑢㐲㌱攴昳㕡㕦慥捤㐶捥戰㌵㔳㍥愷ㄴ攵㔰〷摦摥㕤㐸愴㍡戵㤲ㄷ晢㘵㥦㉦㜷㈵㐹て㤲攴㌵搸㔶攳㔶〰㐸〹昱换慥ㄲ攵〰㥢扤㔶㌵㙢戵㔸改攱换㌸㥤戴昹㄰㍢攴挸㐰攴戰㥤㠱晦㈰ㄸ㜲㤶㙣愷㈱㉣〶㥣㐵改㔷攰㕢戰㙢戲ㄴ戹㘵㈹㙡㜶㘵挵㑢㐴㔶昴昵㜵㥣愷㌳晣㙢㡡㑥摡愴㐴㈶户㘷㔶㘶㥣挵㥢㐴㐵㌷㈴㠵㑡㠶㙢愸㈱㠱㐸㜹㙣扢㉢㘲㝡㄰㌱户㘱攳㡣㠳〴㤳〴㠷〰昴㥦㐱搲㙣㜷攳ㄹづ敢㕦愷㑢扢㕣捥ㄵ㠹〶攵㈲㝣愶慢戰㍡捣搷扣㡥攰㑥㠰㌶昳㠷づ挸っ㐲㔴㈸㑦ㄱ愲ち㘳㔸㘷㙤㜹㤱㌴戰挷㐲㘰㘹戶ㅥ㠴㥥挳挸搲㤰㌵攷㥤昲挲㌹㍢㔸㐳㈴㙡搴㡡㌳昷慤㑡ㄷ搴攵挳昶㘹㉢昳搶搶㘴搵戰㤶扣㍡㐴摢㠹戹㥤㜰㌰挷㜶挰㤶㔴㘷㜳㑤㈰昵㜶㍥挶㄰〲㍢慤晣慤昴挶㙥换晢捤㐳摦㜰㜳㐷㤷敤戰㈶〷慣㠸改㤸㉦㕡搸㐵㐴づ慡晤搶昲慡㉦攵摣㤰㜵捣户慢㌵摢㤵㐴〶㙣㑣〶敢收攵㜹㐴〹ㄶ㍤挶〰㍤㜷挸㕡昶㑤㌷㔸㌳ㄹ㔰摣搸摢昲愴挲㈲扡㌵㘳扢〱㕥愳戰挸晣戰戵戴敡㕤㐴挴戶敥戸挷捣戵㘰㐷㘰㠵㐴ㅦ㈵㠵ㅡ愱〹㑤ㄳ㐵慤搸㉢㝥㜸㈰捦攵挸㝢㜹〲㠵慢㥣㑥㥦㜹㠶昶愶㕤ㅦ挷㘸㘸愷㜳㑥㠳㠸ㅥ㌵ち晢㌲愵㌰㌹搵戸㡢㝤摥〰㜰捦戱㌳㈷㥡㤱戹攷ㄵ戳搶改攵捦㤰昱㡡㉣ㅡ㠱㄰晡攸昶㐴愴挲㌲㔲づ㌸㄰ㄸ攷㔳㍢昹㤵㉣搵㠶搴户愷㤹㍤㡡㐸搲愰㌵㙦慥挸ㅡ攲搱㡥ㄹ敥㠹ㅥ㘸挶㍡㘶㉤㠸敢㘶㍤挷㌱㐹㕡㈴换愵㡡㐹ち㥥慥㠷摥㐹摢㌵㉣〰㐵㝦㜱㤱㜹〹㐵收㈵㔵㌴㘸㥤㘶㘸㔰攵㌹㤶㜷摥昴敤㜰搵戱㉢㐵㍥㌰㝣户㈳㘸ㄲ㑣㑥挹㥢愴㐴㘶㡣戵㔹昳㘷㘰戲〵ㄳ㐰昷〴攴㈸户㡥攸〷攵㙡愲㠰㝦愲㐷挷ㄲ〴㡣昲㤴ㅡ㙦挲㘸扡扡ㅤ〱㤱愳搲攵攴づ挶攵㠷㔱ㄲ〹㈱㘲㍤㠳㐴攰ㄵ㑣〹㜹扡戸ぢ搶ㄹ搷づ㠱㍤㘲散愸ㅤ捥〵㐰㌹〰戲敡㜸㝢慤挲㙡慡搳㜸㐳㉢摣搰㔹搵愲㈶慥敦慣㑦敢㡤㔷㙥㔲ㅤ㘹㤴㤴㈲搹慡㤱搲㉣㥢捣㜱㈷愹ㅡ愱ㄴ㜷愲㙤㐴㤶摢戴戹敦㤴㈲捦㐳㌱㈹㥡挹ㄹ㙦㔶㠴㠲㐰㙦慣愳攸戳捦㈶㡦㔴挴㠶㌶㐰㠹㝡㉡㉡ㅢ㡡㐳㠲㈷㜰敤愴㉡㑢昱ㄳ昸㝢㑦㥣㕤愸㠷㉤㌵收愵搱戸㘶扡㔶㕢㜰㘱㈵㔴㑣扦扡㐳㔸ㅡ㙢㡢㌴㡣攲捥㕥戵㝦戴扤㈹㐶㡣搹㤰㘱㤱っ㍦㌰搸㄰捣㤵㡡愸搲㍡ㅢ攲㔶㌷㡡㡢㝣㍡㈹㑤㔷㘱㘰㈹慣捥挹㜵㘵㠶㌵㉤昹㔱搵愱㜱㕡㔴㜲搴戰愶㔷〲愸昴㤰㜲㍣捥㈹〶㌷慣搳㜴㑢攱ㄲ〳挴㙥㥣㕢慣㠴〸敤㌶〶攰挹㘰攷㘰〷㍢ㄲ㠵㑥㘸㥤㔱㠲ㄶ㌲〸户㜵ㄱ攴㥤ㅥ㌱ち㐱㙡愹昴搷㈹昱改㈷㤹扥㍣㤵㑢㌲㌱ㄳ㌱摣㤵㘱㍤〰戹改挸㈴戹㘸㌴〹㤸㐷㤲㑤〹慤挱愴㡣㈶挶㄰㑤㍥㍦挴㉤ㅥ挶戲㠶挹㌶㌵摣㜳ぢ㙤㘸搳摡挶ㅥ敢㠴㕢愹搵慢㔲愹攲㐴㔶㉢㡤扣㈳昰愵慥〰㐶摣㤴戱㉦昱愶㥣挰㔱㡡㑢㈶㤲㝡户扢㡤㈹㜴㔷㐲づ㘳㐴慡㡦〱挸っ户㥣ち㠸㜵摣㔳愰㝤戸户㜹㠱㐱㕤㥥㠳㐸敢㈸愲㉣㥢挷㝤扣㐶ㄴ㔹㜱㕢慡搹扣㌷敦搱㘶㑦ㄵㅤ户愳愲ㅤ㠱㈳慣㌳ㄲ㜸㠵〲㡣㤱ㅥ戹㠳㠳攴㉥挷搱摤换て慢挷摣㘵愰㐲㘱㐰㌰挶换㔳㔰づ扢ち㐶愲挱慤㌵慤㙥挱攸㉦㉤㙦㘳ㅡ㐰㌰っ㑣㠳ㄶ㉤㈳〳㘷ㄶ昹慤つ㥣ㅢ搰㉡㈳㐲㥡づ愶㌲㐶㌹ち㠷㍤㤰〶㙥攲㐱㝡搹㠳ㄲち昷愹㡢㘱挹摤挴㜱〷㐷㈰捦扦慡慤㜰搱っ㜱晤挵摤摦㔶㍣㕤慤搲摣㠵㝦㙥㐷㘰ㄵ㔷㌷㈲㜳㜴㕦摢愵㉣戵㈶摡㜷㌷戵㔵挴㤷〵て捤㑤ㅣ㌷挳捡敡㔲戸ㄱ㕤摣敡㤵㈴昴敦挳ㅦ戱改摢㘹㌳攷㕤㕥㐴㕤攷摥㤷㉥戸摥㐵㔷捤㑢て㜸敢てㄴ㠲㉢㤴晤㥣㘴㈹昷㙦晣㔳㐹换改摦挳㠸摢㤹㌶〷㘸㍡㐸㌸㡥㑡㤱㌴ㄸ㐳㍥㠳㑥㘰扢㌷㙥つ㤰㑥昶戵搱㠹ㄲ〴扢㠴攲㥥㝦挱〸㐵㝣ㄷ㘸㈵戱㐴㐷㜲散昹㤷挰晡攲㍢㈸㈱挲昱ㅣ㡢ㄱ晤ㄵ挸㘵愰㑥〹昲昸㡡〷㉦㠴晣晦㘰㈹攱收㑤搹改扦挰捣攲摢敤㈸扡㥥㈸晡㔶〷㡡〴慦㠱㈸晥扤〷㤹㈴改っ捦㍥愷㐰㌸搷戴㝢〰㝤搱㉦晣晥てて愰昳㌱㜱㈸ㅢつ愱戶㥢昱摣㌰ㄱ晡㍡㑣〴〶敦㤵㠹㜰ㄲㄹ挱㈸㝥㘴㈲挴㍥㤰〵ㄴ㙣㙤㈲㌰戶㤷㘱〸愶㐲慤㈹户〶㑦㘰㔷㌹昴㡦ㅤ挷挵㕢ㄹ㈰㥥て愵ㄵ捣挲㈳㜵㜵㘷昱愲改㥢捥㝥㔵㝥捣㤷㔰㘶晥㌲㙥㜲慢㉥散㜱敤愶㌵慡搳㈶扥㡡挴换扥敢㑦搹摥晤㜵㘰㉡㑡㤱晢㕥ㄴ㐵攱㜹㜸㑡〴捦つ戹㜷敦晢捡戱摦㍥昸攸ㄴ㙦慢挵戴慡摦㡡㝣㉦㈱㝢摡ㄳ〸敡愶㉥㡡㕣挹て㜳㑥攲ㄳ㈵㝢慤㈶㘷㑣㕦㔹㐱㠱攱㈴搹㠸昰㔲㠴ㄹㄱ摦㑥㌰㌱㜱敦㈱㌲㌱㈷摡摣㥤敡挳㈶攵㈲㥣㐸㑤㕣昹昴㤲戰愱攸慡挸㝡戴㌶昵慦㐱ㄵ㍤挷㠹戴㕡㠹㍣㜵㌲〹昱搵㜶㕤㜷㤸扡㉥㍡挸㌰散㥦㐸㈹挴ㅦ㐸㈱改㠳っ㉦〴㈸㈹㜵ㅡㄹ晤㌶㠰㡣挸㕡㝢㠸㤷晥㠰㕤㈱㈰ㅢ㤷晥㝡晣㠸〵扢〸㉣㈶扥昸㕥㑦戴戴㐵ㄳ搵挴㔰慤戲㘹㤶㤰㔱㠷ㄷㄶ㑣㈶愵换挸㈴㐹㍦㠴摣戶摤㔱㝣挹㤰ㄳ〵摥㈲挶搶ㅤ晡摡㑡捥摤㙥ㅤ㌷㍦愰㘷ち㑡㘱戸㝢㔹㡣〳愹㡡搱㐵㑤㑢㔱ㄱ攱㜰㤴㙤㜴ㅡ㠸慢愰戳摣晤㌸㤵㈲昸挷㉦㠵㔸㍦摥ㅣ晡捡昶ㅡ敡㌸户ㅦぢ攴て昶搷昵ㄹ㡣㡤户㤲㘳㈰㘱户搵慡ㄸ㕤て㍦㠳㉥㕣㜴㑥ㄸ捤慣㝡ㄶ㠷昱㈷攱慣㍥慤㐳晦㌳㝡慤㌸敢㉣㝢㌳㡣摤愲晦摦㠶㠲㉤昵扦㘰散㑤㈱昲敤㜱㠶て㍡攳㈷㕢㠶㙣戸㈳昰㙣㈳㜸愳づ挶㠶捡㌲攴ㅤ攵㤶昰昱㙡㔴慤㈴㌸晣㕥昹昶慢ㄱ㡤扥戴㙤〷扡ち㐰挶㠶昴㉦㐱〴㜵敤摦㉡户㤲搳㙤攱ㅤ攸戸敦愴㕤昱扤挰戳挲戱㈵〴㝤挷昸敤㤹〵㥢㘷㕡㝣戱㕤愸摤㠴㥤ㄸ㝣ㄷ晡㥣㕡㠰挰㍥㈵挳ㄷ㉡ㄶ挹挸挲昶㈲ㄹ晣づ㘹㈴ㄵ㕥愲㜶〸慥戰敥慤㥢㌵㝣扡扡〰㕦㘷挸愲ㅤ愱散㈲㡦㜳晢つつ㙥ㅤ敥㘸扤ㄵ晥㈰㔹㥢㐰㜰㑣㉤攱ㅤ敦攲扥戶敦㐱㙢摢㜸㙤〱㕢昶收㜳㉢改㑦〳愷摢㝢㑢㉢挹昰㥤晣㈲戹㘴㤴〹㜱㘹㝦ち㝦户敦愰攵㘸愳愰昳昸㠳㙥㍡挲挶㙢㜰㥦㙤㈳晡㝤づ㕤挵㌴〱㝥㠶ㄹ㘷昸㈰攸攵㈳㉢㡡捦㘱㔹㘴〰攴㜳㠵ち㐰㜷慡㝥㙡㌳慡ㅥ戹㠷㍤㤱〴捦ㄸ㈴挷㤲昸っㅡ㜲扢愲㘵㠳㈵戸㙣愱捥ㄲ挸ㅢ㐹て攴㜳㠲㘷〹㌵㤱㑦愱㐳㘳㈲㌶㑡扢㑦攴㤳㥢㑤㐴搰ち㔰ぢ㑤㡦㍦㤲㘸ㄱ愳㠶㙡挳㈱㜰〹㍣㠰㤱㐴㤹っ㔳㍥㔲攸ㄴ愲ㄸ挳㜷㠸㈲愴㥦挷㝦㥦㥤晡搹㌳㑣㝦㤹ㄲ㑡㈲愲慡㜵ㄵ㤴㠸㙡ㄵㅦ㑤慦挲㐷㘹昷㔵㍣扥搹㉡㐶㈸㉣㌹ㄳ㈳〴ㄸ敡ㄳ㘵晣㔱慢慡㈳挳つ攵㑦㥣㈳挰慦㘵ㄶ㈳㈶㑡㔴摦㡢挸愰㉦㜷㕥戵扡㠴㑣搲㔷攷㐶㘴㝣攵愳っ㈵摥㠸愴㔳愷㄰㜹㘵ぢ㤱㝡㉣㍡戱㍢㜶㐷〸〹㉣㠹㥦捤㜶㤵敤㠵ㅥ㐳晤攲晤〹㘲㡥ㅦ㑦㍥愱搲攲攰ㄳ〸㈳㌲㑤㐹㐸摣㐸昱扥愴昱搷扦搹昴㥤愲〲〹搴ㄳ㌵㈶挱愹挶㡦㈵㡤て攱昳㉣搵㈶挷慢〴㑣捦㈶㡤㐹㤸慡昱愳㐹攳㍦ㅦ摡摦㘸㥣搰㘱㌴戲㑥㈲挹㌰㝡搵㌱㈰昵愹昶㌰㥡敢ㄶㄵ改㠰ㄵㄵ㔳㠴慡ㄸ㜲㑤愹搲㐱摣ち昱昱戱昴㍣㉥㌹攱㉥〸愴㙤昴晦㑣㌸㠱换㑦㜳㘶㘸攲㕢攸㜵㐴㥤㝤㐳㍤戱㜳挱㕡昰㔱搰㙦㥤〸㜰戸慡敥㈸ㄲ㠱㕤㤰㡦昶㜷ぢ敦㝣㠶つ搹摣㡦㈴㕡愶昱㌲㐹㙦㕡㐴㐵㔸昲攲㍤〹㘶㜳㡦㌴㘹挶㜸ㄸ挸㠱㤸〴㘴挶㜸〴㌰㡡挸散㘳挱〸昹㕦㌱昷㝢㔸昱㕥㠲㐷〱㑡㠲捣㑥㍡㈸㍣〶㌰㥣晣ㅦ㉢挶搶㤵攳㐴ㄳて㈶㉦㑢㤳㤱昱㝥㜶昸〰㐰ㅦ晣戸㈲㈶挲㤲昱㐱㤴愴㕦㑡挱愱㕥晡㈱㔶㝣㤸攰㜱㠰㤲捥挹㙥㝢搷戸愶ㅥ㔵搸㐷搰㔵㍣㐲㠰㥦昱搱㌸挳〷㥤晢昰挶敥㐶㌳捦挴挹ㄷ晥㠸㜹戶㝣捡㝦㌷㍥捤摦攰愲晢昰㝦㈶搱㤵㠵㥦搷摥搰摢㔸㘴〲ㅡ攷敡户㠶捤㝥ㅥ攳㜰㕤捤㔰ち㐷愴㔲㈹㙡〵㐱㝣㜳挱挲挳ㅢ昸㤶㈳慡㐲〸搲㠰慡㜰攳㡡㈹ㄴㄸㅦ㘳㔳攲㤸㜸㌲㍥捥㈷愲㔶㙤攲㈷攲っㅦ〴昱慡扡摦ㅦ㜷㑦㕥㐸㕣慢ち扢敤㠵挴扦慡㔸㑤扦昰㐹づ愶㤰㠵㑣慢㔶㈲搲ㄴつ㝤〶㤹愱扥㘱捥敤㍥晣戴㑢愲㜲慥㝡敥摣㍦㠶昳㘳搷收摦昶㤶挱㈷㥦晤改敦㥥昸挵㍢㡦晣改㥦㑦㍤昵㡢㍦㍣昱捣㍦扦扦㜲攴挷㑦㍦晤愳㝢㍥晦捣敦昶㕡㕦搰扥昹㡦昹㉦㍣㌴㜹攱愱〷慣㌳户ㅥ㝢攸敤昷摦㍢戹㜸挵㜸㕦㕦㝦晦㉤愳㍦戹收搵㈳㡦㍣昰㙤昱挳㕦㕤敤ち戵㕣扣愰㜵ㅡ㕣戶㥡挶㘷㤱挱㌴㌸攳ㄷ㜵ㅡ㕣慥摡愸㤵㜸愳㘶㔰㔰㠴㜳㠳ㄳ㔰ㄵ㘶㙢挵挰㝦〰㙥㠹戴㔵</t>
  </si>
  <si>
    <t>Decisioneering:7.0.0.0</t>
  </si>
  <si>
    <t>1f0fa664-6934-4eb8-946f-deb4064390bd</t>
  </si>
  <si>
    <t>DVOA Spread (V)</t>
  </si>
  <si>
    <t>Week 0</t>
  </si>
  <si>
    <t>OFFENSE</t>
  </si>
  <si>
    <t>DEFENSE</t>
  </si>
  <si>
    <t>TEAM</t>
  </si>
  <si>
    <t>VOA</t>
  </si>
  <si>
    <t>Skill Level</t>
  </si>
  <si>
    <t># of People</t>
  </si>
  <si>
    <t>Adj Game Value</t>
  </si>
</sst>
</file>

<file path=xl/styles.xml><?xml version="1.0" encoding="utf-8"?>
<styleSheet xmlns="http://schemas.openxmlformats.org/spreadsheetml/2006/main">
  <numFmts count="2">
    <numFmt numFmtId="43" formatCode="_(* #,##0.00_);_(* \(#,##0.00\);_(* &quot;-&quot;??_);_(@_)"/>
    <numFmt numFmtId="164" formatCode="_(* #,##0_);_(* \(#,##0\);_(* &quot;-&quot;??_);_(@_)"/>
  </numFmts>
  <fonts count="13">
    <font>
      <sz val="11"/>
      <color theme="1"/>
      <name val="Calibri"/>
      <family val="2"/>
      <scheme val="minor"/>
    </font>
    <font>
      <sz val="11"/>
      <color theme="1"/>
      <name val="Calibri"/>
      <family val="2"/>
      <scheme val="minor"/>
    </font>
    <font>
      <b/>
      <u/>
      <sz val="11"/>
      <color theme="1"/>
      <name val="Calibri"/>
      <family val="2"/>
      <scheme val="minor"/>
    </font>
    <font>
      <b/>
      <sz val="11"/>
      <color theme="1"/>
      <name val="Calibri"/>
      <family val="2"/>
      <scheme val="minor"/>
    </font>
    <font>
      <u/>
      <sz val="11"/>
      <color theme="1"/>
      <name val="Calibri"/>
      <family val="2"/>
      <scheme val="minor"/>
    </font>
    <font>
      <sz val="11"/>
      <color theme="0"/>
      <name val="Calibri"/>
      <family val="2"/>
      <scheme val="minor"/>
    </font>
    <font>
      <b/>
      <sz val="16"/>
      <color theme="1"/>
      <name val="Calibri"/>
      <family val="2"/>
      <scheme val="minor"/>
    </font>
    <font>
      <sz val="11"/>
      <name val="Calibri"/>
      <family val="2"/>
      <scheme val="minor"/>
    </font>
    <font>
      <b/>
      <sz val="10"/>
      <color indexed="81"/>
      <name val="Arial"/>
      <family val="2"/>
    </font>
    <font>
      <b/>
      <sz val="11"/>
      <name val="Calibri"/>
      <family val="2"/>
      <scheme val="minor"/>
    </font>
    <font>
      <sz val="8"/>
      <name val="Calibri"/>
      <family val="2"/>
      <scheme val="minor"/>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6">
    <border>
      <left/>
      <right/>
      <top/>
      <bottom/>
      <diagonal/>
    </border>
    <border>
      <left style="thick">
        <color rgb="FF00B0F0"/>
      </left>
      <right style="thick">
        <color rgb="FF00B0F0"/>
      </right>
      <top style="thick">
        <color rgb="FF00B0F0"/>
      </top>
      <bottom/>
      <diagonal/>
    </border>
    <border>
      <left style="thick">
        <color rgb="FF00B0F0"/>
      </left>
      <right style="thick">
        <color rgb="FF00B0F0"/>
      </right>
      <top/>
      <bottom/>
      <diagonal/>
    </border>
    <border>
      <left style="thick">
        <color rgb="FF00B0F0"/>
      </left>
      <right style="thick">
        <color rgb="FF00B0F0"/>
      </right>
      <top/>
      <bottom style="thick">
        <color rgb="FF00B0F0"/>
      </bottom>
      <diagonal/>
    </border>
    <border>
      <left style="thick">
        <color rgb="FFFF0000"/>
      </left>
      <right style="thick">
        <color rgb="FFFF0000"/>
      </right>
      <top style="thick">
        <color rgb="FFFF0000"/>
      </top>
      <bottom style="thick">
        <color rgb="FFFF0000"/>
      </bottom>
      <diagonal/>
    </border>
    <border>
      <left style="thin">
        <color auto="1"/>
      </left>
      <right style="thin">
        <color auto="1"/>
      </right>
      <top style="thin">
        <color auto="1"/>
      </top>
      <bottom style="thin">
        <color auto="1"/>
      </bottom>
      <diagonal/>
    </border>
  </borders>
  <cellStyleXfs count="15">
    <xf numFmtId="0" fontId="0" fillId="0" borderId="0"/>
    <xf numFmtId="9" fontId="1" fillId="0" borderId="0" applyFont="0" applyFill="0" applyBorder="0" applyAlignment="0" applyProtection="0"/>
    <xf numFmtId="43" fontId="1"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46">
    <xf numFmtId="0" fontId="0" fillId="0" borderId="0" xfId="0"/>
    <xf numFmtId="0" fontId="0" fillId="0" borderId="0" xfId="0" applyAlignment="1">
      <alignment horizontal="center"/>
    </xf>
    <xf numFmtId="10" fontId="0" fillId="0" borderId="0" xfId="1" applyNumberFormat="1" applyFont="1"/>
    <xf numFmtId="0" fontId="0" fillId="0" borderId="0" xfId="0" applyAlignment="1">
      <alignment horizontal="right"/>
    </xf>
    <xf numFmtId="0" fontId="4" fillId="0" borderId="0" xfId="0" applyFont="1"/>
    <xf numFmtId="0" fontId="0" fillId="0" borderId="0" xfId="0" quotePrefix="1"/>
    <xf numFmtId="0" fontId="3" fillId="0" borderId="0" xfId="0" applyFont="1"/>
    <xf numFmtId="0" fontId="0" fillId="0" borderId="0" xfId="0" applyAlignment="1">
      <alignment horizontal="center"/>
    </xf>
    <xf numFmtId="10" fontId="0" fillId="0" borderId="0" xfId="1" applyNumberFormat="1" applyFont="1" applyAlignment="1">
      <alignment horizontal="center"/>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2" borderId="0" xfId="0" applyFont="1" applyFill="1" applyAlignment="1">
      <alignment horizontal="center"/>
    </xf>
    <xf numFmtId="0" fontId="3" fillId="0" borderId="0" xfId="0" applyFont="1" applyAlignment="1">
      <alignment horizontal="center"/>
    </xf>
    <xf numFmtId="0" fontId="5" fillId="0" borderId="0" xfId="0" applyFont="1"/>
    <xf numFmtId="0" fontId="7" fillId="0" borderId="0" xfId="0" applyFont="1"/>
    <xf numFmtId="0" fontId="7" fillId="0" borderId="0" xfId="0" quotePrefix="1" applyFont="1"/>
    <xf numFmtId="0" fontId="7" fillId="0" borderId="0" xfId="0" applyFont="1" applyAlignment="1">
      <alignment horizontal="center"/>
    </xf>
    <xf numFmtId="0" fontId="7" fillId="0" borderId="0" xfId="0" applyFont="1" applyBorder="1" applyAlignment="1">
      <alignment horizontal="center"/>
    </xf>
    <xf numFmtId="43" fontId="7" fillId="0" borderId="0" xfId="2" applyFont="1" applyAlignment="1">
      <alignment horizontal="center"/>
    </xf>
    <xf numFmtId="9" fontId="7" fillId="0" borderId="0" xfId="2" applyNumberFormat="1" applyFont="1" applyAlignment="1">
      <alignment horizontal="center"/>
    </xf>
    <xf numFmtId="43" fontId="7" fillId="0" borderId="0" xfId="0" applyNumberFormat="1" applyFont="1" applyAlignment="1">
      <alignment horizontal="center"/>
    </xf>
    <xf numFmtId="0" fontId="7" fillId="0" borderId="1"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9" fillId="0" borderId="0" xfId="0" applyFont="1" applyAlignment="1">
      <alignment horizontal="center"/>
    </xf>
    <xf numFmtId="43" fontId="7" fillId="0" borderId="4" xfId="2" applyFont="1" applyBorder="1" applyAlignment="1">
      <alignment horizontal="center"/>
    </xf>
    <xf numFmtId="0" fontId="9" fillId="0" borderId="0" xfId="0" applyFont="1" applyAlignment="1">
      <alignment horizontal="center" vertical="center" wrapText="1"/>
    </xf>
    <xf numFmtId="0" fontId="0" fillId="0" borderId="0" xfId="0" applyAlignment="1">
      <alignment horizontal="center"/>
    </xf>
    <xf numFmtId="164" fontId="4" fillId="0" borderId="0" xfId="2" applyNumberFormat="1" applyFont="1" applyAlignment="1">
      <alignment horizontal="center"/>
    </xf>
    <xf numFmtId="9" fontId="2" fillId="0" borderId="0" xfId="0" applyNumberFormat="1" applyFont="1" applyAlignment="1">
      <alignment horizontal="center"/>
    </xf>
    <xf numFmtId="0" fontId="2" fillId="0" borderId="0" xfId="0" applyFont="1" applyAlignment="1">
      <alignment horizontal="center"/>
    </xf>
    <xf numFmtId="164" fontId="0" fillId="0" borderId="0" xfId="2" applyNumberFormat="1" applyFont="1" applyAlignment="1">
      <alignment horizontal="center"/>
    </xf>
    <xf numFmtId="43" fontId="0" fillId="0" borderId="0" xfId="2" applyFont="1" applyAlignment="1">
      <alignment horizontal="center"/>
    </xf>
    <xf numFmtId="9" fontId="0" fillId="0" borderId="0" xfId="1" applyFont="1" applyAlignment="1">
      <alignment horizontal="center"/>
    </xf>
    <xf numFmtId="0" fontId="3" fillId="3" borderId="5" xfId="0" applyFont="1" applyFill="1" applyBorder="1"/>
    <xf numFmtId="0" fontId="4" fillId="0" borderId="0" xfId="0" applyFont="1" applyAlignment="1">
      <alignment horizontal="center"/>
    </xf>
    <xf numFmtId="9" fontId="3" fillId="3" borderId="5" xfId="0" applyNumberFormat="1" applyFont="1" applyFill="1" applyBorder="1" applyAlignment="1">
      <alignment horizontal="center"/>
    </xf>
    <xf numFmtId="10" fontId="0" fillId="0" borderId="5" xfId="0" applyNumberFormat="1" applyBorder="1" applyAlignment="1">
      <alignment horizontal="center"/>
    </xf>
    <xf numFmtId="9" fontId="0" fillId="0" borderId="5" xfId="0" applyNumberFormat="1" applyBorder="1" applyAlignment="1">
      <alignment horizontal="center"/>
    </xf>
    <xf numFmtId="10" fontId="0" fillId="0" borderId="0" xfId="1" applyNumberFormat="1" applyFont="1" applyAlignment="1">
      <alignment horizontal="center"/>
    </xf>
    <xf numFmtId="0" fontId="0" fillId="0" borderId="0" xfId="0" applyAlignment="1">
      <alignment horizontal="center"/>
    </xf>
    <xf numFmtId="0" fontId="9" fillId="0" borderId="0" xfId="0" applyFont="1" applyAlignment="1">
      <alignment horizontal="center" vertical="center" wrapText="1"/>
    </xf>
    <xf numFmtId="10" fontId="0" fillId="0" borderId="0" xfId="1" applyNumberFormat="1" applyFont="1" applyAlignment="1">
      <alignment horizontal="center"/>
    </xf>
  </cellXfs>
  <cellStyles count="15">
    <cellStyle name="Comma" xfId="2" builtinId="3"/>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450850</xdr:colOff>
      <xdr:row>2</xdr:row>
      <xdr:rowOff>9525</xdr:rowOff>
    </xdr:from>
    <xdr:ext cx="1936750" cy="1323439"/>
    <xdr:sp macro="" textlink="">
      <xdr:nvSpPr>
        <xdr:cNvPr id="2" name="TextBox 1"/>
        <xdr:cNvSpPr txBox="1"/>
      </xdr:nvSpPr>
      <xdr:spPr>
        <a:xfrm>
          <a:off x="450850" y="365125"/>
          <a:ext cx="1936750" cy="13234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2400" b="1"/>
            <a:t>Step 1</a:t>
          </a:r>
        </a:p>
        <a:p>
          <a:r>
            <a:rPr lang="en-US" sz="1400" b="1"/>
            <a:t>Enter the approximate number of </a:t>
          </a:r>
        </a:p>
        <a:p>
          <a:r>
            <a:rPr lang="en-US" sz="1400" b="1"/>
            <a:t>people playing in</a:t>
          </a:r>
          <a:r>
            <a:rPr lang="en-US" sz="1400" b="1" baseline="0"/>
            <a:t> your Survivor Pool</a:t>
          </a:r>
          <a:endParaRPr lang="en-US" sz="1400" b="1"/>
        </a:p>
      </xdr:txBody>
    </xdr:sp>
    <xdr:clientData/>
  </xdr:oneCellAnchor>
  <xdr:oneCellAnchor>
    <xdr:from>
      <xdr:col>4</xdr:col>
      <xdr:colOff>19051</xdr:colOff>
      <xdr:row>2</xdr:row>
      <xdr:rowOff>9525</xdr:rowOff>
    </xdr:from>
    <xdr:ext cx="2000249" cy="1323439"/>
    <xdr:sp macro="" textlink="">
      <xdr:nvSpPr>
        <xdr:cNvPr id="3" name="TextBox 2"/>
        <xdr:cNvSpPr txBox="1"/>
      </xdr:nvSpPr>
      <xdr:spPr>
        <a:xfrm>
          <a:off x="4273551" y="365125"/>
          <a:ext cx="2000249" cy="13234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2400" b="1"/>
            <a:t>Step 2</a:t>
          </a:r>
        </a:p>
        <a:p>
          <a:r>
            <a:rPr lang="en-US" sz="1400" b="1"/>
            <a:t>Enter the estimated average</a:t>
          </a:r>
          <a:r>
            <a:rPr lang="en-US" sz="1400" b="1" baseline="0"/>
            <a:t> skill level o</a:t>
          </a:r>
          <a:r>
            <a:rPr lang="en-US" sz="1400" b="1"/>
            <a:t>f </a:t>
          </a:r>
        </a:p>
        <a:p>
          <a:r>
            <a:rPr lang="en-US" sz="1400" b="1"/>
            <a:t>the people playing in</a:t>
          </a:r>
          <a:r>
            <a:rPr lang="en-US" sz="1400" b="1" baseline="0"/>
            <a:t> your Survivor Pool</a:t>
          </a:r>
          <a:endParaRPr lang="en-US" sz="1400" b="1"/>
        </a:p>
      </xdr:txBody>
    </xdr:sp>
    <xdr:clientData/>
  </xdr:oneCellAnchor>
  <xdr:oneCellAnchor>
    <xdr:from>
      <xdr:col>9</xdr:col>
      <xdr:colOff>0</xdr:colOff>
      <xdr:row>2</xdr:row>
      <xdr:rowOff>0</xdr:rowOff>
    </xdr:from>
    <xdr:ext cx="1651000" cy="1323439"/>
    <xdr:sp macro="" textlink="">
      <xdr:nvSpPr>
        <xdr:cNvPr id="4" name="TextBox 3"/>
        <xdr:cNvSpPr txBox="1"/>
      </xdr:nvSpPr>
      <xdr:spPr>
        <a:xfrm>
          <a:off x="7150100" y="355600"/>
          <a:ext cx="1651000" cy="13234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2400" b="1"/>
            <a:t>Step 3</a:t>
          </a:r>
        </a:p>
        <a:p>
          <a:r>
            <a:rPr lang="en-US" sz="1400" b="1"/>
            <a:t>Enter the Current Week </a:t>
          </a:r>
        </a:p>
        <a:p>
          <a:r>
            <a:rPr lang="en-US" sz="1400" b="1"/>
            <a:t>of Football Being Played</a:t>
          </a:r>
        </a:p>
      </xdr:txBody>
    </xdr:sp>
    <xdr:clientData/>
  </xdr:oneCellAnchor>
  <xdr:oneCellAnchor>
    <xdr:from>
      <xdr:col>1</xdr:col>
      <xdr:colOff>60325</xdr:colOff>
      <xdr:row>8</xdr:row>
      <xdr:rowOff>114300</xdr:rowOff>
    </xdr:from>
    <xdr:ext cx="1733360" cy="906338"/>
    <xdr:sp macro="" textlink="">
      <xdr:nvSpPr>
        <xdr:cNvPr id="5" name="TextBox 4"/>
        <xdr:cNvSpPr txBox="1"/>
      </xdr:nvSpPr>
      <xdr:spPr>
        <a:xfrm>
          <a:off x="339725" y="2006600"/>
          <a:ext cx="1733360" cy="9063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2400" b="1"/>
            <a:t>Step 4</a:t>
          </a:r>
        </a:p>
        <a:p>
          <a:r>
            <a:rPr lang="en-US" sz="1400" b="1"/>
            <a:t>Enter the teams</a:t>
          </a:r>
          <a:r>
            <a:rPr lang="en-US" sz="1400" b="1" baseline="0"/>
            <a:t> </a:t>
          </a:r>
          <a:r>
            <a:rPr lang="en-US" sz="1400" b="1"/>
            <a:t>you </a:t>
          </a:r>
        </a:p>
        <a:p>
          <a:r>
            <a:rPr lang="en-US" sz="1400" b="1"/>
            <a:t>have</a:t>
          </a:r>
          <a:r>
            <a:rPr lang="en-US" sz="1400" b="1" baseline="0"/>
            <a:t> already chosen</a:t>
          </a:r>
        </a:p>
      </xdr:txBody>
    </xdr:sp>
    <xdr:clientData/>
  </xdr:oneCellAnchor>
  <xdr:oneCellAnchor>
    <xdr:from>
      <xdr:col>3</xdr:col>
      <xdr:colOff>161925</xdr:colOff>
      <xdr:row>8</xdr:row>
      <xdr:rowOff>127000</xdr:rowOff>
    </xdr:from>
    <xdr:ext cx="1835952" cy="906338"/>
    <xdr:sp macro="" textlink="">
      <xdr:nvSpPr>
        <xdr:cNvPr id="6" name="TextBox 5"/>
        <xdr:cNvSpPr txBox="1"/>
      </xdr:nvSpPr>
      <xdr:spPr>
        <a:xfrm>
          <a:off x="2397125" y="2019300"/>
          <a:ext cx="1835952" cy="9063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2400" b="1"/>
            <a:t>Step 5</a:t>
          </a:r>
        </a:p>
        <a:p>
          <a:r>
            <a:rPr lang="en-US" sz="1400" b="1"/>
            <a:t>Get your picks</a:t>
          </a:r>
          <a:r>
            <a:rPr lang="en-US" sz="1400" b="1" baseline="0"/>
            <a:t> for the </a:t>
          </a:r>
        </a:p>
        <a:p>
          <a:r>
            <a:rPr lang="en-US" sz="1400" b="1" baseline="0"/>
            <a:t>rest of the season!</a:t>
          </a:r>
          <a:endParaRPr lang="en-US" sz="1400" b="1"/>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sheetPr codeName="Sheet1" enableFormatConditionsCalculation="0"/>
  <dimension ref="A3:Z61"/>
  <sheetViews>
    <sheetView workbookViewId="0">
      <selection activeCell="I3" sqref="I3"/>
    </sheetView>
  </sheetViews>
  <sheetFormatPr defaultColWidth="8.77734375" defaultRowHeight="14.4"/>
  <cols>
    <col min="1" max="1" width="3.6640625" customWidth="1"/>
    <col min="2" max="2" width="8" bestFit="1" customWidth="1"/>
    <col min="3" max="3" width="17.6640625" bestFit="1" customWidth="1"/>
    <col min="4" max="4" width="26.44140625" customWidth="1"/>
    <col min="5" max="5" width="5.109375" customWidth="1"/>
    <col min="6" max="6" width="5.6640625" bestFit="1" customWidth="1"/>
    <col min="7" max="7" width="4.109375" customWidth="1"/>
    <col min="8" max="8" width="10.44140625" bestFit="1" customWidth="1"/>
    <col min="9" max="9" width="12.44140625" bestFit="1" customWidth="1"/>
    <col min="10" max="10" width="8.6640625" bestFit="1" customWidth="1"/>
    <col min="11" max="11" width="7.109375" bestFit="1" customWidth="1"/>
    <col min="12" max="12" width="5" customWidth="1"/>
    <col min="13" max="13" width="18.44140625" bestFit="1" customWidth="1"/>
    <col min="14" max="14" width="5" customWidth="1"/>
    <col min="15" max="15" width="21.109375" bestFit="1" customWidth="1"/>
    <col min="21" max="21" width="21.44140625" bestFit="1" customWidth="1"/>
  </cols>
  <sheetData>
    <row r="3" spans="1:26" ht="51" customHeight="1">
      <c r="D3" s="9">
        <v>100</v>
      </c>
      <c r="I3" s="10" t="s">
        <v>109</v>
      </c>
      <c r="M3" s="9">
        <v>1</v>
      </c>
    </row>
    <row r="6" spans="1:26">
      <c r="B6" s="3"/>
      <c r="U6" s="5"/>
    </row>
    <row r="7" spans="1:26">
      <c r="B7" s="3"/>
      <c r="U7" s="5"/>
    </row>
    <row r="8" spans="1:26">
      <c r="B8" s="3"/>
      <c r="F8" s="17"/>
      <c r="G8" s="17"/>
      <c r="H8" s="17"/>
      <c r="I8" s="17"/>
      <c r="J8" s="17"/>
      <c r="K8" s="17"/>
      <c r="L8" s="17"/>
      <c r="M8" s="17"/>
      <c r="N8" s="17"/>
      <c r="O8" s="17"/>
      <c r="P8" s="17"/>
      <c r="Q8" s="17"/>
      <c r="R8" s="17"/>
      <c r="S8" s="17"/>
      <c r="T8" s="17"/>
      <c r="U8" s="18"/>
      <c r="V8" s="17"/>
      <c r="W8" s="17"/>
      <c r="X8" s="17"/>
    </row>
    <row r="9" spans="1:26">
      <c r="B9" s="3"/>
      <c r="F9" s="17"/>
      <c r="G9" s="17"/>
      <c r="H9" s="17"/>
      <c r="I9" s="17"/>
      <c r="J9" s="17"/>
      <c r="K9" s="17"/>
      <c r="L9" s="17"/>
      <c r="M9" s="17"/>
      <c r="N9" s="17"/>
      <c r="O9" s="17"/>
      <c r="P9" s="17"/>
      <c r="Q9" s="17"/>
      <c r="R9" s="17"/>
      <c r="S9" s="17"/>
      <c r="T9" s="17"/>
      <c r="U9" s="18"/>
      <c r="V9" s="17"/>
      <c r="W9" s="17"/>
      <c r="X9" s="17"/>
      <c r="Y9" s="16"/>
      <c r="Z9" s="16"/>
    </row>
    <row r="10" spans="1:26">
      <c r="B10" s="3"/>
      <c r="F10" s="17"/>
      <c r="G10" s="17"/>
      <c r="H10" s="17"/>
      <c r="I10" s="17"/>
      <c r="J10" s="17"/>
      <c r="K10" s="17"/>
      <c r="L10" s="17"/>
      <c r="M10" s="17"/>
      <c r="N10" s="17"/>
      <c r="O10" s="17"/>
      <c r="P10" s="17"/>
      <c r="Q10" s="17"/>
      <c r="R10" s="17"/>
      <c r="S10" s="17"/>
      <c r="T10" s="17"/>
      <c r="U10" s="17" t="s">
        <v>135</v>
      </c>
      <c r="V10" s="17"/>
      <c r="W10" s="17"/>
      <c r="X10" s="17" t="s">
        <v>136</v>
      </c>
      <c r="Y10" s="16"/>
      <c r="Z10" s="16"/>
    </row>
    <row r="11" spans="1:26">
      <c r="F11" s="17"/>
      <c r="G11" s="17"/>
      <c r="H11" s="17"/>
      <c r="I11" s="17"/>
      <c r="J11" s="17"/>
      <c r="K11" s="17"/>
      <c r="L11" s="17"/>
      <c r="M11" s="17"/>
      <c r="N11" s="17"/>
      <c r="O11" s="17"/>
      <c r="P11" s="17"/>
      <c r="Q11" s="17"/>
      <c r="R11" s="17"/>
      <c r="S11" s="17"/>
      <c r="T11" s="17"/>
      <c r="U11" s="17" t="s">
        <v>108</v>
      </c>
      <c r="V11" s="17">
        <v>0.6</v>
      </c>
      <c r="W11" s="17"/>
      <c r="X11" s="17">
        <v>5</v>
      </c>
      <c r="Y11" s="16">
        <v>5</v>
      </c>
      <c r="Z11" s="16"/>
    </row>
    <row r="12" spans="1:26" ht="34.5" customHeight="1" thickBot="1">
      <c r="A12" s="43"/>
      <c r="B12" s="43"/>
      <c r="D12" s="43"/>
      <c r="E12" s="43"/>
      <c r="F12" s="29" t="s">
        <v>99</v>
      </c>
      <c r="G12" s="29"/>
      <c r="H12" s="29" t="s">
        <v>89</v>
      </c>
      <c r="I12" s="29" t="s">
        <v>102</v>
      </c>
      <c r="J12" s="29" t="s">
        <v>137</v>
      </c>
      <c r="K12" s="29" t="s">
        <v>52</v>
      </c>
      <c r="L12" s="29"/>
      <c r="M12" s="44" t="s">
        <v>51</v>
      </c>
      <c r="N12" s="44"/>
      <c r="Q12" s="17"/>
      <c r="R12" s="17"/>
      <c r="S12" s="17"/>
      <c r="T12" s="17"/>
      <c r="U12" s="17" t="s">
        <v>109</v>
      </c>
      <c r="V12" s="17">
        <v>0.7</v>
      </c>
      <c r="W12" s="17"/>
      <c r="X12" s="17">
        <v>10</v>
      </c>
      <c r="Y12" s="16">
        <v>10</v>
      </c>
      <c r="Z12" s="16"/>
    </row>
    <row r="13" spans="1:26" ht="15" thickTop="1">
      <c r="B13" s="15" t="s">
        <v>0</v>
      </c>
      <c r="C13" s="14" t="s">
        <v>17</v>
      </c>
      <c r="D13" s="11" t="str">
        <f>IF(ISERROR(VLOOKUP(G13,'List of NFL Teams'!$A$2:$B$33,2,FALSE))=TRUE,"",VLOOKUP(G13,'List of NFL Teams'!$A$2:$B$33,2,FALSE))</f>
        <v/>
      </c>
      <c r="F13" s="19">
        <v>1</v>
      </c>
      <c r="G13" s="24"/>
      <c r="H13" s="21">
        <f>SUMIFS('Game Data'!D:D,'Game Data'!$B:$B,F13,'Game Data'!$C:$C,VLOOKUP('Solver Model &amp; Output'!G13,'List of NFL Teams'!$A$2:$C$33,3,FALSE))</f>
        <v>0</v>
      </c>
      <c r="I13" s="22">
        <f>'Discount Rates'!P5</f>
        <v>0.30000000000000004</v>
      </c>
      <c r="J13" s="23">
        <f>H13/I13</f>
        <v>0</v>
      </c>
      <c r="K13" s="19">
        <f t="shared" ref="K13:K29" si="0">IF(ISERROR(VLOOKUP(C13,NFLTEAMS,1,FALSE)),0,1)+IF(ISERROR(VLOOKUP(D13,NFLTEAMS,1,FALSE)),0,1)</f>
        <v>1</v>
      </c>
      <c r="L13" s="19"/>
      <c r="M13" s="19" t="s">
        <v>17</v>
      </c>
      <c r="N13" s="19">
        <f>COUNTIF($G$13:$G$29,'List of NFL Teams'!A2)+IF(ISERROR(VLOOKUP('List of NFL Teams'!B2,'Solver Model &amp; Output'!$C$13:$C$29,1,FALSE)),0,1)</f>
        <v>1</v>
      </c>
      <c r="Q13" s="17"/>
      <c r="R13" s="17"/>
      <c r="S13" s="17"/>
      <c r="T13" s="17"/>
      <c r="U13" s="17" t="s">
        <v>110</v>
      </c>
      <c r="V13" s="17">
        <v>0.8</v>
      </c>
      <c r="W13" s="17"/>
      <c r="X13" s="17">
        <v>25</v>
      </c>
      <c r="Y13" s="16">
        <v>25</v>
      </c>
      <c r="Z13" s="16"/>
    </row>
    <row r="14" spans="1:26">
      <c r="B14" s="15" t="s">
        <v>1</v>
      </c>
      <c r="C14" s="14" t="s">
        <v>18</v>
      </c>
      <c r="D14" s="12" t="str">
        <f>IF(ISERROR(VLOOKUP(G14,'List of NFL Teams'!$A$2:$B$33,2,FALSE))=TRUE,"",VLOOKUP(G14,'List of NFL Teams'!$A$2:$B$33,2,FALSE))</f>
        <v/>
      </c>
      <c r="F14" s="19">
        <v>2</v>
      </c>
      <c r="G14" s="25"/>
      <c r="H14" s="21">
        <f>SUMIFS('Game Data'!D:D,'Game Data'!$B:$B,F14,'Game Data'!$C:$C,VLOOKUP('Solver Model &amp; Output'!G14,'List of NFL Teams'!$A$2:$C$33,3,FALSE))</f>
        <v>0</v>
      </c>
      <c r="I14" s="22">
        <f>'Discount Rates'!P6</f>
        <v>0.51</v>
      </c>
      <c r="J14" s="23">
        <f t="shared" ref="J14:J29" si="1">H14/I14</f>
        <v>0</v>
      </c>
      <c r="K14" s="19">
        <f t="shared" si="0"/>
        <v>1</v>
      </c>
      <c r="L14" s="19"/>
      <c r="M14" s="19" t="s">
        <v>18</v>
      </c>
      <c r="N14" s="19">
        <f>COUNTIF($G$13:$G$29,'List of NFL Teams'!A3)+IF(ISERROR(VLOOKUP('List of NFL Teams'!B3,'Solver Model &amp; Output'!$C$13:$C$29,1,FALSE)),0,1)</f>
        <v>1</v>
      </c>
      <c r="Q14" s="17"/>
      <c r="R14" s="17"/>
      <c r="S14" s="17"/>
      <c r="T14" s="17"/>
      <c r="U14" s="17" t="s">
        <v>111</v>
      </c>
      <c r="V14" s="17">
        <v>0.9</v>
      </c>
      <c r="W14" s="17"/>
      <c r="X14" s="17">
        <v>50</v>
      </c>
      <c r="Y14" s="16">
        <v>50</v>
      </c>
      <c r="Z14" s="16"/>
    </row>
    <row r="15" spans="1:26">
      <c r="B15" s="15" t="s">
        <v>2</v>
      </c>
      <c r="C15" s="14" t="s">
        <v>19</v>
      </c>
      <c r="D15" s="12" t="str">
        <f>IF(ISERROR(VLOOKUP(G15,'List of NFL Teams'!$A$2:$B$33,2,FALSE))=TRUE,"",VLOOKUP(G15,'List of NFL Teams'!$A$2:$B$33,2,FALSE))</f>
        <v/>
      </c>
      <c r="F15" s="19">
        <v>3</v>
      </c>
      <c r="G15" s="25"/>
      <c r="H15" s="21">
        <f>SUMIFS('Game Data'!D:D,'Game Data'!$B:$B,F15,'Game Data'!$C:$C,VLOOKUP('Solver Model &amp; Output'!G15,'List of NFL Teams'!$A$2:$C$33,3,FALSE))</f>
        <v>0</v>
      </c>
      <c r="I15" s="22">
        <f>'Discount Rates'!P7</f>
        <v>0.65700000000000003</v>
      </c>
      <c r="J15" s="23">
        <f t="shared" si="1"/>
        <v>0</v>
      </c>
      <c r="K15" s="19">
        <f t="shared" si="0"/>
        <v>1</v>
      </c>
      <c r="L15" s="19"/>
      <c r="M15" s="19" t="s">
        <v>19</v>
      </c>
      <c r="N15" s="19">
        <f>COUNTIF($G$13:$G$29,'List of NFL Teams'!A4)+IF(ISERROR(VLOOKUP('List of NFL Teams'!B4,'Solver Model &amp; Output'!$C$13:$C$29,1,FALSE)),0,1)</f>
        <v>1</v>
      </c>
      <c r="Q15" s="17"/>
      <c r="R15" s="17"/>
      <c r="S15" s="17"/>
      <c r="T15" s="17"/>
      <c r="U15" s="17"/>
      <c r="V15" s="17"/>
      <c r="W15" s="17"/>
      <c r="X15" s="17">
        <v>100</v>
      </c>
      <c r="Y15" s="16">
        <v>100</v>
      </c>
      <c r="Z15" s="16"/>
    </row>
    <row r="16" spans="1:26">
      <c r="B16" s="15" t="s">
        <v>3</v>
      </c>
      <c r="C16" s="14" t="s">
        <v>50</v>
      </c>
      <c r="D16" s="12" t="str">
        <f>IF(ISERROR(VLOOKUP(G16,'List of NFL Teams'!$A$2:$B$33,2,FALSE))=TRUE,"",VLOOKUP(G16,'List of NFL Teams'!$A$2:$B$33,2,FALSE))</f>
        <v>New York Jets</v>
      </c>
      <c r="F16" s="19">
        <v>4</v>
      </c>
      <c r="G16" s="25">
        <v>4</v>
      </c>
      <c r="H16" s="21">
        <f>SUMIFS('Game Data'!D:D,'Game Data'!$B:$B,F16,'Game Data'!$C:$C,VLOOKUP('Solver Model &amp; Output'!G16,'List of NFL Teams'!$A$2:$C$33,3,FALSE))</f>
        <v>7.2999999999999982E-2</v>
      </c>
      <c r="I16" s="22">
        <f>'Discount Rates'!P8</f>
        <v>0.75990000000000013</v>
      </c>
      <c r="J16" s="23">
        <f t="shared" si="1"/>
        <v>9.6065271746282363E-2</v>
      </c>
      <c r="K16" s="19">
        <f t="shared" si="0"/>
        <v>1</v>
      </c>
      <c r="L16" s="19"/>
      <c r="M16" s="19" t="s">
        <v>20</v>
      </c>
      <c r="N16" s="19">
        <f>COUNTIF($G$13:$G$29,'List of NFL Teams'!A5)+IF(ISERROR(VLOOKUP('List of NFL Teams'!B5,'Solver Model &amp; Output'!$C$13:$C$29,1,FALSE)),0,1)</f>
        <v>1</v>
      </c>
      <c r="Q16" s="17"/>
      <c r="R16" s="17"/>
      <c r="S16" s="17"/>
      <c r="T16" s="17"/>
      <c r="U16" s="17"/>
      <c r="V16" s="17"/>
      <c r="W16" s="17"/>
      <c r="X16" s="17">
        <v>250</v>
      </c>
      <c r="Y16" s="16">
        <v>250</v>
      </c>
      <c r="Z16" s="16"/>
    </row>
    <row r="17" spans="2:26">
      <c r="B17" s="15" t="s">
        <v>4</v>
      </c>
      <c r="C17" s="14" t="s">
        <v>50</v>
      </c>
      <c r="D17" s="12" t="str">
        <f>IF(ISERROR(VLOOKUP(G17,'List of NFL Teams'!$A$2:$B$33,2,FALSE))=TRUE,"",VLOOKUP(G17,'List of NFL Teams'!$A$2:$B$33,2,FALSE))</f>
        <v>Baltimore Ravens</v>
      </c>
      <c r="F17" s="19">
        <v>5</v>
      </c>
      <c r="G17" s="25">
        <v>5</v>
      </c>
      <c r="H17" s="21">
        <f>SUMIFS('Game Data'!D:D,'Game Data'!$B:$B,F17,'Game Data'!$C:$C,VLOOKUP('Solver Model &amp; Output'!G17,'List of NFL Teams'!$A$2:$C$33,3,FALSE))</f>
        <v>0</v>
      </c>
      <c r="I17" s="22">
        <f>'Discount Rates'!P9</f>
        <v>0.83193000000000006</v>
      </c>
      <c r="J17" s="23">
        <f>H17/I17</f>
        <v>0</v>
      </c>
      <c r="K17" s="19">
        <f t="shared" si="0"/>
        <v>1</v>
      </c>
      <c r="L17" s="19"/>
      <c r="M17" s="19" t="s">
        <v>21</v>
      </c>
      <c r="N17" s="19">
        <f>COUNTIF($G$13:$G$29,'List of NFL Teams'!A6)+IF(ISERROR(VLOOKUP('List of NFL Teams'!B6,'Solver Model &amp; Output'!$C$13:$C$29,1,FALSE)),0,1)</f>
        <v>1</v>
      </c>
      <c r="Q17" s="17"/>
      <c r="R17" s="17"/>
      <c r="S17" s="17"/>
      <c r="T17" s="17"/>
      <c r="U17" s="17"/>
      <c r="V17" s="17"/>
      <c r="W17" s="17"/>
      <c r="X17" s="17">
        <v>500</v>
      </c>
      <c r="Y17" s="16">
        <v>500</v>
      </c>
      <c r="Z17" s="16"/>
    </row>
    <row r="18" spans="2:26">
      <c r="B18" s="15" t="s">
        <v>5</v>
      </c>
      <c r="C18" s="14" t="s">
        <v>50</v>
      </c>
      <c r="D18" s="12" t="str">
        <f>IF(ISERROR(VLOOKUP(G18,'List of NFL Teams'!$A$2:$B$33,2,FALSE))=TRUE,"",VLOOKUP(G18,'List of NFL Teams'!$A$2:$B$33,2,FALSE))</f>
        <v>Cincinnati Bengals</v>
      </c>
      <c r="F18" s="19">
        <v>6</v>
      </c>
      <c r="G18" s="25">
        <v>6</v>
      </c>
      <c r="H18" s="21">
        <f>SUMIFS('Game Data'!D:D,'Game Data'!$B:$B,F18,'Game Data'!$C:$C,VLOOKUP('Solver Model &amp; Output'!G18,'List of NFL Teams'!$A$2:$C$33,3,FALSE))</f>
        <v>0</v>
      </c>
      <c r="I18" s="22">
        <f>'Discount Rates'!P10</f>
        <v>0.88235100000000011</v>
      </c>
      <c r="J18" s="23">
        <f t="shared" si="1"/>
        <v>0</v>
      </c>
      <c r="K18" s="19">
        <f t="shared" si="0"/>
        <v>1</v>
      </c>
      <c r="L18" s="19"/>
      <c r="M18" s="19" t="s">
        <v>22</v>
      </c>
      <c r="N18" s="19">
        <f>COUNTIF($G$13:$G$29,'List of NFL Teams'!A7)+IF(ISERROR(VLOOKUP('List of NFL Teams'!B7,'Solver Model &amp; Output'!$C$13:$C$29,1,FALSE)),0,1)</f>
        <v>1</v>
      </c>
      <c r="Q18" s="17"/>
      <c r="R18" s="17"/>
      <c r="S18" s="17"/>
      <c r="T18" s="17"/>
      <c r="U18" s="17"/>
      <c r="V18" s="17"/>
      <c r="W18" s="17"/>
      <c r="X18" s="17">
        <v>1000</v>
      </c>
      <c r="Y18" s="16">
        <v>1000</v>
      </c>
      <c r="Z18" s="16"/>
    </row>
    <row r="19" spans="2:26">
      <c r="B19" s="15" t="s">
        <v>6</v>
      </c>
      <c r="C19" s="14" t="s">
        <v>50</v>
      </c>
      <c r="D19" s="12" t="str">
        <f>IF(ISERROR(VLOOKUP(G19,'List of NFL Teams'!$A$2:$B$33,2,FALSE))=TRUE,"",VLOOKUP(G19,'List of NFL Teams'!$A$2:$B$33,2,FALSE))</f>
        <v>Cleveland Browns</v>
      </c>
      <c r="F19" s="19">
        <v>7</v>
      </c>
      <c r="G19" s="25">
        <v>7</v>
      </c>
      <c r="H19" s="21">
        <f>SUMIFS('Game Data'!D:D,'Game Data'!$B:$B,F19,'Game Data'!$C:$C,VLOOKUP('Solver Model &amp; Output'!G19,'List of NFL Teams'!$A$2:$C$33,3,FALSE))</f>
        <v>0.33500000000000002</v>
      </c>
      <c r="I19" s="22">
        <f>'Discount Rates'!P11</f>
        <v>0.91764570000000001</v>
      </c>
      <c r="J19" s="23">
        <f t="shared" si="1"/>
        <v>0.36506464314059339</v>
      </c>
      <c r="K19" s="19">
        <f t="shared" si="0"/>
        <v>1</v>
      </c>
      <c r="L19" s="19"/>
      <c r="M19" s="19" t="s">
        <v>23</v>
      </c>
      <c r="N19" s="19">
        <f>COUNTIF($G$13:$G$29,'List of NFL Teams'!A8)+IF(ISERROR(VLOOKUP('List of NFL Teams'!B8,'Solver Model &amp; Output'!$C$13:$C$29,1,FALSE)),0,1)</f>
        <v>1</v>
      </c>
      <c r="Q19" s="17"/>
      <c r="R19" s="17"/>
      <c r="S19" s="17"/>
      <c r="T19" s="17"/>
      <c r="U19" s="17"/>
      <c r="V19" s="17"/>
      <c r="W19" s="17"/>
      <c r="X19" s="17">
        <v>2500</v>
      </c>
      <c r="Y19" s="16">
        <v>2500</v>
      </c>
      <c r="Z19" s="16"/>
    </row>
    <row r="20" spans="2:26">
      <c r="B20" s="15" t="s">
        <v>7</v>
      </c>
      <c r="C20" s="14" t="s">
        <v>50</v>
      </c>
      <c r="D20" s="12" t="str">
        <f>IF(ISERROR(VLOOKUP(G20,'List of NFL Teams'!$A$2:$B$33,2,FALSE))=TRUE,"",VLOOKUP(G20,'List of NFL Teams'!$A$2:$B$33,2,FALSE))</f>
        <v>Pittsburgh Steelers</v>
      </c>
      <c r="F20" s="19">
        <v>8</v>
      </c>
      <c r="G20" s="25">
        <v>8</v>
      </c>
      <c r="H20" s="21">
        <f>SUMIFS('Game Data'!D:D,'Game Data'!$B:$B,F20,'Game Data'!$C:$C,VLOOKUP('Solver Model &amp; Output'!G20,'List of NFL Teams'!$A$2:$C$33,3,FALSE))</f>
        <v>0.22300000000000003</v>
      </c>
      <c r="I20" s="22">
        <f>'Discount Rates'!P12</f>
        <v>0.94235199000000003</v>
      </c>
      <c r="J20" s="23">
        <f t="shared" si="1"/>
        <v>0.23664193673533818</v>
      </c>
      <c r="K20" s="19">
        <f t="shared" si="0"/>
        <v>1</v>
      </c>
      <c r="L20" s="19"/>
      <c r="M20" s="19" t="s">
        <v>24</v>
      </c>
      <c r="N20" s="19">
        <f>COUNTIF($G$13:$G$29,'List of NFL Teams'!A9)+IF(ISERROR(VLOOKUP('List of NFL Teams'!B9,'Solver Model &amp; Output'!$C$13:$C$29,1,FALSE)),0,1)</f>
        <v>1</v>
      </c>
      <c r="Q20" s="17"/>
      <c r="R20" s="17"/>
      <c r="S20" s="17"/>
      <c r="T20" s="17"/>
      <c r="U20" s="17"/>
      <c r="V20" s="17"/>
      <c r="W20" s="17"/>
      <c r="X20" s="17">
        <v>5000</v>
      </c>
      <c r="Y20" s="16">
        <v>5000</v>
      </c>
      <c r="Z20" s="16"/>
    </row>
    <row r="21" spans="2:26">
      <c r="B21" s="15" t="s">
        <v>8</v>
      </c>
      <c r="C21" s="14" t="s">
        <v>50</v>
      </c>
      <c r="D21" s="12" t="str">
        <f>IF(ISERROR(VLOOKUP(G21,'List of NFL Teams'!$A$2:$B$33,2,FALSE))=TRUE,"",VLOOKUP(G21,'List of NFL Teams'!$A$2:$B$33,2,FALSE))</f>
        <v>Houston Texans</v>
      </c>
      <c r="F21" s="19">
        <v>9</v>
      </c>
      <c r="G21" s="25">
        <v>9</v>
      </c>
      <c r="H21" s="21">
        <f>SUMIFS('Game Data'!D:D,'Game Data'!$B:$B,F21,'Game Data'!$C:$C,VLOOKUP('Solver Model &amp; Output'!G21,'List of NFL Teams'!$A$2:$C$33,3,FALSE))</f>
        <v>0.34</v>
      </c>
      <c r="I21" s="22">
        <f>'Discount Rates'!P13</f>
        <v>0.95964639299999999</v>
      </c>
      <c r="J21" s="23">
        <f t="shared" si="1"/>
        <v>0.35429716870722405</v>
      </c>
      <c r="K21" s="19">
        <f t="shared" si="0"/>
        <v>1</v>
      </c>
      <c r="L21" s="19"/>
      <c r="M21" s="19" t="s">
        <v>25</v>
      </c>
      <c r="N21" s="19">
        <f>COUNTIF($G$13:$G$29,'List of NFL Teams'!A10)+IF(ISERROR(VLOOKUP('List of NFL Teams'!B10,'Solver Model &amp; Output'!$C$13:$C$29,1,FALSE)),0,1)</f>
        <v>1</v>
      </c>
      <c r="Q21" s="17"/>
      <c r="R21" s="17"/>
      <c r="S21" s="17"/>
      <c r="T21" s="17"/>
      <c r="U21" s="17"/>
      <c r="V21" s="17"/>
      <c r="W21" s="17"/>
      <c r="X21" s="17">
        <v>10000</v>
      </c>
      <c r="Y21" s="16">
        <v>10000</v>
      </c>
      <c r="Z21" s="16"/>
    </row>
    <row r="22" spans="2:26">
      <c r="B22" s="15" t="s">
        <v>9</v>
      </c>
      <c r="C22" s="14" t="s">
        <v>50</v>
      </c>
      <c r="D22" s="12" t="str">
        <f>IF(ISERROR(VLOOKUP(G22,'List of NFL Teams'!$A$2:$B$33,2,FALSE))=TRUE,"",VLOOKUP(G22,'List of NFL Teams'!$A$2:$B$33,2,FALSE))</f>
        <v>Indianapolis Colts</v>
      </c>
      <c r="F22" s="19">
        <v>10</v>
      </c>
      <c r="G22" s="25">
        <v>10</v>
      </c>
      <c r="H22" s="21">
        <f>SUMIFS('Game Data'!D:D,'Game Data'!$B:$B,F22,'Game Data'!$C:$C,VLOOKUP('Solver Model &amp; Output'!G22,'List of NFL Teams'!$A$2:$C$33,3,FALSE))</f>
        <v>0.20700000000000002</v>
      </c>
      <c r="I22" s="22">
        <f>'Discount Rates'!P14</f>
        <v>0.97175247510000007</v>
      </c>
      <c r="J22" s="23">
        <f t="shared" si="1"/>
        <v>0.21301720891289552</v>
      </c>
      <c r="K22" s="19">
        <f t="shared" si="0"/>
        <v>1</v>
      </c>
      <c r="L22" s="19"/>
      <c r="M22" s="19" t="s">
        <v>26</v>
      </c>
      <c r="N22" s="19">
        <f>COUNTIF($G$13:$G$29,'List of NFL Teams'!A11)+IF(ISERROR(VLOOKUP('List of NFL Teams'!B11,'Solver Model &amp; Output'!$C$13:$C$29,1,FALSE)),0,1)</f>
        <v>1</v>
      </c>
      <c r="Q22" s="17"/>
      <c r="R22" s="17"/>
      <c r="S22" s="17"/>
      <c r="T22" s="17"/>
      <c r="U22" s="17"/>
      <c r="V22" s="17"/>
      <c r="W22" s="17"/>
      <c r="X22" s="17"/>
      <c r="Y22" s="16"/>
      <c r="Z22" s="16"/>
    </row>
    <row r="23" spans="2:26">
      <c r="B23" s="15" t="s">
        <v>10</v>
      </c>
      <c r="C23" s="14" t="s">
        <v>50</v>
      </c>
      <c r="D23" s="12" t="str">
        <f>IF(ISERROR(VLOOKUP(G23,'List of NFL Teams'!$A$2:$B$33,2,FALSE))=TRUE,"",VLOOKUP(G23,'List of NFL Teams'!$A$2:$B$33,2,FALSE))</f>
        <v>Jacksonville Jaguars</v>
      </c>
      <c r="F23" s="19">
        <v>11</v>
      </c>
      <c r="G23" s="25">
        <v>11</v>
      </c>
      <c r="H23" s="21">
        <f>SUMIFS('Game Data'!D:D,'Game Data'!$B:$B,F23,'Game Data'!$C:$C,VLOOKUP('Solver Model &amp; Output'!G23,'List of NFL Teams'!$A$2:$C$33,3,FALSE))</f>
        <v>8.299999999999999E-2</v>
      </c>
      <c r="I23" s="22">
        <f>'Discount Rates'!P15</f>
        <v>0.98022673257000004</v>
      </c>
      <c r="J23" s="23">
        <f t="shared" si="1"/>
        <v>8.4674287327776779E-2</v>
      </c>
      <c r="K23" s="19">
        <f t="shared" si="0"/>
        <v>1</v>
      </c>
      <c r="L23" s="19"/>
      <c r="M23" s="19" t="s">
        <v>27</v>
      </c>
      <c r="N23" s="19">
        <f>COUNTIF($G$13:$G$29,'List of NFL Teams'!A12)+IF(ISERROR(VLOOKUP('List of NFL Teams'!B12,'Solver Model &amp; Output'!$C$13:$C$29,1,FALSE)),0,1)</f>
        <v>1</v>
      </c>
      <c r="Q23" s="17"/>
      <c r="R23" s="17"/>
      <c r="S23" s="17"/>
      <c r="T23" s="17"/>
      <c r="U23" s="17"/>
      <c r="V23" s="17"/>
      <c r="W23" s="17"/>
      <c r="X23" s="17"/>
      <c r="Y23" s="16"/>
      <c r="Z23" s="16"/>
    </row>
    <row r="24" spans="2:26">
      <c r="B24" s="15" t="s">
        <v>11</v>
      </c>
      <c r="C24" s="14" t="s">
        <v>50</v>
      </c>
      <c r="D24" s="12" t="str">
        <f>IF(ISERROR(VLOOKUP(G24,'List of NFL Teams'!$A$2:$B$33,2,FALSE))=TRUE,"",VLOOKUP(G24,'List of NFL Teams'!$A$2:$B$33,2,FALSE))</f>
        <v>Tennessee Titans</v>
      </c>
      <c r="F24" s="19">
        <v>12</v>
      </c>
      <c r="G24" s="25">
        <v>12</v>
      </c>
      <c r="H24" s="21">
        <f>SUMIFS('Game Data'!D:D,'Game Data'!$B:$B,F24,'Game Data'!$C:$C,VLOOKUP('Solver Model &amp; Output'!G24,'List of NFL Teams'!$A$2:$C$33,3,FALSE))</f>
        <v>0</v>
      </c>
      <c r="I24" s="22">
        <f>'Discount Rates'!P16</f>
        <v>1</v>
      </c>
      <c r="J24" s="23">
        <f t="shared" si="1"/>
        <v>0</v>
      </c>
      <c r="K24" s="19">
        <f t="shared" si="0"/>
        <v>1</v>
      </c>
      <c r="L24" s="19"/>
      <c r="M24" s="19" t="s">
        <v>28</v>
      </c>
      <c r="N24" s="19">
        <f>COUNTIF($G$13:$G$29,'List of NFL Teams'!A13)+IF(ISERROR(VLOOKUP('List of NFL Teams'!B13,'Solver Model &amp; Output'!$C$13:$C$29,1,FALSE)),0,1)</f>
        <v>1</v>
      </c>
      <c r="Q24" s="17"/>
      <c r="R24" s="17"/>
      <c r="S24" s="17"/>
      <c r="T24" s="17"/>
      <c r="U24" s="17"/>
      <c r="V24" s="17"/>
      <c r="W24" s="17"/>
      <c r="X24" s="17"/>
      <c r="Y24" s="16"/>
      <c r="Z24" s="16"/>
    </row>
    <row r="25" spans="2:26">
      <c r="B25" s="15" t="s">
        <v>12</v>
      </c>
      <c r="C25" s="14" t="s">
        <v>50</v>
      </c>
      <c r="D25" s="12" t="str">
        <f>IF(ISERROR(VLOOKUP(G25,'List of NFL Teams'!$A$2:$B$33,2,FALSE))=TRUE,"",VLOOKUP(G25,'List of NFL Teams'!$A$2:$B$33,2,FALSE))</f>
        <v>Denver Broncos</v>
      </c>
      <c r="F25" s="19">
        <v>13</v>
      </c>
      <c r="G25" s="25">
        <v>13</v>
      </c>
      <c r="H25" s="21">
        <f>SUMIFS('Game Data'!D:D,'Game Data'!$B:$B,F25,'Game Data'!$C:$C,VLOOKUP('Solver Model &amp; Output'!G25,'List of NFL Teams'!$A$2:$C$33,3,FALSE))</f>
        <v>0</v>
      </c>
      <c r="I25" s="22">
        <f>'Discount Rates'!P17</f>
        <v>1</v>
      </c>
      <c r="J25" s="23">
        <f t="shared" si="1"/>
        <v>0</v>
      </c>
      <c r="K25" s="19">
        <f t="shared" si="0"/>
        <v>1</v>
      </c>
      <c r="L25" s="19"/>
      <c r="M25" s="19" t="s">
        <v>29</v>
      </c>
      <c r="N25" s="19">
        <f>COUNTIF($G$13:$G$29,'List of NFL Teams'!A14)+IF(ISERROR(VLOOKUP('List of NFL Teams'!B14,'Solver Model &amp; Output'!$C$13:$C$29,1,FALSE)),0,1)</f>
        <v>1</v>
      </c>
      <c r="Q25" s="17"/>
      <c r="R25" s="17"/>
      <c r="S25" s="17"/>
      <c r="T25" s="17"/>
      <c r="U25" s="17"/>
      <c r="V25" s="17"/>
      <c r="W25" s="17"/>
      <c r="X25" s="17"/>
      <c r="Y25" s="16"/>
      <c r="Z25" s="16"/>
    </row>
    <row r="26" spans="2:26">
      <c r="B26" s="15" t="s">
        <v>13</v>
      </c>
      <c r="C26" s="14" t="s">
        <v>50</v>
      </c>
      <c r="D26" s="12" t="str">
        <f>IF(ISERROR(VLOOKUP(G26,'List of NFL Teams'!$A$2:$B$33,2,FALSE))=TRUE,"",VLOOKUP(G26,'List of NFL Teams'!$A$2:$B$33,2,FALSE))</f>
        <v>Kansas City Chiefs</v>
      </c>
      <c r="F26" s="19">
        <v>14</v>
      </c>
      <c r="G26" s="25">
        <v>14</v>
      </c>
      <c r="H26" s="21">
        <f>SUMIFS('Game Data'!D:D,'Game Data'!$B:$B,F26,'Game Data'!$C:$C,VLOOKUP('Solver Model &amp; Output'!G26,'List of NFL Teams'!$A$2:$C$33,3,FALSE))</f>
        <v>0</v>
      </c>
      <c r="I26" s="22">
        <f>'Discount Rates'!P18</f>
        <v>1</v>
      </c>
      <c r="J26" s="23">
        <f t="shared" si="1"/>
        <v>0</v>
      </c>
      <c r="K26" s="19">
        <f t="shared" si="0"/>
        <v>1</v>
      </c>
      <c r="L26" s="19"/>
      <c r="M26" s="19" t="s">
        <v>30</v>
      </c>
      <c r="N26" s="19">
        <f>COUNTIF($G$13:$G$29,'List of NFL Teams'!A15)+IF(ISERROR(VLOOKUP('List of NFL Teams'!B15,'Solver Model &amp; Output'!$C$13:$C$29,1,FALSE)),0,1)</f>
        <v>1</v>
      </c>
      <c r="Q26" s="17"/>
      <c r="R26" s="17"/>
      <c r="S26" s="17"/>
      <c r="T26" s="17"/>
      <c r="U26" s="17"/>
      <c r="V26" s="17"/>
      <c r="W26" s="17"/>
      <c r="X26" s="17"/>
      <c r="Y26" s="16"/>
      <c r="Z26" s="16"/>
    </row>
    <row r="27" spans="2:26">
      <c r="B27" s="15" t="s">
        <v>14</v>
      </c>
      <c r="C27" s="14" t="s">
        <v>50</v>
      </c>
      <c r="D27" s="12" t="str">
        <f>IF(ISERROR(VLOOKUP(G27,'List of NFL Teams'!$A$2:$B$33,2,FALSE))=TRUE,"",VLOOKUP(G27,'List of NFL Teams'!$A$2:$B$33,2,FALSE))</f>
        <v>Oakland Raiders</v>
      </c>
      <c r="F27" s="19">
        <v>15</v>
      </c>
      <c r="G27" s="25">
        <v>15</v>
      </c>
      <c r="H27" s="21">
        <f>SUMIFS('Game Data'!D:D,'Game Data'!$B:$B,F27,'Game Data'!$C:$C,VLOOKUP('Solver Model &amp; Output'!G27,'List of NFL Teams'!$A$2:$C$33,3,FALSE))</f>
        <v>0</v>
      </c>
      <c r="I27" s="22">
        <f>'Discount Rates'!P19</f>
        <v>1</v>
      </c>
      <c r="J27" s="23">
        <f t="shared" si="1"/>
        <v>0</v>
      </c>
      <c r="K27" s="19">
        <f t="shared" si="0"/>
        <v>1</v>
      </c>
      <c r="L27" s="19"/>
      <c r="M27" s="19" t="s">
        <v>31</v>
      </c>
      <c r="N27" s="19">
        <f>COUNTIF($G$13:$G$29,'List of NFL Teams'!A16)+IF(ISERROR(VLOOKUP('List of NFL Teams'!B16,'Solver Model &amp; Output'!$C$13:$C$29,1,FALSE)),0,1)</f>
        <v>1</v>
      </c>
      <c r="Q27" s="17"/>
      <c r="R27" s="17"/>
      <c r="S27" s="17"/>
      <c r="T27" s="17"/>
      <c r="U27" s="17"/>
      <c r="V27" s="17"/>
      <c r="W27" s="17"/>
      <c r="X27" s="17"/>
      <c r="Y27" s="16"/>
      <c r="Z27" s="16"/>
    </row>
    <row r="28" spans="2:26">
      <c r="B28" s="15" t="s">
        <v>15</v>
      </c>
      <c r="C28" s="14" t="s">
        <v>50</v>
      </c>
      <c r="D28" s="12" t="str">
        <f>IF(ISERROR(VLOOKUP(G28,'List of NFL Teams'!$A$2:$B$33,2,FALSE))=TRUE,"",VLOOKUP(G28,'List of NFL Teams'!$A$2:$B$33,2,FALSE))</f>
        <v>San Diego Chargers</v>
      </c>
      <c r="F28" s="19">
        <v>16</v>
      </c>
      <c r="G28" s="25">
        <v>16</v>
      </c>
      <c r="H28" s="21">
        <f>SUMIFS('Game Data'!D:D,'Game Data'!$B:$B,F28,'Game Data'!$C:$C,VLOOKUP('Solver Model &amp; Output'!G28,'List of NFL Teams'!$A$2:$C$33,3,FALSE))</f>
        <v>0.22000000000000003</v>
      </c>
      <c r="I28" s="22">
        <f>'Discount Rates'!P20</f>
        <v>1</v>
      </c>
      <c r="J28" s="23">
        <f t="shared" si="1"/>
        <v>0.22000000000000003</v>
      </c>
      <c r="K28" s="19">
        <f t="shared" si="0"/>
        <v>1</v>
      </c>
      <c r="L28" s="19"/>
      <c r="M28" s="19" t="s">
        <v>32</v>
      </c>
      <c r="N28" s="19">
        <f>COUNTIF($G$13:$G$29,'List of NFL Teams'!A17)+IF(ISERROR(VLOOKUP('List of NFL Teams'!B17,'Solver Model &amp; Output'!$C$13:$C$29,1,FALSE)),0,1)</f>
        <v>1</v>
      </c>
      <c r="Q28" s="17"/>
      <c r="R28" s="17"/>
      <c r="S28" s="17"/>
      <c r="T28" s="17"/>
      <c r="U28" s="17"/>
      <c r="V28" s="17"/>
      <c r="W28" s="17"/>
      <c r="X28" s="17"/>
      <c r="Y28" s="16"/>
      <c r="Z28" s="16"/>
    </row>
    <row r="29" spans="2:26" ht="15" thickBot="1">
      <c r="B29" s="15" t="s">
        <v>16</v>
      </c>
      <c r="C29" s="14" t="s">
        <v>50</v>
      </c>
      <c r="D29" s="13" t="str">
        <f>IF(ISERROR(VLOOKUP(G29,'List of NFL Teams'!$A$2:$B$33,2,FALSE))=TRUE,"",VLOOKUP(G29,'List of NFL Teams'!$A$2:$B$33,2,FALSE))</f>
        <v>Dallas Cowboys</v>
      </c>
      <c r="F29" s="19">
        <v>17</v>
      </c>
      <c r="G29" s="26">
        <v>17</v>
      </c>
      <c r="H29" s="21">
        <f>SUMIFS('Game Data'!D:D,'Game Data'!$B:$B,F29,'Game Data'!$C:$C,VLOOKUP('Solver Model &amp; Output'!G29,'List of NFL Teams'!$A$2:$C$33,3,FALSE))</f>
        <v>0</v>
      </c>
      <c r="I29" s="22">
        <f>'Discount Rates'!P21</f>
        <v>1</v>
      </c>
      <c r="J29" s="23">
        <f t="shared" si="1"/>
        <v>0</v>
      </c>
      <c r="K29" s="19">
        <f t="shared" si="0"/>
        <v>1</v>
      </c>
      <c r="L29" s="19"/>
      <c r="M29" s="19" t="s">
        <v>33</v>
      </c>
      <c r="N29" s="19">
        <f>COUNTIF($G$13:$G$29,'List of NFL Teams'!A18)+IF(ISERROR(VLOOKUP('List of NFL Teams'!B18,'Solver Model &amp; Output'!$C$13:$C$29,1,FALSE)),0,1)</f>
        <v>1</v>
      </c>
      <c r="Q29" s="17"/>
      <c r="R29" s="17"/>
      <c r="S29" s="17"/>
      <c r="T29" s="17"/>
      <c r="U29" s="17"/>
      <c r="V29" s="17"/>
      <c r="W29" s="17"/>
      <c r="X29" s="17"/>
      <c r="Y29" s="16"/>
      <c r="Z29" s="16"/>
    </row>
    <row r="30" spans="2:26" ht="15.6" thickTop="1" thickBot="1">
      <c r="F30" s="19"/>
      <c r="G30" s="19"/>
      <c r="H30" s="19"/>
      <c r="I30" s="19"/>
      <c r="J30" s="19"/>
      <c r="K30" s="19"/>
      <c r="L30" s="19"/>
      <c r="M30" s="19" t="s">
        <v>34</v>
      </c>
      <c r="N30" s="19">
        <f>COUNTIF($G$13:$G$29,'List of NFL Teams'!A19)+IF(ISERROR(VLOOKUP('List of NFL Teams'!B19,'Solver Model &amp; Output'!$C$13:$C$29,1,FALSE)),0,1)</f>
        <v>0</v>
      </c>
      <c r="Q30" s="17"/>
      <c r="R30" s="17"/>
      <c r="S30" s="17"/>
      <c r="T30" s="17"/>
      <c r="U30" s="17"/>
      <c r="V30" s="17"/>
      <c r="W30" s="17"/>
      <c r="X30" s="17"/>
      <c r="Y30" s="16"/>
      <c r="Z30" s="16"/>
    </row>
    <row r="31" spans="2:26" ht="15.6" thickTop="1" thickBot="1">
      <c r="F31" s="19"/>
      <c r="H31" s="20"/>
      <c r="I31" s="27" t="s">
        <v>100</v>
      </c>
      <c r="J31" s="28">
        <f>SUM(J13:J29)</f>
        <v>1.5697605165701103</v>
      </c>
      <c r="K31" s="19"/>
      <c r="L31" s="19"/>
      <c r="M31" s="19" t="s">
        <v>35</v>
      </c>
      <c r="N31" s="19">
        <f>COUNTIF($G$13:$G$29,'List of NFL Teams'!A20)+IF(ISERROR(VLOOKUP('List of NFL Teams'!B20,'Solver Model &amp; Output'!$C$13:$C$29,1,FALSE)),0,1)</f>
        <v>0</v>
      </c>
      <c r="Q31" s="17"/>
      <c r="R31" s="17"/>
      <c r="S31" s="17"/>
      <c r="T31" s="17"/>
      <c r="U31" s="17"/>
      <c r="V31" s="17"/>
      <c r="W31" s="17"/>
      <c r="X31" s="17"/>
      <c r="Y31" s="16"/>
      <c r="Z31" s="16"/>
    </row>
    <row r="32" spans="2:26" ht="15" thickTop="1">
      <c r="F32" s="19"/>
      <c r="G32" s="19"/>
      <c r="H32" s="19"/>
      <c r="I32" s="19"/>
      <c r="J32" s="19"/>
      <c r="K32" s="19"/>
      <c r="L32" s="19"/>
      <c r="M32" s="19" t="s">
        <v>36</v>
      </c>
      <c r="N32" s="19">
        <f>COUNTIF($G$13:$G$29,'List of NFL Teams'!A21)+IF(ISERROR(VLOOKUP('List of NFL Teams'!B21,'Solver Model &amp; Output'!$C$13:$C$29,1,FALSE)),0,1)</f>
        <v>0</v>
      </c>
      <c r="Q32" s="17"/>
      <c r="R32" s="17"/>
      <c r="S32" s="17"/>
      <c r="T32" s="17"/>
      <c r="U32" s="17"/>
      <c r="V32" s="17"/>
      <c r="W32" s="17"/>
      <c r="X32" s="17"/>
      <c r="Y32" s="16"/>
      <c r="Z32" s="16"/>
    </row>
    <row r="33" spans="6:26">
      <c r="F33" s="19"/>
      <c r="G33" s="19"/>
      <c r="H33" s="19"/>
      <c r="I33" s="19"/>
      <c r="J33" s="19"/>
      <c r="K33" s="19"/>
      <c r="L33" s="19"/>
      <c r="M33" s="19" t="s">
        <v>37</v>
      </c>
      <c r="N33" s="19">
        <f>COUNTIF($G$13:$G$29,'List of NFL Teams'!A22)+IF(ISERROR(VLOOKUP('List of NFL Teams'!B22,'Solver Model &amp; Output'!$C$13:$C$29,1,FALSE)),0,1)</f>
        <v>0</v>
      </c>
      <c r="Q33" s="17"/>
      <c r="R33" s="17"/>
      <c r="S33" s="17"/>
      <c r="T33" s="17"/>
      <c r="U33" s="17"/>
      <c r="V33" s="17"/>
      <c r="W33" s="17"/>
      <c r="X33" s="17"/>
      <c r="Y33" s="16"/>
      <c r="Z33" s="16"/>
    </row>
    <row r="34" spans="6:26">
      <c r="F34" s="19"/>
      <c r="G34" s="19"/>
      <c r="H34" s="19"/>
      <c r="I34" s="19"/>
      <c r="J34" s="19"/>
      <c r="K34" s="19"/>
      <c r="L34" s="19"/>
      <c r="M34" s="19" t="s">
        <v>38</v>
      </c>
      <c r="N34" s="19">
        <f>COUNTIF($G$13:$G$29,'List of NFL Teams'!A23)+IF(ISERROR(VLOOKUP('List of NFL Teams'!B23,'Solver Model &amp; Output'!$C$13:$C$29,1,FALSE)),0,1)</f>
        <v>0</v>
      </c>
      <c r="Q34" s="17"/>
      <c r="R34" s="17"/>
      <c r="S34" s="17"/>
      <c r="T34" s="17"/>
      <c r="U34" s="17"/>
      <c r="V34" s="17"/>
      <c r="W34" s="17"/>
      <c r="X34" s="17"/>
      <c r="Y34" s="16"/>
      <c r="Z34" s="16"/>
    </row>
    <row r="35" spans="6:26">
      <c r="F35" s="19"/>
      <c r="G35" s="19"/>
      <c r="H35" s="19"/>
      <c r="I35" s="19"/>
      <c r="J35" s="19"/>
      <c r="K35" s="19"/>
      <c r="L35" s="19"/>
      <c r="M35" s="19" t="s">
        <v>39</v>
      </c>
      <c r="N35" s="19">
        <f>COUNTIF($G$13:$G$29,'List of NFL Teams'!A24)+IF(ISERROR(VLOOKUP('List of NFL Teams'!B24,'Solver Model &amp; Output'!$C$13:$C$29,1,FALSE)),0,1)</f>
        <v>0</v>
      </c>
      <c r="Q35" s="17"/>
      <c r="R35" s="17"/>
      <c r="S35" s="17"/>
      <c r="T35" s="17"/>
      <c r="U35" s="17"/>
      <c r="V35" s="17"/>
      <c r="W35" s="17"/>
      <c r="X35" s="17"/>
      <c r="Y35" s="16"/>
      <c r="Z35" s="16"/>
    </row>
    <row r="36" spans="6:26">
      <c r="F36" s="19"/>
      <c r="G36" s="19"/>
      <c r="H36" s="19"/>
      <c r="I36" s="19"/>
      <c r="J36" s="19"/>
      <c r="K36" s="19"/>
      <c r="L36" s="19"/>
      <c r="M36" s="19" t="s">
        <v>40</v>
      </c>
      <c r="N36" s="19">
        <f>COUNTIF($G$13:$G$29,'List of NFL Teams'!A25)+IF(ISERROR(VLOOKUP('List of NFL Teams'!B25,'Solver Model &amp; Output'!$C$13:$C$29,1,FALSE)),0,1)</f>
        <v>0</v>
      </c>
      <c r="Q36" s="17"/>
      <c r="R36" s="17"/>
      <c r="S36" s="17"/>
      <c r="T36" s="17"/>
      <c r="U36" s="17"/>
      <c r="V36" s="17"/>
      <c r="W36" s="17"/>
      <c r="X36" s="17"/>
      <c r="Y36" s="16"/>
      <c r="Z36" s="16"/>
    </row>
    <row r="37" spans="6:26">
      <c r="F37" s="19"/>
      <c r="G37" s="19"/>
      <c r="H37" s="19"/>
      <c r="I37" s="19"/>
      <c r="J37" s="19"/>
      <c r="K37" s="19"/>
      <c r="L37" s="19"/>
      <c r="M37" s="19" t="s">
        <v>41</v>
      </c>
      <c r="N37" s="19">
        <f>COUNTIF($G$13:$G$29,'List of NFL Teams'!A26)+IF(ISERROR(VLOOKUP('List of NFL Teams'!B26,'Solver Model &amp; Output'!$C$13:$C$29,1,FALSE)),0,1)</f>
        <v>0</v>
      </c>
      <c r="Q37" s="17"/>
      <c r="R37" s="17"/>
      <c r="S37" s="17"/>
      <c r="T37" s="17"/>
      <c r="U37" s="17"/>
      <c r="V37" s="17"/>
      <c r="W37" s="17"/>
      <c r="X37" s="17"/>
      <c r="Y37" s="16"/>
      <c r="Z37" s="16"/>
    </row>
    <row r="38" spans="6:26">
      <c r="F38" s="19"/>
      <c r="G38" s="19"/>
      <c r="H38" s="19"/>
      <c r="I38" s="19"/>
      <c r="J38" s="19"/>
      <c r="K38" s="19"/>
      <c r="L38" s="19"/>
      <c r="M38" s="19" t="s">
        <v>42</v>
      </c>
      <c r="N38" s="19">
        <f>COUNTIF($G$13:$G$29,'List of NFL Teams'!A27)+IF(ISERROR(VLOOKUP('List of NFL Teams'!B27,'Solver Model &amp; Output'!$C$13:$C$29,1,FALSE)),0,1)</f>
        <v>0</v>
      </c>
      <c r="Q38" s="17"/>
      <c r="R38" s="17"/>
      <c r="S38" s="17"/>
      <c r="T38" s="17"/>
      <c r="U38" s="17"/>
      <c r="V38" s="17"/>
      <c r="W38" s="17"/>
      <c r="X38" s="17"/>
      <c r="Y38" s="16"/>
      <c r="Z38" s="16"/>
    </row>
    <row r="39" spans="6:26">
      <c r="F39" s="19"/>
      <c r="G39" s="19"/>
      <c r="H39" s="19"/>
      <c r="I39" s="19"/>
      <c r="J39" s="19"/>
      <c r="K39" s="19"/>
      <c r="L39" s="19"/>
      <c r="M39" s="19" t="s">
        <v>43</v>
      </c>
      <c r="N39" s="19">
        <f>COUNTIF($G$13:$G$29,'List of NFL Teams'!A28)+IF(ISERROR(VLOOKUP('List of NFL Teams'!B28,'Solver Model &amp; Output'!$C$13:$C$29,1,FALSE)),0,1)</f>
        <v>0</v>
      </c>
      <c r="Q39" s="17"/>
      <c r="R39" s="17"/>
      <c r="S39" s="17"/>
      <c r="T39" s="17"/>
      <c r="U39" s="17"/>
      <c r="V39" s="17"/>
      <c r="W39" s="17"/>
      <c r="X39" s="17"/>
      <c r="Y39" s="16"/>
      <c r="Z39" s="16"/>
    </row>
    <row r="40" spans="6:26">
      <c r="F40" s="19"/>
      <c r="G40" s="19"/>
      <c r="H40" s="19"/>
      <c r="I40" s="19"/>
      <c r="J40" s="19"/>
      <c r="K40" s="19"/>
      <c r="L40" s="19"/>
      <c r="M40" s="19" t="s">
        <v>44</v>
      </c>
      <c r="N40" s="19">
        <f>COUNTIF($G$13:$G$29,'List of NFL Teams'!A29)+IF(ISERROR(VLOOKUP('List of NFL Teams'!B29,'Solver Model &amp; Output'!$C$13:$C$29,1,FALSE)),0,1)</f>
        <v>0</v>
      </c>
      <c r="Q40" s="17"/>
      <c r="R40" s="17"/>
      <c r="S40" s="17"/>
      <c r="T40" s="17"/>
      <c r="U40" s="17"/>
      <c r="V40" s="17"/>
      <c r="W40" s="17"/>
      <c r="X40" s="17"/>
      <c r="Y40" s="16"/>
      <c r="Z40" s="16"/>
    </row>
    <row r="41" spans="6:26">
      <c r="F41" s="19"/>
      <c r="G41" s="19"/>
      <c r="H41" s="19"/>
      <c r="I41" s="19"/>
      <c r="J41" s="19"/>
      <c r="K41" s="19"/>
      <c r="L41" s="19"/>
      <c r="M41" s="19" t="s">
        <v>45</v>
      </c>
      <c r="N41" s="19">
        <f>COUNTIF($G$13:$G$29,'List of NFL Teams'!A30)+IF(ISERROR(VLOOKUP('List of NFL Teams'!B30,'Solver Model &amp; Output'!$C$13:$C$29,1,FALSE)),0,1)</f>
        <v>0</v>
      </c>
      <c r="Q41" s="17"/>
      <c r="R41" s="17"/>
      <c r="S41" s="17"/>
      <c r="T41" s="17"/>
      <c r="U41" s="17"/>
      <c r="V41" s="17"/>
      <c r="W41" s="17"/>
      <c r="X41" s="17"/>
      <c r="Y41" s="16"/>
      <c r="Z41" s="16"/>
    </row>
    <row r="42" spans="6:26">
      <c r="F42" s="19"/>
      <c r="G42" s="19"/>
      <c r="H42" s="19"/>
      <c r="I42" s="19"/>
      <c r="J42" s="19"/>
      <c r="K42" s="19"/>
      <c r="L42" s="19"/>
      <c r="M42" s="19" t="s">
        <v>46</v>
      </c>
      <c r="N42" s="19">
        <f>COUNTIF($G$13:$G$29,'List of NFL Teams'!A31)+IF(ISERROR(VLOOKUP('List of NFL Teams'!B31,'Solver Model &amp; Output'!$C$13:$C$29,1,FALSE)),0,1)</f>
        <v>0</v>
      </c>
      <c r="Q42" s="17"/>
      <c r="R42" s="17"/>
      <c r="S42" s="17"/>
      <c r="T42" s="17"/>
      <c r="U42" s="17"/>
      <c r="V42" s="17"/>
      <c r="W42" s="17"/>
      <c r="X42" s="17"/>
      <c r="Y42" s="16"/>
      <c r="Z42" s="16"/>
    </row>
    <row r="43" spans="6:26">
      <c r="F43" s="19"/>
      <c r="G43" s="19"/>
      <c r="H43" s="19"/>
      <c r="I43" s="19"/>
      <c r="J43" s="19"/>
      <c r="K43" s="19"/>
      <c r="L43" s="19"/>
      <c r="M43" s="19" t="s">
        <v>47</v>
      </c>
      <c r="N43" s="19">
        <f>COUNTIF($G$13:$G$29,'List of NFL Teams'!A32)+IF(ISERROR(VLOOKUP('List of NFL Teams'!B32,'Solver Model &amp; Output'!$C$13:$C$29,1,FALSE)),0,1)</f>
        <v>0</v>
      </c>
      <c r="Q43" s="17"/>
      <c r="R43" s="17"/>
      <c r="S43" s="17"/>
      <c r="T43" s="17"/>
      <c r="U43" s="17"/>
      <c r="V43" s="17"/>
      <c r="W43" s="17"/>
      <c r="X43" s="17"/>
      <c r="Y43" s="16"/>
      <c r="Z43" s="16"/>
    </row>
    <row r="44" spans="6:26">
      <c r="F44" s="19"/>
      <c r="G44" s="19"/>
      <c r="H44" s="19"/>
      <c r="I44" s="19"/>
      <c r="J44" s="19"/>
      <c r="K44" s="19"/>
      <c r="L44" s="19"/>
      <c r="M44" s="19" t="s">
        <v>48</v>
      </c>
      <c r="N44" s="19">
        <f>COUNTIF($G$13:$G$29,'List of NFL Teams'!A33)+IF(ISERROR(VLOOKUP('List of NFL Teams'!B33,'Solver Model &amp; Output'!$C$13:$C$29,1,FALSE)),0,1)</f>
        <v>0</v>
      </c>
      <c r="Q44" s="17"/>
      <c r="R44" s="17"/>
      <c r="S44" s="17"/>
      <c r="T44" s="17"/>
      <c r="U44" s="17"/>
      <c r="V44" s="17"/>
      <c r="W44" s="17"/>
      <c r="X44" s="17"/>
      <c r="Y44" s="16"/>
      <c r="Z44" s="16"/>
    </row>
    <row r="45" spans="6:26">
      <c r="F45" s="17"/>
      <c r="G45" s="17"/>
      <c r="H45" s="17"/>
      <c r="I45" s="17"/>
      <c r="J45" s="17"/>
      <c r="K45" s="17"/>
      <c r="L45" s="17"/>
      <c r="M45" s="17"/>
      <c r="N45" s="17"/>
      <c r="O45" s="17"/>
      <c r="P45" s="17"/>
      <c r="Q45" s="17"/>
      <c r="R45" s="17"/>
      <c r="S45" s="17"/>
      <c r="T45" s="17"/>
      <c r="U45" s="17"/>
      <c r="V45" s="17"/>
      <c r="W45" s="17"/>
      <c r="X45" s="17"/>
      <c r="Y45" s="16"/>
      <c r="Z45" s="16"/>
    </row>
    <row r="46" spans="6:26">
      <c r="F46" s="17"/>
      <c r="G46" s="17"/>
      <c r="H46" s="17"/>
      <c r="I46" s="17"/>
      <c r="J46" s="17"/>
      <c r="K46" s="17"/>
      <c r="L46" s="17"/>
      <c r="M46" s="17"/>
      <c r="N46" s="17"/>
      <c r="O46" s="17"/>
      <c r="P46" s="17"/>
      <c r="Q46" s="17"/>
      <c r="R46" s="17"/>
      <c r="S46" s="17"/>
      <c r="T46" s="17"/>
      <c r="U46" s="17"/>
      <c r="V46" s="17"/>
      <c r="W46" s="17"/>
      <c r="X46" s="17"/>
      <c r="Y46" s="16"/>
      <c r="Z46" s="16"/>
    </row>
    <row r="47" spans="6:26">
      <c r="F47" s="17"/>
      <c r="G47" s="17"/>
      <c r="H47" s="17"/>
      <c r="I47" s="17"/>
      <c r="J47" s="17"/>
      <c r="K47" s="17"/>
      <c r="L47" s="17"/>
      <c r="M47" s="17"/>
      <c r="N47" s="17"/>
      <c r="O47" s="17"/>
      <c r="P47" s="17"/>
      <c r="Q47" s="17"/>
      <c r="R47" s="17"/>
      <c r="S47" s="17"/>
      <c r="T47" s="17"/>
      <c r="U47" s="17"/>
      <c r="V47" s="17"/>
      <c r="W47" s="17"/>
      <c r="X47" s="17"/>
      <c r="Y47" s="16"/>
      <c r="Z47" s="16"/>
    </row>
    <row r="48" spans="6:26">
      <c r="F48" s="17"/>
      <c r="G48" s="17"/>
      <c r="H48" s="17"/>
      <c r="I48" s="17"/>
      <c r="J48" s="17"/>
      <c r="K48" s="17"/>
      <c r="L48" s="17"/>
      <c r="M48" s="17"/>
      <c r="N48" s="17"/>
      <c r="O48" s="17"/>
      <c r="P48" s="17"/>
      <c r="Q48" s="17"/>
      <c r="R48" s="17"/>
      <c r="S48" s="17"/>
      <c r="T48" s="17"/>
      <c r="U48" s="17"/>
      <c r="V48" s="17"/>
      <c r="W48" s="17"/>
      <c r="X48" s="17"/>
      <c r="Y48" s="16"/>
      <c r="Z48" s="16"/>
    </row>
    <row r="49" spans="6:26">
      <c r="F49" s="17"/>
      <c r="G49" s="17"/>
      <c r="H49" s="17"/>
      <c r="I49" s="17"/>
      <c r="J49" s="17"/>
      <c r="K49" s="17"/>
      <c r="L49" s="17"/>
      <c r="M49" s="17"/>
      <c r="N49" s="17"/>
      <c r="O49" s="17"/>
      <c r="P49" s="17"/>
      <c r="Q49" s="17"/>
      <c r="R49" s="17"/>
      <c r="S49" s="17"/>
      <c r="T49" s="17"/>
      <c r="U49" s="17"/>
      <c r="V49" s="17"/>
      <c r="W49" s="17"/>
      <c r="X49" s="17"/>
      <c r="Y49" s="16"/>
      <c r="Z49" s="16"/>
    </row>
    <row r="50" spans="6:26">
      <c r="F50" s="17"/>
      <c r="G50" s="17"/>
      <c r="H50" s="17"/>
      <c r="I50" s="17"/>
      <c r="J50" s="17"/>
      <c r="K50" s="17"/>
      <c r="L50" s="17"/>
      <c r="M50" s="17"/>
      <c r="N50" s="17"/>
      <c r="O50" s="17"/>
      <c r="P50" s="17"/>
      <c r="Q50" s="17"/>
      <c r="R50" s="17"/>
      <c r="S50" s="17"/>
      <c r="T50" s="17"/>
      <c r="U50" s="17"/>
      <c r="V50" s="17"/>
      <c r="W50" s="17"/>
      <c r="X50" s="17"/>
      <c r="Y50" s="16"/>
      <c r="Z50" s="16"/>
    </row>
    <row r="51" spans="6:26">
      <c r="F51" s="17"/>
      <c r="G51" s="17"/>
      <c r="H51" s="17"/>
      <c r="I51" s="17"/>
      <c r="J51" s="17"/>
      <c r="K51" s="17"/>
      <c r="L51" s="17"/>
      <c r="M51" s="17"/>
      <c r="N51" s="17"/>
      <c r="O51" s="17"/>
      <c r="P51" s="17"/>
      <c r="Q51" s="17"/>
      <c r="R51" s="17"/>
      <c r="S51" s="17"/>
      <c r="T51" s="17"/>
      <c r="U51" s="17"/>
      <c r="V51" s="17"/>
      <c r="W51" s="17"/>
      <c r="X51" s="17"/>
      <c r="Y51" s="16"/>
      <c r="Z51" s="16"/>
    </row>
    <row r="52" spans="6:26">
      <c r="F52" s="17"/>
      <c r="G52" s="17"/>
      <c r="H52" s="17"/>
      <c r="I52" s="17"/>
      <c r="J52" s="17"/>
      <c r="K52" s="17"/>
      <c r="L52" s="17"/>
      <c r="M52" s="17"/>
      <c r="N52" s="17"/>
      <c r="O52" s="17"/>
      <c r="P52" s="17"/>
      <c r="Q52" s="17"/>
      <c r="R52" s="17"/>
      <c r="S52" s="17"/>
      <c r="T52" s="17"/>
      <c r="U52" s="17"/>
      <c r="V52" s="17"/>
      <c r="W52" s="17"/>
      <c r="X52" s="17"/>
      <c r="Y52" s="16"/>
      <c r="Z52" s="16"/>
    </row>
    <row r="53" spans="6:26">
      <c r="F53" s="17"/>
      <c r="G53" s="17"/>
      <c r="H53" s="17"/>
      <c r="I53" s="17"/>
      <c r="J53" s="17"/>
      <c r="K53" s="17"/>
      <c r="L53" s="17"/>
      <c r="M53" s="17"/>
      <c r="N53" s="17"/>
      <c r="O53" s="17"/>
      <c r="P53" s="17"/>
      <c r="Q53" s="17"/>
      <c r="R53" s="17"/>
      <c r="S53" s="17"/>
      <c r="T53" s="17"/>
      <c r="U53" s="17"/>
      <c r="V53" s="17"/>
      <c r="W53" s="17"/>
      <c r="X53" s="17"/>
      <c r="Y53" s="16"/>
      <c r="Z53" s="16"/>
    </row>
    <row r="54" spans="6:26">
      <c r="F54" s="17"/>
      <c r="G54" s="17"/>
      <c r="H54" s="17"/>
      <c r="I54" s="17"/>
      <c r="J54" s="17"/>
      <c r="K54" s="17"/>
      <c r="L54" s="17"/>
      <c r="M54" s="17"/>
      <c r="N54" s="17"/>
      <c r="O54" s="17"/>
      <c r="P54" s="17"/>
      <c r="Q54" s="17"/>
      <c r="R54" s="17"/>
      <c r="S54" s="17"/>
      <c r="T54" s="17"/>
      <c r="U54" s="17"/>
      <c r="V54" s="17"/>
      <c r="W54" s="17"/>
      <c r="X54" s="17"/>
      <c r="Y54" s="16"/>
      <c r="Z54" s="16"/>
    </row>
    <row r="55" spans="6:26">
      <c r="F55" s="17"/>
      <c r="G55" s="17"/>
      <c r="H55" s="17"/>
      <c r="I55" s="17"/>
      <c r="J55" s="17"/>
      <c r="K55" s="17"/>
      <c r="L55" s="17"/>
      <c r="M55" s="17"/>
      <c r="N55" s="17"/>
      <c r="O55" s="17"/>
      <c r="P55" s="17"/>
      <c r="Q55" s="17"/>
      <c r="R55" s="17"/>
      <c r="S55" s="17"/>
      <c r="T55" s="17"/>
      <c r="U55" s="17"/>
      <c r="V55" s="17"/>
      <c r="W55" s="17"/>
      <c r="X55" s="17"/>
      <c r="Y55" s="16"/>
      <c r="Z55" s="16"/>
    </row>
    <row r="56" spans="6:26">
      <c r="F56" s="17"/>
      <c r="G56" s="17"/>
      <c r="H56" s="17"/>
      <c r="I56" s="17"/>
      <c r="J56" s="17"/>
      <c r="K56" s="17"/>
      <c r="L56" s="17"/>
      <c r="M56" s="17"/>
      <c r="N56" s="17"/>
      <c r="O56" s="17"/>
      <c r="P56" s="17"/>
      <c r="Q56" s="17"/>
      <c r="R56" s="17"/>
      <c r="S56" s="17"/>
      <c r="T56" s="17"/>
      <c r="U56" s="17"/>
      <c r="V56" s="17"/>
      <c r="W56" s="17"/>
      <c r="X56" s="17"/>
      <c r="Y56" s="16"/>
      <c r="Z56" s="16"/>
    </row>
    <row r="57" spans="6:26">
      <c r="F57" s="17"/>
      <c r="G57" s="17"/>
      <c r="H57" s="17"/>
      <c r="I57" s="17"/>
      <c r="J57" s="17"/>
      <c r="K57" s="17"/>
      <c r="L57" s="17"/>
      <c r="M57" s="17"/>
      <c r="N57" s="17"/>
      <c r="O57" s="17"/>
      <c r="P57" s="17"/>
      <c r="Q57" s="17"/>
      <c r="R57" s="17"/>
      <c r="S57" s="17"/>
      <c r="T57" s="17"/>
      <c r="U57" s="17"/>
      <c r="V57" s="17"/>
      <c r="W57" s="17"/>
      <c r="X57" s="17"/>
      <c r="Y57" s="16"/>
      <c r="Z57" s="16"/>
    </row>
    <row r="58" spans="6:26">
      <c r="F58" s="17"/>
      <c r="G58" s="17"/>
      <c r="H58" s="17"/>
      <c r="I58" s="17"/>
      <c r="J58" s="17"/>
      <c r="K58" s="17"/>
      <c r="L58" s="17"/>
      <c r="M58" s="17"/>
      <c r="N58" s="17"/>
      <c r="O58" s="17"/>
      <c r="P58" s="17"/>
      <c r="Q58" s="17"/>
      <c r="R58" s="17"/>
      <c r="S58" s="17"/>
      <c r="T58" s="17"/>
      <c r="U58" s="17"/>
      <c r="V58" s="17"/>
      <c r="W58" s="17"/>
      <c r="X58" s="17"/>
      <c r="Y58" s="16"/>
      <c r="Z58" s="16"/>
    </row>
    <row r="59" spans="6:26">
      <c r="F59" s="17"/>
      <c r="G59" s="17"/>
      <c r="H59" s="17"/>
      <c r="I59" s="17"/>
      <c r="J59" s="17"/>
      <c r="K59" s="17"/>
      <c r="L59" s="17"/>
      <c r="M59" s="17"/>
      <c r="N59" s="17"/>
      <c r="O59" s="17"/>
      <c r="P59" s="17"/>
      <c r="Q59" s="17"/>
      <c r="R59" s="17"/>
      <c r="S59" s="17"/>
      <c r="T59" s="17"/>
      <c r="U59" s="17"/>
      <c r="V59" s="17"/>
      <c r="W59" s="17"/>
      <c r="X59" s="17"/>
      <c r="Y59" s="16"/>
      <c r="Z59" s="16"/>
    </row>
    <row r="60" spans="6:26">
      <c r="F60" s="17"/>
      <c r="G60" s="17"/>
      <c r="H60" s="17"/>
      <c r="I60" s="17"/>
      <c r="J60" s="17"/>
      <c r="K60" s="17"/>
      <c r="L60" s="17"/>
      <c r="M60" s="17"/>
      <c r="N60" s="17"/>
      <c r="O60" s="17"/>
      <c r="P60" s="17"/>
      <c r="Q60" s="17"/>
      <c r="R60" s="17"/>
      <c r="S60" s="17"/>
      <c r="T60" s="17"/>
      <c r="U60" s="17"/>
      <c r="V60" s="17"/>
      <c r="W60" s="17"/>
      <c r="X60" s="17"/>
      <c r="Y60" s="16"/>
      <c r="Z60" s="16"/>
    </row>
    <row r="61" spans="6:26">
      <c r="F61" s="16"/>
      <c r="G61" s="16"/>
      <c r="H61" s="16"/>
      <c r="I61" s="16"/>
      <c r="J61" s="16"/>
      <c r="K61" s="16"/>
      <c r="L61" s="16"/>
      <c r="M61" s="16"/>
      <c r="N61" s="16"/>
      <c r="O61" s="16"/>
      <c r="P61" s="16"/>
      <c r="Q61" s="16"/>
      <c r="R61" s="16"/>
      <c r="S61" s="16"/>
      <c r="T61" s="16"/>
      <c r="U61" s="16"/>
      <c r="V61" s="16"/>
      <c r="W61" s="16"/>
      <c r="X61" s="16"/>
      <c r="Y61" s="16"/>
      <c r="Z61" s="16"/>
    </row>
  </sheetData>
  <mergeCells count="3">
    <mergeCell ref="A12:B12"/>
    <mergeCell ref="D12:E12"/>
    <mergeCell ref="M12:N12"/>
  </mergeCells>
  <phoneticPr fontId="10" type="noConversion"/>
  <dataValidations count="4">
    <dataValidation type="list" allowBlank="1" showInputMessage="1" showErrorMessage="1" sqref="C13:C29">
      <formula1>ListNFLTeams</formula1>
    </dataValidation>
    <dataValidation type="list" allowBlank="1" showInputMessage="1" showErrorMessage="1" sqref="I3">
      <formula1>$U$10:$U$14</formula1>
    </dataValidation>
    <dataValidation type="list" allowBlank="1" showInputMessage="1" showErrorMessage="1" sqref="D3">
      <formula1>$X$10:$X$21</formula1>
    </dataValidation>
    <dataValidation type="list" allowBlank="1" showInputMessage="1" showErrorMessage="1" sqref="M3">
      <formula1>$F$12:$F$29</formula1>
    </dataValidation>
  </dataValidations>
  <printOptions headings="1"/>
  <pageMargins left="0.7" right="0.7" top="0.75" bottom="0.75" header="0.3" footer="0.3"/>
  <pageSetup orientation="portrait" cellComments="asDisplayed"/>
  <ignoredErrors>
    <ignoredError sqref="I13:J30 J31" evalError="1"/>
  </ignoredErrors>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codeName="Sheet2" enableFormatConditionsCalculation="0"/>
  <dimension ref="A1:N33"/>
  <sheetViews>
    <sheetView workbookViewId="0">
      <selection activeCell="D9" sqref="D9"/>
    </sheetView>
  </sheetViews>
  <sheetFormatPr defaultColWidth="8.77734375" defaultRowHeight="14.4"/>
  <cols>
    <col min="2" max="2" width="21.109375" bestFit="1" customWidth="1"/>
    <col min="3" max="4" width="21.109375" customWidth="1"/>
    <col min="6" max="6" width="16.44140625" bestFit="1" customWidth="1"/>
    <col min="13" max="13" width="21.109375" bestFit="1" customWidth="1"/>
  </cols>
  <sheetData>
    <row r="1" spans="1:14">
      <c r="F1" t="s">
        <v>49</v>
      </c>
      <c r="M1" s="43"/>
      <c r="N1" s="43"/>
    </row>
    <row r="2" spans="1:14">
      <c r="A2">
        <v>1</v>
      </c>
      <c r="B2" t="s">
        <v>17</v>
      </c>
      <c r="C2" t="s">
        <v>56</v>
      </c>
      <c r="F2" t="str">
        <f>IF(ISERROR(VLOOKUP(B2,'Solver Model &amp; Output'!$C$13:$C$29,1,FALSE)),'List of NFL Teams'!B2,"")</f>
        <v/>
      </c>
      <c r="I2" t="str">
        <f>LOOKUP(B2,'Solver Model &amp; Output'!C13:C29)</f>
        <v/>
      </c>
    </row>
    <row r="3" spans="1:14">
      <c r="A3">
        <v>2</v>
      </c>
      <c r="B3" t="s">
        <v>18</v>
      </c>
      <c r="C3" t="s">
        <v>69</v>
      </c>
      <c r="F3" t="str">
        <f>IF(ISERROR(VLOOKUP(B3,'Solver Model &amp; Output'!$C$13:$C$29,1,FALSE)),'List of NFL Teams'!B3,"")</f>
        <v/>
      </c>
    </row>
    <row r="4" spans="1:14">
      <c r="A4">
        <v>3</v>
      </c>
      <c r="B4" t="s">
        <v>19</v>
      </c>
      <c r="C4" t="s">
        <v>71</v>
      </c>
      <c r="F4" t="str">
        <f>IF(ISERROR(VLOOKUP(B4,'Solver Model &amp; Output'!$C$13:$C$29,1,FALSE)),'List of NFL Teams'!B4,"")</f>
        <v/>
      </c>
    </row>
    <row r="5" spans="1:14">
      <c r="A5">
        <v>4</v>
      </c>
      <c r="B5" t="s">
        <v>20</v>
      </c>
      <c r="C5" t="s">
        <v>74</v>
      </c>
      <c r="F5" t="str">
        <f>IF(ISERROR(VLOOKUP(B5,'Solver Model &amp; Output'!$C$13:$C$29,1,FALSE)),'List of NFL Teams'!B5,"")</f>
        <v>New York Jets</v>
      </c>
    </row>
    <row r="6" spans="1:14">
      <c r="A6">
        <v>5</v>
      </c>
      <c r="B6" t="s">
        <v>21</v>
      </c>
      <c r="C6" t="s">
        <v>55</v>
      </c>
      <c r="F6" t="str">
        <f>IF(ISERROR(VLOOKUP(B6,'Solver Model &amp; Output'!$C$13:$C$29,1,FALSE)),'List of NFL Teams'!B6,"")</f>
        <v>Baltimore Ravens</v>
      </c>
    </row>
    <row r="7" spans="1:14">
      <c r="A7">
        <v>6</v>
      </c>
      <c r="B7" t="s">
        <v>22</v>
      </c>
      <c r="C7" t="s">
        <v>59</v>
      </c>
      <c r="F7" t="str">
        <f>IF(ISERROR(VLOOKUP(B7,'Solver Model &amp; Output'!$C$13:$C$29,1,FALSE)),'List of NFL Teams'!B7,"")</f>
        <v>Cincinnati Bengals</v>
      </c>
    </row>
    <row r="8" spans="1:14">
      <c r="A8">
        <v>7</v>
      </c>
      <c r="B8" t="s">
        <v>23</v>
      </c>
      <c r="C8" t="s">
        <v>60</v>
      </c>
      <c r="F8" t="str">
        <f>IF(ISERROR(VLOOKUP(B8,'Solver Model &amp; Output'!$C$13:$C$29,1,FALSE)),'List of NFL Teams'!B8,"")</f>
        <v>Cleveland Browns</v>
      </c>
    </row>
    <row r="9" spans="1:14">
      <c r="A9">
        <v>8</v>
      </c>
      <c r="B9" t="s">
        <v>24</v>
      </c>
      <c r="C9" t="s">
        <v>77</v>
      </c>
      <c r="F9" t="str">
        <f>IF(ISERROR(VLOOKUP(B9,'Solver Model &amp; Output'!$C$13:$C$29,1,FALSE)),'List of NFL Teams'!B9,"")</f>
        <v>Pittsburgh Steelers</v>
      </c>
    </row>
    <row r="10" spans="1:14">
      <c r="A10">
        <v>9</v>
      </c>
      <c r="B10" t="s">
        <v>25</v>
      </c>
      <c r="C10" t="s">
        <v>65</v>
      </c>
      <c r="F10" t="str">
        <f>IF(ISERROR(VLOOKUP(B10,'Solver Model &amp; Output'!$C$13:$C$29,1,FALSE)),'List of NFL Teams'!B10,"")</f>
        <v>Houston Texans</v>
      </c>
    </row>
    <row r="11" spans="1:14">
      <c r="A11">
        <v>10</v>
      </c>
      <c r="B11" t="s">
        <v>26</v>
      </c>
      <c r="C11" t="s">
        <v>66</v>
      </c>
      <c r="F11" t="str">
        <f>IF(ISERROR(VLOOKUP(B11,'Solver Model &amp; Output'!$C$13:$C$29,1,FALSE)),'List of NFL Teams'!B11,"")</f>
        <v>Indianapolis Colts</v>
      </c>
    </row>
    <row r="12" spans="1:14">
      <c r="A12">
        <v>11</v>
      </c>
      <c r="B12" t="s">
        <v>27</v>
      </c>
      <c r="C12" t="s">
        <v>67</v>
      </c>
      <c r="F12" t="str">
        <f>IF(ISERROR(VLOOKUP(B12,'Solver Model &amp; Output'!$C$13:$C$29,1,FALSE)),'List of NFL Teams'!B12,"")</f>
        <v>Jacksonville Jaguars</v>
      </c>
    </row>
    <row r="13" spans="1:14">
      <c r="A13">
        <v>12</v>
      </c>
      <c r="B13" t="s">
        <v>28</v>
      </c>
      <c r="C13" t="s">
        <v>83</v>
      </c>
      <c r="F13" t="str">
        <f>IF(ISERROR(VLOOKUP(B13,'Solver Model &amp; Output'!$C$13:$C$29,1,FALSE)),'List of NFL Teams'!B13,"")</f>
        <v>Tennessee Titans</v>
      </c>
    </row>
    <row r="14" spans="1:14">
      <c r="A14">
        <v>13</v>
      </c>
      <c r="B14" t="s">
        <v>29</v>
      </c>
      <c r="C14" t="s">
        <v>62</v>
      </c>
      <c r="F14" t="str">
        <f>IF(ISERROR(VLOOKUP(B14,'Solver Model &amp; Output'!$C$13:$C$29,1,FALSE)),'List of NFL Teams'!B14,"")</f>
        <v>Denver Broncos</v>
      </c>
    </row>
    <row r="15" spans="1:14">
      <c r="A15">
        <v>14</v>
      </c>
      <c r="B15" t="s">
        <v>30</v>
      </c>
      <c r="C15" t="s">
        <v>68</v>
      </c>
      <c r="F15" t="str">
        <f>IF(ISERROR(VLOOKUP(B15,'Solver Model &amp; Output'!$C$13:$C$29,1,FALSE)),'List of NFL Teams'!B15,"")</f>
        <v>Kansas City Chiefs</v>
      </c>
    </row>
    <row r="16" spans="1:14">
      <c r="A16">
        <v>15</v>
      </c>
      <c r="B16" t="s">
        <v>31</v>
      </c>
      <c r="C16" t="s">
        <v>75</v>
      </c>
      <c r="F16" t="str">
        <f>IF(ISERROR(VLOOKUP(B16,'Solver Model &amp; Output'!$C$13:$C$29,1,FALSE)),'List of NFL Teams'!B16,"")</f>
        <v>Oakland Raiders</v>
      </c>
    </row>
    <row r="17" spans="1:6">
      <c r="A17">
        <v>16</v>
      </c>
      <c r="B17" t="s">
        <v>32</v>
      </c>
      <c r="C17" t="s">
        <v>78</v>
      </c>
      <c r="F17" t="str">
        <f>IF(ISERROR(VLOOKUP(B17,'Solver Model &amp; Output'!$C$13:$C$29,1,FALSE)),'List of NFL Teams'!B17,"")</f>
        <v>San Diego Chargers</v>
      </c>
    </row>
    <row r="18" spans="1:6">
      <c r="A18">
        <v>17</v>
      </c>
      <c r="B18" t="s">
        <v>33</v>
      </c>
      <c r="C18" t="s">
        <v>61</v>
      </c>
      <c r="F18" t="str">
        <f>IF(ISERROR(VLOOKUP(B18,'Solver Model &amp; Output'!$C$13:$C$29,1,FALSE)),'List of NFL Teams'!B18,"")</f>
        <v>Dallas Cowboys</v>
      </c>
    </row>
    <row r="19" spans="1:6">
      <c r="A19">
        <v>18</v>
      </c>
      <c r="B19" t="s">
        <v>34</v>
      </c>
      <c r="C19" t="s">
        <v>73</v>
      </c>
      <c r="F19" t="str">
        <f>IF(ISERROR(VLOOKUP(B19,'Solver Model &amp; Output'!$C$13:$C$29,1,FALSE)),'List of NFL Teams'!B19,"")</f>
        <v>New York Giants</v>
      </c>
    </row>
    <row r="20" spans="1:6">
      <c r="A20">
        <v>19</v>
      </c>
      <c r="B20" t="s">
        <v>35</v>
      </c>
      <c r="C20" t="s">
        <v>76</v>
      </c>
      <c r="F20" t="str">
        <f>IF(ISERROR(VLOOKUP(B20,'Solver Model &amp; Output'!$C$13:$C$29,1,FALSE)),'List of NFL Teams'!B20,"")</f>
        <v>Philadelphia Eagles</v>
      </c>
    </row>
    <row r="21" spans="1:6">
      <c r="A21">
        <v>20</v>
      </c>
      <c r="B21" t="s">
        <v>36</v>
      </c>
      <c r="C21" t="s">
        <v>84</v>
      </c>
      <c r="F21" t="str">
        <f>IF(ISERROR(VLOOKUP(B21,'Solver Model &amp; Output'!$C$13:$C$29,1,FALSE)),'List of NFL Teams'!B21,"")</f>
        <v>Washington Redskins</v>
      </c>
    </row>
    <row r="22" spans="1:6">
      <c r="A22">
        <v>21</v>
      </c>
      <c r="B22" t="s">
        <v>37</v>
      </c>
      <c r="C22" t="s">
        <v>58</v>
      </c>
      <c r="F22" t="str">
        <f>IF(ISERROR(VLOOKUP(B22,'Solver Model &amp; Output'!$C$13:$C$29,1,FALSE)),'List of NFL Teams'!B22,"")</f>
        <v>Chicago Bears</v>
      </c>
    </row>
    <row r="23" spans="1:6">
      <c r="A23">
        <v>22</v>
      </c>
      <c r="B23" t="s">
        <v>38</v>
      </c>
      <c r="C23" t="s">
        <v>63</v>
      </c>
      <c r="F23" t="str">
        <f>IF(ISERROR(VLOOKUP(B23,'Solver Model &amp; Output'!$C$13:$C$29,1,FALSE)),'List of NFL Teams'!B23,"")</f>
        <v>Detroit Lions</v>
      </c>
    </row>
    <row r="24" spans="1:6">
      <c r="A24">
        <v>23</v>
      </c>
      <c r="B24" t="s">
        <v>39</v>
      </c>
      <c r="C24" t="s">
        <v>64</v>
      </c>
      <c r="F24" t="str">
        <f>IF(ISERROR(VLOOKUP(B24,'Solver Model &amp; Output'!$C$13:$C$29,1,FALSE)),'List of NFL Teams'!B24,"")</f>
        <v>Green Bay Packers</v>
      </c>
    </row>
    <row r="25" spans="1:6">
      <c r="A25">
        <v>24</v>
      </c>
      <c r="B25" t="s">
        <v>40</v>
      </c>
      <c r="C25" t="s">
        <v>70</v>
      </c>
      <c r="F25" t="str">
        <f>IF(ISERROR(VLOOKUP(B25,'Solver Model &amp; Output'!$C$13:$C$29,1,FALSE)),'List of NFL Teams'!B25,"")</f>
        <v>Minnesota Vikings</v>
      </c>
    </row>
    <row r="26" spans="1:6">
      <c r="A26">
        <v>25</v>
      </c>
      <c r="B26" t="s">
        <v>41</v>
      </c>
      <c r="C26" t="s">
        <v>54</v>
      </c>
      <c r="F26" t="str">
        <f>IF(ISERROR(VLOOKUP(B26,'Solver Model &amp; Output'!$C$13:$C$29,1,FALSE)),'List of NFL Teams'!B26,"")</f>
        <v>Atlanta Falcons</v>
      </c>
    </row>
    <row r="27" spans="1:6">
      <c r="A27">
        <v>26</v>
      </c>
      <c r="B27" t="s">
        <v>42</v>
      </c>
      <c r="C27" t="s">
        <v>57</v>
      </c>
      <c r="F27" t="str">
        <f>IF(ISERROR(VLOOKUP(B27,'Solver Model &amp; Output'!$C$13:$C$29,1,FALSE)),'List of NFL Teams'!B27,"")</f>
        <v>Carolina Panthers</v>
      </c>
    </row>
    <row r="28" spans="1:6">
      <c r="A28">
        <v>27</v>
      </c>
      <c r="B28" t="s">
        <v>43</v>
      </c>
      <c r="C28" t="s">
        <v>72</v>
      </c>
      <c r="F28" t="str">
        <f>IF(ISERROR(VLOOKUP(B28,'Solver Model &amp; Output'!$C$13:$C$29,1,FALSE)),'List of NFL Teams'!B28,"")</f>
        <v>New Orleans Saints</v>
      </c>
    </row>
    <row r="29" spans="1:6">
      <c r="A29">
        <v>28</v>
      </c>
      <c r="B29" t="s">
        <v>44</v>
      </c>
      <c r="C29" t="s">
        <v>82</v>
      </c>
      <c r="F29" t="str">
        <f>IF(ISERROR(VLOOKUP(B29,'Solver Model &amp; Output'!$C$13:$C$29,1,FALSE)),'List of NFL Teams'!B29,"")</f>
        <v>Tampa Bay Buccaneers</v>
      </c>
    </row>
    <row r="30" spans="1:6">
      <c r="A30">
        <v>29</v>
      </c>
      <c r="B30" t="s">
        <v>45</v>
      </c>
      <c r="C30" t="s">
        <v>53</v>
      </c>
      <c r="F30" t="str">
        <f>IF(ISERROR(VLOOKUP(B30,'Solver Model &amp; Output'!$C$13:$C$29,1,FALSE)),'List of NFL Teams'!B30,"")</f>
        <v>Arizona Cardinals</v>
      </c>
    </row>
    <row r="31" spans="1:6">
      <c r="A31">
        <v>30</v>
      </c>
      <c r="B31" t="s">
        <v>46</v>
      </c>
      <c r="C31" t="s">
        <v>81</v>
      </c>
      <c r="F31" t="str">
        <f>IF(ISERROR(VLOOKUP(B31,'Solver Model &amp; Output'!$C$13:$C$29,1,FALSE)),'List of NFL Teams'!B31,"")</f>
        <v>St. Louis Rams</v>
      </c>
    </row>
    <row r="32" spans="1:6">
      <c r="A32">
        <v>31</v>
      </c>
      <c r="B32" t="s">
        <v>47</v>
      </c>
      <c r="C32" t="s">
        <v>80</v>
      </c>
      <c r="F32" t="str">
        <f>IF(ISERROR(VLOOKUP(B32,'Solver Model &amp; Output'!$C$13:$C$29,1,FALSE)),'List of NFL Teams'!B32,"")</f>
        <v>San Francisco 49ers</v>
      </c>
    </row>
    <row r="33" spans="1:6">
      <c r="A33">
        <v>32</v>
      </c>
      <c r="B33" t="s">
        <v>48</v>
      </c>
      <c r="C33" t="s">
        <v>79</v>
      </c>
      <c r="F33" t="str">
        <f>IF(ISERROR(VLOOKUP(B33,'Solver Model &amp; Output'!$C$13:$C$29,1,FALSE)),'List of NFL Teams'!B33,"")</f>
        <v>Seattle Seahawks</v>
      </c>
    </row>
  </sheetData>
  <mergeCells count="1">
    <mergeCell ref="M1:N1"/>
  </mergeCells>
  <pageMargins left="0.7" right="0.7" top="0.75" bottom="0.75" header="0.3" footer="0.3"/>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codeName="Sheet3" enableFormatConditionsCalculation="0"/>
  <dimension ref="A1:Q257"/>
  <sheetViews>
    <sheetView tabSelected="1" zoomScale="90" zoomScaleNormal="90" zoomScalePageLayoutView="90" workbookViewId="0">
      <pane xSplit="2" ySplit="1" topLeftCell="C2" activePane="bottomRight" state="frozen"/>
      <selection pane="topRight" activeCell="C1" sqref="C1"/>
      <selection pane="bottomLeft" activeCell="A2" sqref="A2"/>
      <selection pane="bottomRight" activeCell="P10" sqref="P10"/>
    </sheetView>
  </sheetViews>
  <sheetFormatPr defaultColWidth="8.77734375" defaultRowHeight="14.4"/>
  <cols>
    <col min="2" max="2" width="8.77734375" style="1"/>
    <col min="3" max="3" width="17.44140625" style="1" bestFit="1" customWidth="1"/>
    <col min="4" max="4" width="11.6640625" bestFit="1" customWidth="1"/>
    <col min="8" max="8" width="16" style="8" bestFit="1" customWidth="1"/>
    <col min="9" max="9" width="15.44140625" style="8" bestFit="1" customWidth="1"/>
    <col min="10" max="11" width="15.6640625" style="8" bestFit="1" customWidth="1"/>
    <col min="12" max="12" width="13.33203125" style="8" bestFit="1" customWidth="1"/>
    <col min="13" max="13" width="13.6640625" style="8" bestFit="1" customWidth="1"/>
    <col min="14" max="14" width="13.6640625" customWidth="1"/>
    <col min="19" max="20" width="12.33203125" bestFit="1" customWidth="1"/>
    <col min="21" max="21" width="12" bestFit="1" customWidth="1"/>
    <col min="22" max="22" width="10.77734375" bestFit="1" customWidth="1"/>
    <col min="23" max="23" width="9" bestFit="1" customWidth="1"/>
  </cols>
  <sheetData>
    <row r="1" spans="1:17">
      <c r="A1" t="s">
        <v>85</v>
      </c>
      <c r="B1" s="1" t="s">
        <v>86</v>
      </c>
      <c r="C1" s="1" t="s">
        <v>90</v>
      </c>
      <c r="D1" t="s">
        <v>89</v>
      </c>
      <c r="E1" t="s">
        <v>87</v>
      </c>
      <c r="F1" t="s">
        <v>88</v>
      </c>
      <c r="H1" s="8" t="s">
        <v>91</v>
      </c>
      <c r="I1" s="8" t="s">
        <v>92</v>
      </c>
      <c r="J1" s="8" t="s">
        <v>93</v>
      </c>
      <c r="K1" s="8" t="s">
        <v>94</v>
      </c>
      <c r="L1" s="8" t="s">
        <v>95</v>
      </c>
      <c r="M1" s="8" t="s">
        <v>96</v>
      </c>
      <c r="N1" t="s">
        <v>129</v>
      </c>
      <c r="O1" t="s">
        <v>97</v>
      </c>
      <c r="P1" t="s">
        <v>101</v>
      </c>
      <c r="Q1" t="s">
        <v>98</v>
      </c>
    </row>
    <row r="2" spans="1:17">
      <c r="A2">
        <v>2011</v>
      </c>
      <c r="B2">
        <v>1</v>
      </c>
      <c r="C2" s="1" t="str">
        <f t="shared" ref="C2:C65" si="0">IF(N2&gt;0,E2,F2)</f>
        <v>GB</v>
      </c>
      <c r="D2" s="2">
        <f>ABS(L2-M2)+IF(C2=F2,0.2,0)</f>
        <v>0.23699999999999999</v>
      </c>
      <c r="E2" t="s">
        <v>72</v>
      </c>
      <c r="F2" t="s">
        <v>64</v>
      </c>
      <c r="H2" s="8">
        <f>VLOOKUP(E2,'DVOA DATA'!$A$1:$AK$35,IF('Solver Model &amp; Output'!$M$3&lt;3,('Solver Model &amp; Output'!$M$3)*2,('Solver Model &amp; Output'!$M$3+1)*2), FALSE)</f>
        <v>0.19600000000000001</v>
      </c>
      <c r="I2" s="8">
        <f>VLOOKUP(F2,'DVOA DATA'!$A$1:$AK$35,IF('Solver Model &amp; Output'!$M$3&lt;3,('Solver Model &amp; Output'!$M$3)*2,('Solver Model &amp; Output'!$M$3+1)*2), FALSE)</f>
        <v>9.9000000000000005E-2</v>
      </c>
      <c r="J2" s="8">
        <f>VLOOKUP(E2,'DVOA DATA'!$A$1:$AK$35,IF('Solver Model &amp; Output'!$M$3&lt;3,(('Solver Model &amp; Output'!$M$3)*2)+1,(('Solver Model &amp; Output'!$M$3+1)*2)+1), FALSE)</f>
        <v>0.112</v>
      </c>
      <c r="K2" s="8">
        <f>VLOOKUP(F2,'DVOA DATA'!$A$1:$AK$35,IF('Solver Model &amp; Output'!$M$3&lt;3,(('Solver Model &amp; Output'!$M$3)*2)+1,(('Solver Model &amp; Output'!$M$3+1)*2)+1), FALSE)</f>
        <v>-2.1999999999999999E-2</v>
      </c>
      <c r="L2" s="8">
        <f>H2-J2</f>
        <v>8.4000000000000005E-2</v>
      </c>
      <c r="M2" s="8">
        <f>I2-K2</f>
        <v>0.121</v>
      </c>
      <c r="N2">
        <f>L2-M2</f>
        <v>-3.6999999999999991E-2</v>
      </c>
      <c r="O2" t="str">
        <f t="shared" ref="O2:O65" si="1">IF(N2&gt;0,E2,F2)</f>
        <v>GB</v>
      </c>
      <c r="P2" t="s">
        <v>64</v>
      </c>
      <c r="Q2">
        <f>IF(O2=P2,1,0)</f>
        <v>1</v>
      </c>
    </row>
    <row r="3" spans="1:17">
      <c r="A3">
        <v>2011</v>
      </c>
      <c r="B3">
        <v>1</v>
      </c>
      <c r="C3" s="7" t="str">
        <f t="shared" si="0"/>
        <v>ATL</v>
      </c>
      <c r="D3" s="2">
        <f t="shared" ref="D3:D4" si="2">ABS(L3-M3)+IF(C3=F3,0.2,0)</f>
        <v>6.8000000000000005E-2</v>
      </c>
      <c r="E3" t="s">
        <v>54</v>
      </c>
      <c r="F3" t="s">
        <v>58</v>
      </c>
      <c r="H3" s="8">
        <f>VLOOKUP(E3,'DVOA DATA'!$A$1:$AK$35,IF('Solver Model &amp; Output'!$M$3&lt;3,('Solver Model &amp; Output'!$M$3)*2,('Solver Model &amp; Output'!$M$3+1)*2), FALSE)</f>
        <v>0.13</v>
      </c>
      <c r="I3" s="8">
        <f>VLOOKUP(F3,'DVOA DATA'!$A$1:$AK$35,IF('Solver Model &amp; Output'!$M$3&lt;3,('Solver Model &amp; Output'!$M$3)*2,('Solver Model &amp; Output'!$M$3+1)*2), FALSE)</f>
        <v>-0.06</v>
      </c>
      <c r="J3" s="8">
        <f>VLOOKUP(E3,'DVOA DATA'!$A$1:$AK$35,IF('Solver Model &amp; Output'!$M$3&lt;3,(('Solver Model &amp; Output'!$M$3)*2)+1,(('Solver Model &amp; Output'!$M$3+1)*2)+1), FALSE)</f>
        <v>3.5999999999999997E-2</v>
      </c>
      <c r="K3" s="8">
        <f>VLOOKUP(F3,'DVOA DATA'!$A$1:$AK$35,IF('Solver Model &amp; Output'!$M$3&lt;3,(('Solver Model &amp; Output'!$M$3)*2)+1,(('Solver Model &amp; Output'!$M$3+1)*2)+1), FALSE)</f>
        <v>-8.5999999999999993E-2</v>
      </c>
      <c r="L3" s="42">
        <f t="shared" ref="L3:L66" si="3">H3-J3</f>
        <v>9.4E-2</v>
      </c>
      <c r="M3" s="42">
        <f t="shared" ref="M3:M66" si="4">I3-K3</f>
        <v>2.5999999999999995E-2</v>
      </c>
      <c r="N3">
        <f t="shared" ref="N3:N66" si="5">L3-M3</f>
        <v>6.8000000000000005E-2</v>
      </c>
      <c r="O3" t="str">
        <f t="shared" si="1"/>
        <v>ATL</v>
      </c>
      <c r="P3" t="s">
        <v>58</v>
      </c>
      <c r="Q3">
        <f t="shared" ref="Q3:Q66" si="6">IF(O3=P3,1,0)</f>
        <v>0</v>
      </c>
    </row>
    <row r="4" spans="1:17">
      <c r="A4">
        <v>2011</v>
      </c>
      <c r="B4">
        <v>1</v>
      </c>
      <c r="C4" s="7" t="str">
        <f t="shared" si="0"/>
        <v>HOU</v>
      </c>
      <c r="D4" s="2">
        <f t="shared" si="2"/>
        <v>0.25</v>
      </c>
      <c r="E4" t="s">
        <v>66</v>
      </c>
      <c r="F4" t="s">
        <v>65</v>
      </c>
      <c r="H4" s="8">
        <f>VLOOKUP(E4,'DVOA DATA'!$A$1:$AK$35,IF('Solver Model &amp; Output'!$M$3&lt;3,('Solver Model &amp; Output'!$M$3)*2,('Solver Model &amp; Output'!$M$3+1)*2), FALSE)</f>
        <v>0.104</v>
      </c>
      <c r="I4" s="8">
        <f>VLOOKUP(F4,'DVOA DATA'!$A$1:$AK$35,IF('Solver Model &amp; Output'!$M$3&lt;3,('Solver Model &amp; Output'!$M$3)*2,('Solver Model &amp; Output'!$M$3+1)*2), FALSE)</f>
        <v>0.2</v>
      </c>
      <c r="J4" s="8">
        <f>VLOOKUP(E4,'DVOA DATA'!$A$1:$AK$35,IF('Solver Model &amp; Output'!$M$3&lt;3,(('Solver Model &amp; Output'!$M$3)*2)+1,(('Solver Model &amp; Output'!$M$3+1)*2)+1), FALSE)</f>
        <v>9.1999999999999998E-2</v>
      </c>
      <c r="K4" s="8">
        <f>VLOOKUP(F4,'DVOA DATA'!$A$1:$AK$35,IF('Solver Model &amp; Output'!$M$3&lt;3,(('Solver Model &amp; Output'!$M$3)*2)+1,(('Solver Model &amp; Output'!$M$3+1)*2)+1), FALSE)</f>
        <v>0.13800000000000001</v>
      </c>
      <c r="L4" s="42">
        <f t="shared" si="3"/>
        <v>1.1999999999999997E-2</v>
      </c>
      <c r="M4" s="42">
        <f t="shared" si="4"/>
        <v>6.2E-2</v>
      </c>
      <c r="N4">
        <f t="shared" si="5"/>
        <v>-0.05</v>
      </c>
      <c r="O4" t="str">
        <f t="shared" si="1"/>
        <v>HOU</v>
      </c>
      <c r="P4" t="s">
        <v>65</v>
      </c>
      <c r="Q4">
        <f t="shared" si="6"/>
        <v>1</v>
      </c>
    </row>
    <row r="5" spans="1:17">
      <c r="A5">
        <v>2011</v>
      </c>
      <c r="B5">
        <v>1</v>
      </c>
      <c r="C5" s="7" t="str">
        <f t="shared" si="0"/>
        <v>BUF</v>
      </c>
      <c r="D5" s="2">
        <f>ABS(L5-M5)+IF(C5=F5,0.2,0)</f>
        <v>7.3999999999999996E-2</v>
      </c>
      <c r="E5" t="s">
        <v>56</v>
      </c>
      <c r="F5" t="s">
        <v>68</v>
      </c>
      <c r="H5" s="8">
        <f>VLOOKUP(E5,'DVOA DATA'!$A$1:$AK$35,IF('Solver Model &amp; Output'!$M$3&lt;3,('Solver Model &amp; Output'!$M$3)*2,('Solver Model &amp; Output'!$M$3+1)*2), FALSE)</f>
        <v>-2.7E-2</v>
      </c>
      <c r="I5" s="8">
        <f>VLOOKUP(F5,'DVOA DATA'!$A$1:$AK$35,IF('Solver Model &amp; Output'!$M$3&lt;3,('Solver Model &amp; Output'!$M$3)*2,('Solver Model &amp; Output'!$M$3+1)*2), FALSE)</f>
        <v>-4.7E-2</v>
      </c>
      <c r="J5" s="8">
        <f>VLOOKUP(E5,'DVOA DATA'!$A$1:$AK$35,IF('Solver Model &amp; Output'!$M$3&lt;3,(('Solver Model &amp; Output'!$M$3)*2)+1,(('Solver Model &amp; Output'!$M$3+1)*2)+1), FALSE)</f>
        <v>1.9E-2</v>
      </c>
      <c r="K5" s="8">
        <f>VLOOKUP(F5,'DVOA DATA'!$A$1:$AK$35,IF('Solver Model &amp; Output'!$M$3&lt;3,(('Solver Model &amp; Output'!$M$3)*2)+1,(('Solver Model &amp; Output'!$M$3+1)*2)+1), FALSE)</f>
        <v>7.2999999999999995E-2</v>
      </c>
      <c r="L5" s="42">
        <f t="shared" si="3"/>
        <v>-4.5999999999999999E-2</v>
      </c>
      <c r="M5" s="42">
        <f t="shared" si="4"/>
        <v>-0.12</v>
      </c>
      <c r="N5">
        <f t="shared" si="5"/>
        <v>7.3999999999999996E-2</v>
      </c>
      <c r="O5" t="str">
        <f t="shared" si="1"/>
        <v>BUF</v>
      </c>
      <c r="P5" t="s">
        <v>56</v>
      </c>
      <c r="Q5">
        <f t="shared" si="6"/>
        <v>1</v>
      </c>
    </row>
    <row r="6" spans="1:17">
      <c r="A6">
        <v>2011</v>
      </c>
      <c r="B6">
        <v>1</v>
      </c>
      <c r="C6" s="7" t="str">
        <f t="shared" si="0"/>
        <v>JAC</v>
      </c>
      <c r="D6" s="2">
        <f>ABS(L6-M6)+IF(C6=F6,0.2,0)</f>
        <v>0.40800000000000003</v>
      </c>
      <c r="E6" t="s">
        <v>83</v>
      </c>
      <c r="F6" t="s">
        <v>67</v>
      </c>
      <c r="H6" s="8">
        <f>VLOOKUP(E6,'DVOA DATA'!$A$1:$AK$35,IF('Solver Model &amp; Output'!$M$3&lt;3,('Solver Model &amp; Output'!$M$3)*2,('Solver Model &amp; Output'!$M$3+1)*2), FALSE)</f>
        <v>-9.9000000000000005E-2</v>
      </c>
      <c r="I6" s="8">
        <f>VLOOKUP(F6,'DVOA DATA'!$A$1:$AK$35,IF('Solver Model &amp; Output'!$M$3&lt;3,('Solver Model &amp; Output'!$M$3)*2,('Solver Model &amp; Output'!$M$3+1)*2), FALSE)</f>
        <v>4.5999999999999999E-2</v>
      </c>
      <c r="J6" s="8">
        <f>VLOOKUP(E6,'DVOA DATA'!$A$1:$AK$35,IF('Solver Model &amp; Output'!$M$3&lt;3,(('Solver Model &amp; Output'!$M$3)*2)+1,(('Solver Model &amp; Output'!$M$3+1)*2)+1), FALSE)</f>
        <v>0.104</v>
      </c>
      <c r="K6" s="8">
        <f>VLOOKUP(F6,'DVOA DATA'!$A$1:$AK$35,IF('Solver Model &amp; Output'!$M$3&lt;3,(('Solver Model &amp; Output'!$M$3)*2)+1,(('Solver Model &amp; Output'!$M$3+1)*2)+1), FALSE)</f>
        <v>4.1000000000000002E-2</v>
      </c>
      <c r="L6" s="42">
        <f t="shared" si="3"/>
        <v>-0.20300000000000001</v>
      </c>
      <c r="M6" s="42">
        <f t="shared" si="4"/>
        <v>4.9999999999999975E-3</v>
      </c>
      <c r="N6">
        <f t="shared" si="5"/>
        <v>-0.20800000000000002</v>
      </c>
      <c r="O6" t="str">
        <f t="shared" si="1"/>
        <v>JAC</v>
      </c>
      <c r="P6" t="s">
        <v>67</v>
      </c>
      <c r="Q6">
        <f t="shared" si="6"/>
        <v>1</v>
      </c>
    </row>
    <row r="7" spans="1:17">
      <c r="A7">
        <v>2011</v>
      </c>
      <c r="B7">
        <v>1</v>
      </c>
      <c r="C7" s="7" t="str">
        <f t="shared" si="0"/>
        <v>CLE</v>
      </c>
      <c r="D7" s="2">
        <f t="shared" ref="D7:D70" si="7">ABS(L7-M7)+IF(C7=F7,0.2,0)</f>
        <v>0.23400000000000001</v>
      </c>
      <c r="E7" t="s">
        <v>59</v>
      </c>
      <c r="F7" t="s">
        <v>60</v>
      </c>
      <c r="H7" s="8">
        <f>VLOOKUP(E7,'DVOA DATA'!$A$1:$AK$35,IF('Solver Model &amp; Output'!$M$3&lt;3,('Solver Model &amp; Output'!$M$3)*2,('Solver Model &amp; Output'!$M$3+1)*2), FALSE)</f>
        <v>-6.3E-2</v>
      </c>
      <c r="I7" s="8">
        <f>VLOOKUP(F7,'DVOA DATA'!$A$1:$AK$35,IF('Solver Model &amp; Output'!$M$3&lt;3,('Solver Model &amp; Output'!$M$3)*2,('Solver Model &amp; Output'!$M$3+1)*2), FALSE)</f>
        <v>-0.03</v>
      </c>
      <c r="J7" s="8">
        <f>VLOOKUP(E7,'DVOA DATA'!$A$1:$AK$35,IF('Solver Model &amp; Output'!$M$3&lt;3,(('Solver Model &amp; Output'!$M$3)*2)+1,(('Solver Model &amp; Output'!$M$3+1)*2)+1), FALSE)</f>
        <v>4.9000000000000002E-2</v>
      </c>
      <c r="K7" s="8">
        <f>VLOOKUP(F7,'DVOA DATA'!$A$1:$AK$35,IF('Solver Model &amp; Output'!$M$3&lt;3,(('Solver Model &amp; Output'!$M$3)*2)+1,(('Solver Model &amp; Output'!$M$3+1)*2)+1), FALSE)</f>
        <v>4.8000000000000001E-2</v>
      </c>
      <c r="L7" s="42">
        <f t="shared" si="3"/>
        <v>-0.112</v>
      </c>
      <c r="M7" s="42">
        <f t="shared" si="4"/>
        <v>-7.8E-2</v>
      </c>
      <c r="N7">
        <f t="shared" si="5"/>
        <v>-3.4000000000000002E-2</v>
      </c>
      <c r="O7" t="str">
        <f t="shared" si="1"/>
        <v>CLE</v>
      </c>
      <c r="P7" t="s">
        <v>59</v>
      </c>
      <c r="Q7">
        <f t="shared" si="6"/>
        <v>0</v>
      </c>
    </row>
    <row r="8" spans="1:17">
      <c r="A8">
        <v>2011</v>
      </c>
      <c r="B8">
        <v>1</v>
      </c>
      <c r="C8" s="7" t="str">
        <f t="shared" si="0"/>
        <v>PHI</v>
      </c>
      <c r="D8" s="2">
        <f t="shared" si="7"/>
        <v>0.31900000000000001</v>
      </c>
      <c r="E8" t="s">
        <v>76</v>
      </c>
      <c r="F8" t="s">
        <v>81</v>
      </c>
      <c r="H8" s="8">
        <f>VLOOKUP(E8,'DVOA DATA'!$A$1:$AK$35,IF('Solver Model &amp; Output'!$M$3&lt;3,('Solver Model &amp; Output'!$M$3)*2,('Solver Model &amp; Output'!$M$3+1)*2), FALSE)</f>
        <v>0.123</v>
      </c>
      <c r="I8" s="8">
        <f>VLOOKUP(F8,'DVOA DATA'!$A$1:$AK$35,IF('Solver Model &amp; Output'!$M$3&lt;3,('Solver Model &amp; Output'!$M$3)*2,('Solver Model &amp; Output'!$M$3+1)*2), FALSE)</f>
        <v>-0.14799999999999999</v>
      </c>
      <c r="J8" s="8">
        <f>VLOOKUP(E8,'DVOA DATA'!$A$1:$AK$35,IF('Solver Model &amp; Output'!$M$3&lt;3,(('Solver Model &amp; Output'!$M$3)*2)+1,(('Solver Model &amp; Output'!$M$3+1)*2)+1), FALSE)</f>
        <v>-8.5000000000000006E-2</v>
      </c>
      <c r="K8" s="8">
        <f>VLOOKUP(F8,'DVOA DATA'!$A$1:$AK$35,IF('Solver Model &amp; Output'!$M$3&lt;3,(('Solver Model &amp; Output'!$M$3)*2)+1,(('Solver Model &amp; Output'!$M$3+1)*2)+1), FALSE)</f>
        <v>-3.6999999999999998E-2</v>
      </c>
      <c r="L8" s="42">
        <f t="shared" si="3"/>
        <v>0.20800000000000002</v>
      </c>
      <c r="M8" s="42">
        <f t="shared" si="4"/>
        <v>-0.11099999999999999</v>
      </c>
      <c r="N8">
        <f t="shared" si="5"/>
        <v>0.31900000000000001</v>
      </c>
      <c r="O8" t="str">
        <f t="shared" si="1"/>
        <v>PHI</v>
      </c>
      <c r="P8" t="s">
        <v>76</v>
      </c>
      <c r="Q8">
        <f t="shared" si="6"/>
        <v>1</v>
      </c>
    </row>
    <row r="9" spans="1:17">
      <c r="A9">
        <v>2011</v>
      </c>
      <c r="B9">
        <v>1</v>
      </c>
      <c r="C9" s="7" t="str">
        <f t="shared" si="0"/>
        <v>PIT</v>
      </c>
      <c r="D9" s="2">
        <f t="shared" si="7"/>
        <v>0.19100000000000003</v>
      </c>
      <c r="E9" t="s">
        <v>77</v>
      </c>
      <c r="F9" t="s">
        <v>55</v>
      </c>
      <c r="H9" s="8">
        <f>VLOOKUP(E9,'DVOA DATA'!$A$1:$AK$35,IF('Solver Model &amp; Output'!$M$3&lt;3,('Solver Model &amp; Output'!$M$3)*2,('Solver Model &amp; Output'!$M$3+1)*2), FALSE)</f>
        <v>0.16900000000000001</v>
      </c>
      <c r="I9" s="8">
        <f>VLOOKUP(F9,'DVOA DATA'!$A$1:$AK$35,IF('Solver Model &amp; Output'!$M$3&lt;3,('Solver Model &amp; Output'!$M$3)*2,('Solver Model &amp; Output'!$M$3+1)*2), FALSE)</f>
        <v>0.114</v>
      </c>
      <c r="J9" s="8">
        <f>VLOOKUP(E9,'DVOA DATA'!$A$1:$AK$35,IF('Solver Model &amp; Output'!$M$3&lt;3,(('Solver Model &amp; Output'!$M$3)*2)+1,(('Solver Model &amp; Output'!$M$3+1)*2)+1), FALSE)</f>
        <v>-0.126</v>
      </c>
      <c r="K9" s="8">
        <f>VLOOKUP(F9,'DVOA DATA'!$A$1:$AK$35,IF('Solver Model &amp; Output'!$M$3&lt;3,(('Solver Model &amp; Output'!$M$3)*2)+1,(('Solver Model &amp; Output'!$M$3+1)*2)+1), FALSE)</f>
        <v>0.01</v>
      </c>
      <c r="L9" s="42">
        <f t="shared" si="3"/>
        <v>0.29500000000000004</v>
      </c>
      <c r="M9" s="42">
        <f t="shared" si="4"/>
        <v>0.10400000000000001</v>
      </c>
      <c r="N9">
        <f t="shared" si="5"/>
        <v>0.19100000000000003</v>
      </c>
      <c r="O9" t="str">
        <f t="shared" si="1"/>
        <v>PIT</v>
      </c>
      <c r="P9" t="s">
        <v>55</v>
      </c>
      <c r="Q9">
        <f t="shared" si="6"/>
        <v>0</v>
      </c>
    </row>
    <row r="10" spans="1:17">
      <c r="A10">
        <v>2011</v>
      </c>
      <c r="B10">
        <v>1</v>
      </c>
      <c r="C10" s="7" t="str">
        <f t="shared" si="0"/>
        <v>DET</v>
      </c>
      <c r="D10" s="2">
        <f t="shared" si="7"/>
        <v>6.4000000000000001E-2</v>
      </c>
      <c r="E10" t="s">
        <v>63</v>
      </c>
      <c r="F10" t="s">
        <v>82</v>
      </c>
      <c r="H10" s="8">
        <f>VLOOKUP(E10,'DVOA DATA'!$A$1:$AK$35,IF('Solver Model &amp; Output'!$M$3&lt;3,('Solver Model &amp; Output'!$M$3)*2,('Solver Model &amp; Output'!$M$3+1)*2), FALSE)</f>
        <v>5.2999999999999999E-2</v>
      </c>
      <c r="I10" s="8">
        <f>VLOOKUP(F10,'DVOA DATA'!$A$1:$AK$35,IF('Solver Model &amp; Output'!$M$3&lt;3,('Solver Model &amp; Output'!$M$3)*2,('Solver Model &amp; Output'!$M$3+1)*2), FALSE)</f>
        <v>2.8000000000000001E-2</v>
      </c>
      <c r="J10" s="8">
        <f>VLOOKUP(E10,'DVOA DATA'!$A$1:$AK$35,IF('Solver Model &amp; Output'!$M$3&lt;3,(('Solver Model &amp; Output'!$M$3)*2)+1,(('Solver Model &amp; Output'!$M$3+1)*2)+1), FALSE)</f>
        <v>6.5000000000000002E-2</v>
      </c>
      <c r="K10" s="8">
        <f>VLOOKUP(F10,'DVOA DATA'!$A$1:$AK$35,IF('Solver Model &amp; Output'!$M$3&lt;3,(('Solver Model &amp; Output'!$M$3)*2)+1,(('Solver Model &amp; Output'!$M$3+1)*2)+1), FALSE)</f>
        <v>0.104</v>
      </c>
      <c r="L10" s="42">
        <f t="shared" si="3"/>
        <v>-1.2000000000000004E-2</v>
      </c>
      <c r="M10" s="42">
        <f t="shared" si="4"/>
        <v>-7.5999999999999998E-2</v>
      </c>
      <c r="N10">
        <f t="shared" si="5"/>
        <v>6.4000000000000001E-2</v>
      </c>
      <c r="O10" t="str">
        <f t="shared" si="1"/>
        <v>DET</v>
      </c>
      <c r="P10" t="s">
        <v>63</v>
      </c>
      <c r="Q10">
        <f t="shared" si="6"/>
        <v>1</v>
      </c>
    </row>
    <row r="11" spans="1:17">
      <c r="A11">
        <v>2011</v>
      </c>
      <c r="B11">
        <v>1</v>
      </c>
      <c r="C11" s="7" t="str">
        <f t="shared" si="0"/>
        <v>SD</v>
      </c>
      <c r="D11" s="2">
        <f t="shared" si="7"/>
        <v>0.42100000000000004</v>
      </c>
      <c r="E11" t="s">
        <v>70</v>
      </c>
      <c r="F11" t="s">
        <v>78</v>
      </c>
      <c r="H11" s="8">
        <f>VLOOKUP(E11,'DVOA DATA'!$A$1:$AK$35,IF('Solver Model &amp; Output'!$M$3&lt;3,('Solver Model &amp; Output'!$M$3)*2,('Solver Model &amp; Output'!$M$3+1)*2), FALSE)</f>
        <v>5.7000000000000002E-2</v>
      </c>
      <c r="I11" s="8">
        <f>VLOOKUP(F11,'DVOA DATA'!$A$1:$AK$35,IF('Solver Model &amp; Output'!$M$3&lt;3,('Solver Model &amp; Output'!$M$3)*2,('Solver Model &amp; Output'!$M$3+1)*2), FALSE)</f>
        <v>0.32600000000000001</v>
      </c>
      <c r="J11" s="8">
        <f>VLOOKUP(E11,'DVOA DATA'!$A$1:$AK$35,IF('Solver Model &amp; Output'!$M$3&lt;3,(('Solver Model &amp; Output'!$M$3)*2)+1,(('Solver Model &amp; Output'!$M$3+1)*2)+1), FALSE)</f>
        <v>7.0000000000000007E-2</v>
      </c>
      <c r="K11" s="8">
        <f>VLOOKUP(F11,'DVOA DATA'!$A$1:$AK$35,IF('Solver Model &amp; Output'!$M$3&lt;3,(('Solver Model &amp; Output'!$M$3)*2)+1,(('Solver Model &amp; Output'!$M$3+1)*2)+1), FALSE)</f>
        <v>0.11799999999999999</v>
      </c>
      <c r="L11" s="42">
        <f t="shared" si="3"/>
        <v>-1.3000000000000005E-2</v>
      </c>
      <c r="M11" s="42">
        <f t="shared" si="4"/>
        <v>0.20800000000000002</v>
      </c>
      <c r="N11">
        <f t="shared" si="5"/>
        <v>-0.22100000000000003</v>
      </c>
      <c r="O11" t="str">
        <f t="shared" si="1"/>
        <v>SD</v>
      </c>
      <c r="P11" t="s">
        <v>78</v>
      </c>
      <c r="Q11">
        <f t="shared" si="6"/>
        <v>1</v>
      </c>
    </row>
    <row r="12" spans="1:17">
      <c r="A12">
        <v>2011</v>
      </c>
      <c r="B12">
        <v>1</v>
      </c>
      <c r="C12" s="7" t="str">
        <f t="shared" si="0"/>
        <v>NYG</v>
      </c>
      <c r="D12" s="2">
        <f t="shared" si="7"/>
        <v>0.129</v>
      </c>
      <c r="E12" t="s">
        <v>73</v>
      </c>
      <c r="F12" t="s">
        <v>84</v>
      </c>
      <c r="H12" s="8">
        <f>VLOOKUP(E12,'DVOA DATA'!$A$1:$AK$35,IF('Solver Model &amp; Output'!$M$3&lt;3,('Solver Model &amp; Output'!$M$3)*2,('Solver Model &amp; Output'!$M$3+1)*2), FALSE)</f>
        <v>5.8999999999999997E-2</v>
      </c>
      <c r="I12" s="8">
        <f>VLOOKUP(F12,'DVOA DATA'!$A$1:$AK$35,IF('Solver Model &amp; Output'!$M$3&lt;3,('Solver Model &amp; Output'!$M$3)*2,('Solver Model &amp; Output'!$M$3+1)*2), FALSE)</f>
        <v>-5.6000000000000001E-2</v>
      </c>
      <c r="J12" s="8">
        <f>VLOOKUP(E12,'DVOA DATA'!$A$1:$AK$35,IF('Solver Model &amp; Output'!$M$3&lt;3,(('Solver Model &amp; Output'!$M$3)*2)+1,(('Solver Model &amp; Output'!$M$3+1)*2)+1), FALSE)</f>
        <v>1E-3</v>
      </c>
      <c r="K12" s="8">
        <f>VLOOKUP(F12,'DVOA DATA'!$A$1:$AK$35,IF('Solver Model &amp; Output'!$M$3&lt;3,(('Solver Model &amp; Output'!$M$3)*2)+1,(('Solver Model &amp; Output'!$M$3+1)*2)+1), FALSE)</f>
        <v>1.4999999999999999E-2</v>
      </c>
      <c r="L12" s="42">
        <f t="shared" si="3"/>
        <v>5.7999999999999996E-2</v>
      </c>
      <c r="M12" s="42">
        <f t="shared" si="4"/>
        <v>-7.1000000000000008E-2</v>
      </c>
      <c r="N12">
        <f t="shared" si="5"/>
        <v>0.129</v>
      </c>
      <c r="O12" t="str">
        <f t="shared" si="1"/>
        <v>NYG</v>
      </c>
      <c r="P12" t="s">
        <v>84</v>
      </c>
      <c r="Q12">
        <f t="shared" si="6"/>
        <v>0</v>
      </c>
    </row>
    <row r="13" spans="1:17">
      <c r="A13">
        <v>2011</v>
      </c>
      <c r="B13">
        <v>1</v>
      </c>
      <c r="C13" s="7" t="str">
        <f t="shared" si="0"/>
        <v>ARI</v>
      </c>
      <c r="D13" s="2">
        <f t="shared" si="7"/>
        <v>0.22999999999999998</v>
      </c>
      <c r="E13" t="s">
        <v>57</v>
      </c>
      <c r="F13" t="s">
        <v>53</v>
      </c>
      <c r="H13" s="8">
        <f>VLOOKUP(E13,'DVOA DATA'!$A$1:$AK$35,IF('Solver Model &amp; Output'!$M$3&lt;3,('Solver Model &amp; Output'!$M$3)*2,('Solver Model &amp; Output'!$M$3+1)*2), FALSE)</f>
        <v>-0.14099999999999999</v>
      </c>
      <c r="I13" s="8">
        <f>VLOOKUP(F13,'DVOA DATA'!$A$1:$AK$35,IF('Solver Model &amp; Output'!$M$3&lt;3,('Solver Model &amp; Output'!$M$3)*2,('Solver Model &amp; Output'!$M$3+1)*2), FALSE)</f>
        <v>-4.8000000000000001E-2</v>
      </c>
      <c r="J13" s="8">
        <f>VLOOKUP(E13,'DVOA DATA'!$A$1:$AK$35,IF('Solver Model &amp; Output'!$M$3&lt;3,(('Solver Model &amp; Output'!$M$3)*2)+1,(('Solver Model &amp; Output'!$M$3+1)*2)+1), FALSE)</f>
        <v>2.9000000000000001E-2</v>
      </c>
      <c r="K13" s="8">
        <f>VLOOKUP(F13,'DVOA DATA'!$A$1:$AK$35,IF('Solver Model &amp; Output'!$M$3&lt;3,(('Solver Model &amp; Output'!$M$3)*2)+1,(('Solver Model &amp; Output'!$M$3+1)*2)+1), FALSE)</f>
        <v>9.1999999999999998E-2</v>
      </c>
      <c r="L13" s="42">
        <f t="shared" si="3"/>
        <v>-0.16999999999999998</v>
      </c>
      <c r="M13" s="42">
        <f t="shared" si="4"/>
        <v>-0.14000000000000001</v>
      </c>
      <c r="N13">
        <f t="shared" si="5"/>
        <v>-2.9999999999999971E-2</v>
      </c>
      <c r="O13" t="str">
        <f t="shared" si="1"/>
        <v>ARI</v>
      </c>
      <c r="P13" t="s">
        <v>53</v>
      </c>
      <c r="Q13">
        <f t="shared" si="6"/>
        <v>1</v>
      </c>
    </row>
    <row r="14" spans="1:17">
      <c r="A14">
        <v>2011</v>
      </c>
      <c r="B14">
        <v>1</v>
      </c>
      <c r="C14" s="7" t="str">
        <f t="shared" si="0"/>
        <v>SF</v>
      </c>
      <c r="D14" s="2">
        <f t="shared" si="7"/>
        <v>0.34</v>
      </c>
      <c r="E14" t="s">
        <v>79</v>
      </c>
      <c r="F14" t="s">
        <v>80</v>
      </c>
      <c r="H14" s="8">
        <f>VLOOKUP(E14,'DVOA DATA'!$A$1:$AK$35,IF('Solver Model &amp; Output'!$M$3&lt;3,('Solver Model &amp; Output'!$M$3)*2,('Solver Model &amp; Output'!$M$3+1)*2), FALSE)</f>
        <v>-0.23699999999999999</v>
      </c>
      <c r="I14" s="8">
        <f>VLOOKUP(F14,'DVOA DATA'!$A$1:$AK$35,IF('Solver Model &amp; Output'!$M$3&lt;3,('Solver Model &amp; Output'!$M$3)*2,('Solver Model &amp; Output'!$M$3+1)*2), FALSE)</f>
        <v>-5.8999999999999997E-2</v>
      </c>
      <c r="J14" s="8">
        <f>VLOOKUP(E14,'DVOA DATA'!$A$1:$AK$35,IF('Solver Model &amp; Output'!$M$3&lt;3,(('Solver Model &amp; Output'!$M$3)*2)+1,(('Solver Model &amp; Output'!$M$3+1)*2)+1), FALSE)</f>
        <v>-2.4E-2</v>
      </c>
      <c r="K14" s="8">
        <f>VLOOKUP(F14,'DVOA DATA'!$A$1:$AK$35,IF('Solver Model &amp; Output'!$M$3&lt;3,(('Solver Model &amp; Output'!$M$3)*2)+1,(('Solver Model &amp; Output'!$M$3+1)*2)+1), FALSE)</f>
        <v>1.4E-2</v>
      </c>
      <c r="L14" s="42">
        <f t="shared" si="3"/>
        <v>-0.21299999999999999</v>
      </c>
      <c r="M14" s="42">
        <f t="shared" si="4"/>
        <v>-7.2999999999999995E-2</v>
      </c>
      <c r="N14">
        <f t="shared" si="5"/>
        <v>-0.14000000000000001</v>
      </c>
      <c r="O14" t="str">
        <f t="shared" si="1"/>
        <v>SF</v>
      </c>
      <c r="P14" t="s">
        <v>80</v>
      </c>
      <c r="Q14">
        <f t="shared" si="6"/>
        <v>1</v>
      </c>
    </row>
    <row r="15" spans="1:17">
      <c r="A15">
        <v>2011</v>
      </c>
      <c r="B15">
        <v>1</v>
      </c>
      <c r="C15" s="7" t="str">
        <f t="shared" si="0"/>
        <v>NYJ</v>
      </c>
      <c r="D15" s="2">
        <f t="shared" si="7"/>
        <v>0.45</v>
      </c>
      <c r="E15" t="s">
        <v>61</v>
      </c>
      <c r="F15" t="s">
        <v>74</v>
      </c>
      <c r="H15" s="8">
        <f>VLOOKUP(E15,'DVOA DATA'!$A$1:$AK$35,IF('Solver Model &amp; Output'!$M$3&lt;3,('Solver Model &amp; Output'!$M$3)*2,('Solver Model &amp; Output'!$M$3+1)*2), FALSE)</f>
        <v>1.6E-2</v>
      </c>
      <c r="I15" s="8">
        <f>VLOOKUP(F15,'DVOA DATA'!$A$1:$AK$35,IF('Solver Model &amp; Output'!$M$3&lt;3,('Solver Model &amp; Output'!$M$3)*2,('Solver Model &amp; Output'!$M$3+1)*2), FALSE)</f>
        <v>-2.8000000000000001E-2</v>
      </c>
      <c r="J15" s="8">
        <f>VLOOKUP(E15,'DVOA DATA'!$A$1:$AK$35,IF('Solver Model &amp; Output'!$M$3&lt;3,(('Solver Model &amp; Output'!$M$3)*2)+1,(('Solver Model &amp; Output'!$M$3+1)*2)+1), FALSE)</f>
        <v>8.8999999999999996E-2</v>
      </c>
      <c r="K15" s="8">
        <f>VLOOKUP(F15,'DVOA DATA'!$A$1:$AK$35,IF('Solver Model &amp; Output'!$M$3&lt;3,(('Solver Model &amp; Output'!$M$3)*2)+1,(('Solver Model &amp; Output'!$M$3+1)*2)+1), FALSE)</f>
        <v>-0.20499999999999999</v>
      </c>
      <c r="L15" s="42">
        <f t="shared" si="3"/>
        <v>-7.2999999999999995E-2</v>
      </c>
      <c r="M15" s="42">
        <f t="shared" si="4"/>
        <v>0.17699999999999999</v>
      </c>
      <c r="N15">
        <f t="shared" si="5"/>
        <v>-0.25</v>
      </c>
      <c r="O15" t="str">
        <f t="shared" si="1"/>
        <v>NYJ</v>
      </c>
      <c r="P15" t="s">
        <v>74</v>
      </c>
      <c r="Q15">
        <f t="shared" si="6"/>
        <v>1</v>
      </c>
    </row>
    <row r="16" spans="1:17">
      <c r="A16">
        <v>2011</v>
      </c>
      <c r="B16">
        <v>1</v>
      </c>
      <c r="C16" s="7" t="str">
        <f t="shared" si="0"/>
        <v>NE</v>
      </c>
      <c r="D16" s="2">
        <f t="shared" si="7"/>
        <v>0.18400000000000002</v>
      </c>
      <c r="E16" t="s">
        <v>71</v>
      </c>
      <c r="F16" t="s">
        <v>69</v>
      </c>
      <c r="H16" s="8">
        <f>VLOOKUP(E16,'DVOA DATA'!$A$1:$AK$35,IF('Solver Model &amp; Output'!$M$3&lt;3,('Solver Model &amp; Output'!$M$3)*2,('Solver Model &amp; Output'!$M$3+1)*2), FALSE)</f>
        <v>0.309</v>
      </c>
      <c r="I16" s="8">
        <f>VLOOKUP(F16,'DVOA DATA'!$A$1:$AK$35,IF('Solver Model &amp; Output'!$M$3&lt;3,('Solver Model &amp; Output'!$M$3)*2,('Solver Model &amp; Output'!$M$3+1)*2), FALSE)</f>
        <v>0.106</v>
      </c>
      <c r="J16" s="8">
        <f>VLOOKUP(E16,'DVOA DATA'!$A$1:$AK$35,IF('Solver Model &amp; Output'!$M$3&lt;3,(('Solver Model &amp; Output'!$M$3)*2)+1,(('Solver Model &amp; Output'!$M$3+1)*2)+1), FALSE)</f>
        <v>3.6999999999999998E-2</v>
      </c>
      <c r="K16" s="8">
        <f>VLOOKUP(F16,'DVOA DATA'!$A$1:$AK$35,IF('Solver Model &amp; Output'!$M$3&lt;3,(('Solver Model &amp; Output'!$M$3)*2)+1,(('Solver Model &amp; Output'!$M$3+1)*2)+1), FALSE)</f>
        <v>1.7999999999999999E-2</v>
      </c>
      <c r="L16" s="42">
        <f t="shared" si="3"/>
        <v>0.27200000000000002</v>
      </c>
      <c r="M16" s="42">
        <f t="shared" si="4"/>
        <v>8.7999999999999995E-2</v>
      </c>
      <c r="N16">
        <f t="shared" si="5"/>
        <v>0.18400000000000002</v>
      </c>
      <c r="O16" t="str">
        <f t="shared" si="1"/>
        <v>NE</v>
      </c>
      <c r="P16" t="s">
        <v>71</v>
      </c>
      <c r="Q16">
        <f t="shared" si="6"/>
        <v>1</v>
      </c>
    </row>
    <row r="17" spans="1:17">
      <c r="A17">
        <v>2011</v>
      </c>
      <c r="B17">
        <v>1</v>
      </c>
      <c r="C17" s="7" t="str">
        <f t="shared" si="0"/>
        <v>DEN</v>
      </c>
      <c r="D17" s="2">
        <f t="shared" si="7"/>
        <v>0.20300000000000001</v>
      </c>
      <c r="E17" t="s">
        <v>75</v>
      </c>
      <c r="F17" t="s">
        <v>62</v>
      </c>
      <c r="H17" s="8">
        <f>VLOOKUP(E17,'DVOA DATA'!$A$1:$AK$35,IF('Solver Model &amp; Output'!$M$3&lt;3,('Solver Model &amp; Output'!$M$3)*2,('Solver Model &amp; Output'!$M$3+1)*2), FALSE)</f>
        <v>-8.6999999999999994E-2</v>
      </c>
      <c r="I17" s="8">
        <f>VLOOKUP(F17,'DVOA DATA'!$A$1:$AK$35,IF('Solver Model &amp; Output'!$M$3&lt;3,('Solver Model &amp; Output'!$M$3)*2,('Solver Model &amp; Output'!$M$3+1)*2), FALSE)</f>
        <v>-4.2999999999999997E-2</v>
      </c>
      <c r="J17" s="8">
        <f>VLOOKUP(E17,'DVOA DATA'!$A$1:$AK$35,IF('Solver Model &amp; Output'!$M$3&lt;3,(('Solver Model &amp; Output'!$M$3)*2)+1,(('Solver Model &amp; Output'!$M$3+1)*2)+1), FALSE)</f>
        <v>6.5000000000000002E-2</v>
      </c>
      <c r="K17" s="8">
        <f>VLOOKUP(F17,'DVOA DATA'!$A$1:$AK$35,IF('Solver Model &amp; Output'!$M$3&lt;3,(('Solver Model &amp; Output'!$M$3)*2)+1,(('Solver Model &amp; Output'!$M$3+1)*2)+1), FALSE)</f>
        <v>0.106</v>
      </c>
      <c r="L17" s="42">
        <f t="shared" si="3"/>
        <v>-0.152</v>
      </c>
      <c r="M17" s="42">
        <f t="shared" si="4"/>
        <v>-0.14899999999999999</v>
      </c>
      <c r="N17">
        <f t="shared" si="5"/>
        <v>-3.0000000000000027E-3</v>
      </c>
      <c r="O17" t="str">
        <f t="shared" si="1"/>
        <v>DEN</v>
      </c>
      <c r="P17" t="s">
        <v>75</v>
      </c>
      <c r="Q17">
        <f t="shared" si="6"/>
        <v>0</v>
      </c>
    </row>
    <row r="18" spans="1:17">
      <c r="A18">
        <v>2011</v>
      </c>
      <c r="B18">
        <v>2</v>
      </c>
      <c r="C18" s="7" t="str">
        <f t="shared" si="0"/>
        <v>PIT</v>
      </c>
      <c r="D18" s="2">
        <f t="shared" si="7"/>
        <v>0.70799999999999996</v>
      </c>
      <c r="E18" t="s">
        <v>79</v>
      </c>
      <c r="F18" t="s">
        <v>77</v>
      </c>
      <c r="H18" s="8">
        <f>VLOOKUP(E18,'DVOA DATA'!$A$1:$AK$35,IF('Solver Model &amp; Output'!$M$3&lt;3,('Solver Model &amp; Output'!$M$3)*2,('Solver Model &amp; Output'!$M$3+1)*2), FALSE)</f>
        <v>-0.23699999999999999</v>
      </c>
      <c r="I18" s="8">
        <f>VLOOKUP(F18,'DVOA DATA'!$A$1:$AK$35,IF('Solver Model &amp; Output'!$M$3&lt;3,('Solver Model &amp; Output'!$M$3)*2,('Solver Model &amp; Output'!$M$3+1)*2), FALSE)</f>
        <v>0.16900000000000001</v>
      </c>
      <c r="J18" s="8">
        <f>VLOOKUP(E18,'DVOA DATA'!$A$1:$AK$35,IF('Solver Model &amp; Output'!$M$3&lt;3,(('Solver Model &amp; Output'!$M$3)*2)+1,(('Solver Model &amp; Output'!$M$3+1)*2)+1), FALSE)</f>
        <v>-2.4E-2</v>
      </c>
      <c r="K18" s="8">
        <f>VLOOKUP(F18,'DVOA DATA'!$A$1:$AK$35,IF('Solver Model &amp; Output'!$M$3&lt;3,(('Solver Model &amp; Output'!$M$3)*2)+1,(('Solver Model &amp; Output'!$M$3+1)*2)+1), FALSE)</f>
        <v>-0.126</v>
      </c>
      <c r="L18" s="42">
        <f t="shared" si="3"/>
        <v>-0.21299999999999999</v>
      </c>
      <c r="M18" s="42">
        <f t="shared" si="4"/>
        <v>0.29500000000000004</v>
      </c>
      <c r="N18">
        <f t="shared" si="5"/>
        <v>-0.50800000000000001</v>
      </c>
      <c r="O18" t="str">
        <f t="shared" si="1"/>
        <v>PIT</v>
      </c>
      <c r="P18" t="s">
        <v>77</v>
      </c>
      <c r="Q18">
        <f t="shared" si="6"/>
        <v>1</v>
      </c>
    </row>
    <row r="19" spans="1:17">
      <c r="A19">
        <v>2011</v>
      </c>
      <c r="B19">
        <v>2</v>
      </c>
      <c r="C19" s="7" t="str">
        <f t="shared" si="0"/>
        <v>BAL</v>
      </c>
      <c r="D19" s="2">
        <f t="shared" si="7"/>
        <v>0.30700000000000005</v>
      </c>
      <c r="E19" t="s">
        <v>55</v>
      </c>
      <c r="F19" t="s">
        <v>83</v>
      </c>
      <c r="H19" s="8">
        <f>VLOOKUP(E19,'DVOA DATA'!$A$1:$AK$35,IF('Solver Model &amp; Output'!$M$3&lt;3,('Solver Model &amp; Output'!$M$3)*2,('Solver Model &amp; Output'!$M$3+1)*2), FALSE)</f>
        <v>0.114</v>
      </c>
      <c r="I19" s="8">
        <f>VLOOKUP(F19,'DVOA DATA'!$A$1:$AK$35,IF('Solver Model &amp; Output'!$M$3&lt;3,('Solver Model &amp; Output'!$M$3)*2,('Solver Model &amp; Output'!$M$3+1)*2), FALSE)</f>
        <v>-9.9000000000000005E-2</v>
      </c>
      <c r="J19" s="8">
        <f>VLOOKUP(E19,'DVOA DATA'!$A$1:$AK$35,IF('Solver Model &amp; Output'!$M$3&lt;3,(('Solver Model &amp; Output'!$M$3)*2)+1,(('Solver Model &amp; Output'!$M$3+1)*2)+1), FALSE)</f>
        <v>0.01</v>
      </c>
      <c r="K19" s="8">
        <f>VLOOKUP(F19,'DVOA DATA'!$A$1:$AK$35,IF('Solver Model &amp; Output'!$M$3&lt;3,(('Solver Model &amp; Output'!$M$3)*2)+1,(('Solver Model &amp; Output'!$M$3+1)*2)+1), FALSE)</f>
        <v>0.104</v>
      </c>
      <c r="L19" s="42">
        <f t="shared" si="3"/>
        <v>0.10400000000000001</v>
      </c>
      <c r="M19" s="42">
        <f t="shared" si="4"/>
        <v>-0.20300000000000001</v>
      </c>
      <c r="N19">
        <f t="shared" si="5"/>
        <v>0.30700000000000005</v>
      </c>
      <c r="O19" t="str">
        <f t="shared" si="1"/>
        <v>BAL</v>
      </c>
      <c r="P19" t="s">
        <v>83</v>
      </c>
      <c r="Q19">
        <f t="shared" si="6"/>
        <v>0</v>
      </c>
    </row>
    <row r="20" spans="1:17">
      <c r="A20">
        <v>2011</v>
      </c>
      <c r="B20">
        <v>2</v>
      </c>
      <c r="C20" s="7" t="str">
        <f t="shared" si="0"/>
        <v>NYJ</v>
      </c>
      <c r="D20" s="2">
        <f t="shared" si="7"/>
        <v>0.372</v>
      </c>
      <c r="E20" t="s">
        <v>67</v>
      </c>
      <c r="F20" t="s">
        <v>74</v>
      </c>
      <c r="H20" s="8">
        <f>VLOOKUP(E20,'DVOA DATA'!$A$1:$AK$35,IF('Solver Model &amp; Output'!$M$3&lt;3,('Solver Model &amp; Output'!$M$3)*2,('Solver Model &amp; Output'!$M$3+1)*2), FALSE)</f>
        <v>4.5999999999999999E-2</v>
      </c>
      <c r="I20" s="8">
        <f>VLOOKUP(F20,'DVOA DATA'!$A$1:$AK$35,IF('Solver Model &amp; Output'!$M$3&lt;3,('Solver Model &amp; Output'!$M$3)*2,('Solver Model &amp; Output'!$M$3+1)*2), FALSE)</f>
        <v>-2.8000000000000001E-2</v>
      </c>
      <c r="J20" s="8">
        <f>VLOOKUP(E20,'DVOA DATA'!$A$1:$AK$35,IF('Solver Model &amp; Output'!$M$3&lt;3,(('Solver Model &amp; Output'!$M$3)*2)+1,(('Solver Model &amp; Output'!$M$3+1)*2)+1), FALSE)</f>
        <v>4.1000000000000002E-2</v>
      </c>
      <c r="K20" s="8">
        <f>VLOOKUP(F20,'DVOA DATA'!$A$1:$AK$35,IF('Solver Model &amp; Output'!$M$3&lt;3,(('Solver Model &amp; Output'!$M$3)*2)+1,(('Solver Model &amp; Output'!$M$3+1)*2)+1), FALSE)</f>
        <v>-0.20499999999999999</v>
      </c>
      <c r="L20" s="42">
        <f t="shared" si="3"/>
        <v>4.9999999999999975E-3</v>
      </c>
      <c r="M20" s="42">
        <f t="shared" si="4"/>
        <v>0.17699999999999999</v>
      </c>
      <c r="N20">
        <f t="shared" si="5"/>
        <v>-0.17199999999999999</v>
      </c>
      <c r="O20" t="str">
        <f t="shared" si="1"/>
        <v>NYJ</v>
      </c>
      <c r="P20" t="s">
        <v>74</v>
      </c>
      <c r="Q20">
        <f t="shared" si="6"/>
        <v>1</v>
      </c>
    </row>
    <row r="21" spans="1:17">
      <c r="A21">
        <v>2011</v>
      </c>
      <c r="B21">
        <v>2</v>
      </c>
      <c r="C21" s="7" t="str">
        <f t="shared" si="0"/>
        <v>WAS</v>
      </c>
      <c r="D21" s="2">
        <f t="shared" si="7"/>
        <v>0.26900000000000002</v>
      </c>
      <c r="E21" t="s">
        <v>53</v>
      </c>
      <c r="F21" t="s">
        <v>84</v>
      </c>
      <c r="H21" s="8">
        <f>VLOOKUP(E21,'DVOA DATA'!$A$1:$AK$35,IF('Solver Model &amp; Output'!$M$3&lt;3,('Solver Model &amp; Output'!$M$3)*2,('Solver Model &amp; Output'!$M$3+1)*2), FALSE)</f>
        <v>-4.8000000000000001E-2</v>
      </c>
      <c r="I21" s="8">
        <f>VLOOKUP(F21,'DVOA DATA'!$A$1:$AK$35,IF('Solver Model &amp; Output'!$M$3&lt;3,('Solver Model &amp; Output'!$M$3)*2,('Solver Model &amp; Output'!$M$3+1)*2), FALSE)</f>
        <v>-5.6000000000000001E-2</v>
      </c>
      <c r="J21" s="8">
        <f>VLOOKUP(E21,'DVOA DATA'!$A$1:$AK$35,IF('Solver Model &amp; Output'!$M$3&lt;3,(('Solver Model &amp; Output'!$M$3)*2)+1,(('Solver Model &amp; Output'!$M$3+1)*2)+1), FALSE)</f>
        <v>9.1999999999999998E-2</v>
      </c>
      <c r="K21" s="8">
        <f>VLOOKUP(F21,'DVOA DATA'!$A$1:$AK$35,IF('Solver Model &amp; Output'!$M$3&lt;3,(('Solver Model &amp; Output'!$M$3)*2)+1,(('Solver Model &amp; Output'!$M$3+1)*2)+1), FALSE)</f>
        <v>1.4999999999999999E-2</v>
      </c>
      <c r="L21" s="42">
        <f t="shared" si="3"/>
        <v>-0.14000000000000001</v>
      </c>
      <c r="M21" s="42">
        <f t="shared" si="4"/>
        <v>-7.1000000000000008E-2</v>
      </c>
      <c r="N21">
        <f t="shared" si="5"/>
        <v>-6.9000000000000006E-2</v>
      </c>
      <c r="O21" t="str">
        <f t="shared" si="1"/>
        <v>WAS</v>
      </c>
      <c r="P21" t="s">
        <v>84</v>
      </c>
      <c r="Q21">
        <f t="shared" si="6"/>
        <v>1</v>
      </c>
    </row>
    <row r="22" spans="1:17">
      <c r="A22">
        <v>2011</v>
      </c>
      <c r="B22">
        <v>2</v>
      </c>
      <c r="C22" s="7" t="str">
        <f t="shared" si="0"/>
        <v>BUF</v>
      </c>
      <c r="D22" s="2">
        <f t="shared" si="7"/>
        <v>0.30599999999999999</v>
      </c>
      <c r="E22" t="s">
        <v>75</v>
      </c>
      <c r="F22" t="s">
        <v>56</v>
      </c>
      <c r="H22" s="8">
        <f>VLOOKUP(E22,'DVOA DATA'!$A$1:$AK$35,IF('Solver Model &amp; Output'!$M$3&lt;3,('Solver Model &amp; Output'!$M$3)*2,('Solver Model &amp; Output'!$M$3+1)*2), FALSE)</f>
        <v>-8.6999999999999994E-2</v>
      </c>
      <c r="I22" s="8">
        <f>VLOOKUP(F22,'DVOA DATA'!$A$1:$AK$35,IF('Solver Model &amp; Output'!$M$3&lt;3,('Solver Model &amp; Output'!$M$3)*2,('Solver Model &amp; Output'!$M$3+1)*2), FALSE)</f>
        <v>-2.7E-2</v>
      </c>
      <c r="J22" s="8">
        <f>VLOOKUP(E22,'DVOA DATA'!$A$1:$AK$35,IF('Solver Model &amp; Output'!$M$3&lt;3,(('Solver Model &amp; Output'!$M$3)*2)+1,(('Solver Model &amp; Output'!$M$3+1)*2)+1), FALSE)</f>
        <v>6.5000000000000002E-2</v>
      </c>
      <c r="K22" s="8">
        <f>VLOOKUP(F22,'DVOA DATA'!$A$1:$AK$35,IF('Solver Model &amp; Output'!$M$3&lt;3,(('Solver Model &amp; Output'!$M$3)*2)+1,(('Solver Model &amp; Output'!$M$3+1)*2)+1), FALSE)</f>
        <v>1.9E-2</v>
      </c>
      <c r="L22" s="42">
        <f t="shared" si="3"/>
        <v>-0.152</v>
      </c>
      <c r="M22" s="42">
        <f t="shared" si="4"/>
        <v>-4.5999999999999999E-2</v>
      </c>
      <c r="N22">
        <f t="shared" si="5"/>
        <v>-0.106</v>
      </c>
      <c r="O22" t="str">
        <f t="shared" si="1"/>
        <v>BUF</v>
      </c>
      <c r="P22" t="s">
        <v>56</v>
      </c>
      <c r="Q22">
        <f t="shared" si="6"/>
        <v>1</v>
      </c>
    </row>
    <row r="23" spans="1:17">
      <c r="A23">
        <v>2011</v>
      </c>
      <c r="B23">
        <v>2</v>
      </c>
      <c r="C23" s="7" t="str">
        <f t="shared" si="0"/>
        <v>MIN</v>
      </c>
      <c r="D23" s="2">
        <f t="shared" si="7"/>
        <v>0.26300000000000001</v>
      </c>
      <c r="E23" t="s">
        <v>82</v>
      </c>
      <c r="F23" t="s">
        <v>70</v>
      </c>
      <c r="H23" s="8">
        <f>VLOOKUP(E23,'DVOA DATA'!$A$1:$AK$35,IF('Solver Model &amp; Output'!$M$3&lt;3,('Solver Model &amp; Output'!$M$3)*2,('Solver Model &amp; Output'!$M$3+1)*2), FALSE)</f>
        <v>2.8000000000000001E-2</v>
      </c>
      <c r="I23" s="8">
        <f>VLOOKUP(F23,'DVOA DATA'!$A$1:$AK$35,IF('Solver Model &amp; Output'!$M$3&lt;3,('Solver Model &amp; Output'!$M$3)*2,('Solver Model &amp; Output'!$M$3+1)*2), FALSE)</f>
        <v>5.7000000000000002E-2</v>
      </c>
      <c r="J23" s="8">
        <f>VLOOKUP(E23,'DVOA DATA'!$A$1:$AK$35,IF('Solver Model &amp; Output'!$M$3&lt;3,(('Solver Model &amp; Output'!$M$3)*2)+1,(('Solver Model &amp; Output'!$M$3+1)*2)+1), FALSE)</f>
        <v>0.104</v>
      </c>
      <c r="K23" s="8">
        <f>VLOOKUP(F23,'DVOA DATA'!$A$1:$AK$35,IF('Solver Model &amp; Output'!$M$3&lt;3,(('Solver Model &amp; Output'!$M$3)*2)+1,(('Solver Model &amp; Output'!$M$3+1)*2)+1), FALSE)</f>
        <v>7.0000000000000007E-2</v>
      </c>
      <c r="L23" s="42">
        <f t="shared" si="3"/>
        <v>-7.5999999999999998E-2</v>
      </c>
      <c r="M23" s="42">
        <f t="shared" si="4"/>
        <v>-1.3000000000000005E-2</v>
      </c>
      <c r="N23">
        <f t="shared" si="5"/>
        <v>-6.3E-2</v>
      </c>
      <c r="O23" t="str">
        <f t="shared" si="1"/>
        <v>MIN</v>
      </c>
      <c r="P23" t="s">
        <v>82</v>
      </c>
      <c r="Q23">
        <f t="shared" si="6"/>
        <v>0</v>
      </c>
    </row>
    <row r="24" spans="1:17">
      <c r="A24">
        <v>2011</v>
      </c>
      <c r="B24">
        <v>2</v>
      </c>
      <c r="C24" s="7" t="str">
        <f t="shared" si="0"/>
        <v>NO</v>
      </c>
      <c r="D24" s="2">
        <f t="shared" si="7"/>
        <v>0.25800000000000001</v>
      </c>
      <c r="E24" t="s">
        <v>58</v>
      </c>
      <c r="F24" t="s">
        <v>72</v>
      </c>
      <c r="H24" s="8">
        <f>VLOOKUP(E24,'DVOA DATA'!$A$1:$AK$35,IF('Solver Model &amp; Output'!$M$3&lt;3,('Solver Model &amp; Output'!$M$3)*2,('Solver Model &amp; Output'!$M$3+1)*2), FALSE)</f>
        <v>-0.06</v>
      </c>
      <c r="I24" s="8">
        <f>VLOOKUP(F24,'DVOA DATA'!$A$1:$AK$35,IF('Solver Model &amp; Output'!$M$3&lt;3,('Solver Model &amp; Output'!$M$3)*2,('Solver Model &amp; Output'!$M$3+1)*2), FALSE)</f>
        <v>0.19600000000000001</v>
      </c>
      <c r="J24" s="8">
        <f>VLOOKUP(E24,'DVOA DATA'!$A$1:$AK$35,IF('Solver Model &amp; Output'!$M$3&lt;3,(('Solver Model &amp; Output'!$M$3)*2)+1,(('Solver Model &amp; Output'!$M$3+1)*2)+1), FALSE)</f>
        <v>-8.5999999999999993E-2</v>
      </c>
      <c r="K24" s="8">
        <f>VLOOKUP(F24,'DVOA DATA'!$A$1:$AK$35,IF('Solver Model &amp; Output'!$M$3&lt;3,(('Solver Model &amp; Output'!$M$3)*2)+1,(('Solver Model &amp; Output'!$M$3+1)*2)+1), FALSE)</f>
        <v>0.112</v>
      </c>
      <c r="L24" s="42">
        <f t="shared" si="3"/>
        <v>2.5999999999999995E-2</v>
      </c>
      <c r="M24" s="42">
        <f t="shared" si="4"/>
        <v>8.4000000000000005E-2</v>
      </c>
      <c r="N24">
        <f t="shared" si="5"/>
        <v>-5.800000000000001E-2</v>
      </c>
      <c r="O24" t="str">
        <f t="shared" si="1"/>
        <v>NO</v>
      </c>
      <c r="P24" t="s">
        <v>72</v>
      </c>
      <c r="Q24">
        <f t="shared" si="6"/>
        <v>1</v>
      </c>
    </row>
    <row r="25" spans="1:17">
      <c r="A25">
        <v>2011</v>
      </c>
      <c r="B25">
        <v>2</v>
      </c>
      <c r="C25" s="7" t="str">
        <f t="shared" si="0"/>
        <v>GB</v>
      </c>
      <c r="D25" s="2">
        <f t="shared" si="7"/>
        <v>0.29099999999999998</v>
      </c>
      <c r="E25" t="s">
        <v>64</v>
      </c>
      <c r="F25" t="s">
        <v>57</v>
      </c>
      <c r="H25" s="8">
        <f>VLOOKUP(E25,'DVOA DATA'!$A$1:$AK$35,IF('Solver Model &amp; Output'!$M$3&lt;3,('Solver Model &amp; Output'!$M$3)*2,('Solver Model &amp; Output'!$M$3+1)*2), FALSE)</f>
        <v>9.9000000000000005E-2</v>
      </c>
      <c r="I25" s="8">
        <f>VLOOKUP(F25,'DVOA DATA'!$A$1:$AK$35,IF('Solver Model &amp; Output'!$M$3&lt;3,('Solver Model &amp; Output'!$M$3)*2,('Solver Model &amp; Output'!$M$3+1)*2), FALSE)</f>
        <v>-0.14099999999999999</v>
      </c>
      <c r="J25" s="8">
        <f>VLOOKUP(E25,'DVOA DATA'!$A$1:$AK$35,IF('Solver Model &amp; Output'!$M$3&lt;3,(('Solver Model &amp; Output'!$M$3)*2)+1,(('Solver Model &amp; Output'!$M$3+1)*2)+1), FALSE)</f>
        <v>-2.1999999999999999E-2</v>
      </c>
      <c r="K25" s="8">
        <f>VLOOKUP(F25,'DVOA DATA'!$A$1:$AK$35,IF('Solver Model &amp; Output'!$M$3&lt;3,(('Solver Model &amp; Output'!$M$3)*2)+1,(('Solver Model &amp; Output'!$M$3+1)*2)+1), FALSE)</f>
        <v>2.9000000000000001E-2</v>
      </c>
      <c r="L25" s="42">
        <f t="shared" si="3"/>
        <v>0.121</v>
      </c>
      <c r="M25" s="42">
        <f t="shared" si="4"/>
        <v>-0.16999999999999998</v>
      </c>
      <c r="N25">
        <f t="shared" si="5"/>
        <v>0.29099999999999998</v>
      </c>
      <c r="O25" t="str">
        <f t="shared" si="1"/>
        <v>GB</v>
      </c>
      <c r="P25" t="s">
        <v>64</v>
      </c>
      <c r="Q25">
        <f t="shared" si="6"/>
        <v>1</v>
      </c>
    </row>
    <row r="26" spans="1:17">
      <c r="A26">
        <v>2011</v>
      </c>
      <c r="B26">
        <v>2</v>
      </c>
      <c r="C26" s="7" t="str">
        <f t="shared" si="0"/>
        <v>IND</v>
      </c>
      <c r="D26" s="2">
        <f t="shared" si="7"/>
        <v>0.29000000000000004</v>
      </c>
      <c r="E26" t="s">
        <v>60</v>
      </c>
      <c r="F26" t="s">
        <v>66</v>
      </c>
      <c r="H26" s="8">
        <f>VLOOKUP(E26,'DVOA DATA'!$A$1:$AK$35,IF('Solver Model &amp; Output'!$M$3&lt;3,('Solver Model &amp; Output'!$M$3)*2,('Solver Model &amp; Output'!$M$3+1)*2), FALSE)</f>
        <v>-0.03</v>
      </c>
      <c r="I26" s="8">
        <f>VLOOKUP(F26,'DVOA DATA'!$A$1:$AK$35,IF('Solver Model &amp; Output'!$M$3&lt;3,('Solver Model &amp; Output'!$M$3)*2,('Solver Model &amp; Output'!$M$3+1)*2), FALSE)</f>
        <v>0.104</v>
      </c>
      <c r="J26" s="8">
        <f>VLOOKUP(E26,'DVOA DATA'!$A$1:$AK$35,IF('Solver Model &amp; Output'!$M$3&lt;3,(('Solver Model &amp; Output'!$M$3)*2)+1,(('Solver Model &amp; Output'!$M$3+1)*2)+1), FALSE)</f>
        <v>4.8000000000000001E-2</v>
      </c>
      <c r="K26" s="8">
        <f>VLOOKUP(F26,'DVOA DATA'!$A$1:$AK$35,IF('Solver Model &amp; Output'!$M$3&lt;3,(('Solver Model &amp; Output'!$M$3)*2)+1,(('Solver Model &amp; Output'!$M$3+1)*2)+1), FALSE)</f>
        <v>9.1999999999999998E-2</v>
      </c>
      <c r="L26" s="42">
        <f t="shared" si="3"/>
        <v>-7.8E-2</v>
      </c>
      <c r="M26" s="42">
        <f t="shared" si="4"/>
        <v>1.1999999999999997E-2</v>
      </c>
      <c r="N26">
        <f t="shared" si="5"/>
        <v>-0.09</v>
      </c>
      <c r="O26" t="str">
        <f t="shared" si="1"/>
        <v>IND</v>
      </c>
      <c r="P26" t="s">
        <v>60</v>
      </c>
      <c r="Q26">
        <f t="shared" si="6"/>
        <v>0</v>
      </c>
    </row>
    <row r="27" spans="1:17">
      <c r="A27">
        <v>2011</v>
      </c>
      <c r="B27">
        <v>2</v>
      </c>
      <c r="C27" s="7" t="str">
        <f t="shared" si="0"/>
        <v>DET</v>
      </c>
      <c r="D27" s="2">
        <f t="shared" si="7"/>
        <v>0.308</v>
      </c>
      <c r="E27" t="s">
        <v>68</v>
      </c>
      <c r="F27" t="s">
        <v>63</v>
      </c>
      <c r="H27" s="8">
        <f>VLOOKUP(E27,'DVOA DATA'!$A$1:$AK$35,IF('Solver Model &amp; Output'!$M$3&lt;3,('Solver Model &amp; Output'!$M$3)*2,('Solver Model &amp; Output'!$M$3+1)*2), FALSE)</f>
        <v>-4.7E-2</v>
      </c>
      <c r="I27" s="8">
        <f>VLOOKUP(F27,'DVOA DATA'!$A$1:$AK$35,IF('Solver Model &amp; Output'!$M$3&lt;3,('Solver Model &amp; Output'!$M$3)*2,('Solver Model &amp; Output'!$M$3+1)*2), FALSE)</f>
        <v>5.2999999999999999E-2</v>
      </c>
      <c r="J27" s="8">
        <f>VLOOKUP(E27,'DVOA DATA'!$A$1:$AK$35,IF('Solver Model &amp; Output'!$M$3&lt;3,(('Solver Model &amp; Output'!$M$3)*2)+1,(('Solver Model &amp; Output'!$M$3+1)*2)+1), FALSE)</f>
        <v>7.2999999999999995E-2</v>
      </c>
      <c r="K27" s="8">
        <f>VLOOKUP(F27,'DVOA DATA'!$A$1:$AK$35,IF('Solver Model &amp; Output'!$M$3&lt;3,(('Solver Model &amp; Output'!$M$3)*2)+1,(('Solver Model &amp; Output'!$M$3+1)*2)+1), FALSE)</f>
        <v>6.5000000000000002E-2</v>
      </c>
      <c r="L27" s="42">
        <f t="shared" si="3"/>
        <v>-0.12</v>
      </c>
      <c r="M27" s="42">
        <f t="shared" si="4"/>
        <v>-1.2000000000000004E-2</v>
      </c>
      <c r="N27">
        <f t="shared" si="5"/>
        <v>-0.10799999999999998</v>
      </c>
      <c r="O27" t="str">
        <f t="shared" si="1"/>
        <v>DET</v>
      </c>
      <c r="P27" t="s">
        <v>63</v>
      </c>
      <c r="Q27">
        <f t="shared" si="6"/>
        <v>1</v>
      </c>
    </row>
    <row r="28" spans="1:17">
      <c r="A28">
        <v>2011</v>
      </c>
      <c r="B28">
        <v>2</v>
      </c>
      <c r="C28" s="7" t="str">
        <f t="shared" si="0"/>
        <v>SF</v>
      </c>
      <c r="D28" s="2">
        <f t="shared" si="7"/>
        <v>0.2</v>
      </c>
      <c r="E28" t="s">
        <v>61</v>
      </c>
      <c r="F28" t="s">
        <v>80</v>
      </c>
      <c r="H28" s="8">
        <f>VLOOKUP(E28,'DVOA DATA'!$A$1:$AK$35,IF('Solver Model &amp; Output'!$M$3&lt;3,('Solver Model &amp; Output'!$M$3)*2,('Solver Model &amp; Output'!$M$3+1)*2), FALSE)</f>
        <v>1.6E-2</v>
      </c>
      <c r="I28" s="8">
        <f>VLOOKUP(F28,'DVOA DATA'!$A$1:$AK$35,IF('Solver Model &amp; Output'!$M$3&lt;3,('Solver Model &amp; Output'!$M$3)*2,('Solver Model &amp; Output'!$M$3+1)*2), FALSE)</f>
        <v>-5.8999999999999997E-2</v>
      </c>
      <c r="J28" s="8">
        <f>VLOOKUP(E28,'DVOA DATA'!$A$1:$AK$35,IF('Solver Model &amp; Output'!$M$3&lt;3,(('Solver Model &amp; Output'!$M$3)*2)+1,(('Solver Model &amp; Output'!$M$3+1)*2)+1), FALSE)</f>
        <v>8.8999999999999996E-2</v>
      </c>
      <c r="K28" s="8">
        <f>VLOOKUP(F28,'DVOA DATA'!$A$1:$AK$35,IF('Solver Model &amp; Output'!$M$3&lt;3,(('Solver Model &amp; Output'!$M$3)*2)+1,(('Solver Model &amp; Output'!$M$3+1)*2)+1), FALSE)</f>
        <v>1.4E-2</v>
      </c>
      <c r="L28" s="42">
        <f t="shared" si="3"/>
        <v>-7.2999999999999995E-2</v>
      </c>
      <c r="M28" s="42">
        <f t="shared" si="4"/>
        <v>-7.2999999999999995E-2</v>
      </c>
      <c r="N28">
        <f t="shared" si="5"/>
        <v>0</v>
      </c>
      <c r="O28" t="str">
        <f t="shared" si="1"/>
        <v>SF</v>
      </c>
      <c r="P28" t="s">
        <v>61</v>
      </c>
      <c r="Q28">
        <f t="shared" si="6"/>
        <v>0</v>
      </c>
    </row>
    <row r="29" spans="1:17">
      <c r="A29">
        <v>2011</v>
      </c>
      <c r="B29">
        <v>2</v>
      </c>
      <c r="C29" s="7" t="str">
        <f t="shared" si="0"/>
        <v>CIN</v>
      </c>
      <c r="D29" s="2">
        <f t="shared" si="7"/>
        <v>3.6999999999999991E-2</v>
      </c>
      <c r="E29" t="s">
        <v>59</v>
      </c>
      <c r="F29" t="s">
        <v>62</v>
      </c>
      <c r="H29" s="8">
        <f>VLOOKUP(E29,'DVOA DATA'!$A$1:$AK$35,IF('Solver Model &amp; Output'!$M$3&lt;3,('Solver Model &amp; Output'!$M$3)*2,('Solver Model &amp; Output'!$M$3+1)*2), FALSE)</f>
        <v>-6.3E-2</v>
      </c>
      <c r="I29" s="8">
        <f>VLOOKUP(F29,'DVOA DATA'!$A$1:$AK$35,IF('Solver Model &amp; Output'!$M$3&lt;3,('Solver Model &amp; Output'!$M$3)*2,('Solver Model &amp; Output'!$M$3+1)*2), FALSE)</f>
        <v>-4.2999999999999997E-2</v>
      </c>
      <c r="J29" s="8">
        <f>VLOOKUP(E29,'DVOA DATA'!$A$1:$AK$35,IF('Solver Model &amp; Output'!$M$3&lt;3,(('Solver Model &amp; Output'!$M$3)*2)+1,(('Solver Model &amp; Output'!$M$3+1)*2)+1), FALSE)</f>
        <v>4.9000000000000002E-2</v>
      </c>
      <c r="K29" s="8">
        <f>VLOOKUP(F29,'DVOA DATA'!$A$1:$AK$35,IF('Solver Model &amp; Output'!$M$3&lt;3,(('Solver Model &amp; Output'!$M$3)*2)+1,(('Solver Model &amp; Output'!$M$3+1)*2)+1), FALSE)</f>
        <v>0.106</v>
      </c>
      <c r="L29" s="42">
        <f t="shared" si="3"/>
        <v>-0.112</v>
      </c>
      <c r="M29" s="42">
        <f t="shared" si="4"/>
        <v>-0.14899999999999999</v>
      </c>
      <c r="N29">
        <f t="shared" si="5"/>
        <v>3.6999999999999991E-2</v>
      </c>
      <c r="O29" t="str">
        <f t="shared" si="1"/>
        <v>CIN</v>
      </c>
      <c r="P29" t="s">
        <v>62</v>
      </c>
      <c r="Q29">
        <f t="shared" si="6"/>
        <v>0</v>
      </c>
    </row>
    <row r="30" spans="1:17">
      <c r="A30">
        <v>2011</v>
      </c>
      <c r="B30">
        <v>2</v>
      </c>
      <c r="C30" s="7" t="str">
        <f t="shared" si="0"/>
        <v>MIA</v>
      </c>
      <c r="D30" s="2">
        <f t="shared" si="7"/>
        <v>0.22600000000000001</v>
      </c>
      <c r="E30" t="s">
        <v>65</v>
      </c>
      <c r="F30" t="s">
        <v>69</v>
      </c>
      <c r="H30" s="8">
        <f>VLOOKUP(E30,'DVOA DATA'!$A$1:$AK$35,IF('Solver Model &amp; Output'!$M$3&lt;3,('Solver Model &amp; Output'!$M$3)*2,('Solver Model &amp; Output'!$M$3+1)*2), FALSE)</f>
        <v>0.2</v>
      </c>
      <c r="I30" s="8">
        <f>VLOOKUP(F30,'DVOA DATA'!$A$1:$AK$35,IF('Solver Model &amp; Output'!$M$3&lt;3,('Solver Model &amp; Output'!$M$3)*2,('Solver Model &amp; Output'!$M$3+1)*2), FALSE)</f>
        <v>0.106</v>
      </c>
      <c r="J30" s="8">
        <f>VLOOKUP(E30,'DVOA DATA'!$A$1:$AK$35,IF('Solver Model &amp; Output'!$M$3&lt;3,(('Solver Model &amp; Output'!$M$3)*2)+1,(('Solver Model &amp; Output'!$M$3+1)*2)+1), FALSE)</f>
        <v>0.13800000000000001</v>
      </c>
      <c r="K30" s="8">
        <f>VLOOKUP(F30,'DVOA DATA'!$A$1:$AK$35,IF('Solver Model &amp; Output'!$M$3&lt;3,(('Solver Model &amp; Output'!$M$3)*2)+1,(('Solver Model &amp; Output'!$M$3+1)*2)+1), FALSE)</f>
        <v>1.7999999999999999E-2</v>
      </c>
      <c r="L30" s="42">
        <f t="shared" si="3"/>
        <v>6.2E-2</v>
      </c>
      <c r="M30" s="42">
        <f t="shared" si="4"/>
        <v>8.7999999999999995E-2</v>
      </c>
      <c r="N30">
        <f t="shared" si="5"/>
        <v>-2.5999999999999995E-2</v>
      </c>
      <c r="O30" t="str">
        <f t="shared" si="1"/>
        <v>MIA</v>
      </c>
      <c r="P30" t="s">
        <v>65</v>
      </c>
      <c r="Q30">
        <f t="shared" si="6"/>
        <v>0</v>
      </c>
    </row>
    <row r="31" spans="1:17">
      <c r="A31">
        <v>2011</v>
      </c>
      <c r="B31">
        <v>2</v>
      </c>
      <c r="C31" s="7" t="str">
        <f t="shared" si="0"/>
        <v>NE</v>
      </c>
      <c r="D31" s="2">
        <f t="shared" si="7"/>
        <v>0.26400000000000001</v>
      </c>
      <c r="E31" t="s">
        <v>78</v>
      </c>
      <c r="F31" t="s">
        <v>71</v>
      </c>
      <c r="H31" s="8">
        <f>VLOOKUP(E31,'DVOA DATA'!$A$1:$AK$35,IF('Solver Model &amp; Output'!$M$3&lt;3,('Solver Model &amp; Output'!$M$3)*2,('Solver Model &amp; Output'!$M$3+1)*2), FALSE)</f>
        <v>0.32600000000000001</v>
      </c>
      <c r="I31" s="8">
        <f>VLOOKUP(F31,'DVOA DATA'!$A$1:$AK$35,IF('Solver Model &amp; Output'!$M$3&lt;3,('Solver Model &amp; Output'!$M$3)*2,('Solver Model &amp; Output'!$M$3+1)*2), FALSE)</f>
        <v>0.309</v>
      </c>
      <c r="J31" s="8">
        <f>VLOOKUP(E31,'DVOA DATA'!$A$1:$AK$35,IF('Solver Model &amp; Output'!$M$3&lt;3,(('Solver Model &amp; Output'!$M$3)*2)+1,(('Solver Model &amp; Output'!$M$3+1)*2)+1), FALSE)</f>
        <v>0.11799999999999999</v>
      </c>
      <c r="K31" s="8">
        <f>VLOOKUP(F31,'DVOA DATA'!$A$1:$AK$35,IF('Solver Model &amp; Output'!$M$3&lt;3,(('Solver Model &amp; Output'!$M$3)*2)+1,(('Solver Model &amp; Output'!$M$3+1)*2)+1), FALSE)</f>
        <v>3.6999999999999998E-2</v>
      </c>
      <c r="L31" s="42">
        <f t="shared" si="3"/>
        <v>0.20800000000000002</v>
      </c>
      <c r="M31" s="42">
        <f t="shared" si="4"/>
        <v>0.27200000000000002</v>
      </c>
      <c r="N31">
        <f t="shared" si="5"/>
        <v>-6.4000000000000001E-2</v>
      </c>
      <c r="O31" t="str">
        <f t="shared" si="1"/>
        <v>NE</v>
      </c>
      <c r="P31" t="s">
        <v>71</v>
      </c>
      <c r="Q31">
        <f t="shared" si="6"/>
        <v>1</v>
      </c>
    </row>
    <row r="32" spans="1:17">
      <c r="A32">
        <v>2011</v>
      </c>
      <c r="B32">
        <v>2</v>
      </c>
      <c r="C32" s="7" t="str">
        <f t="shared" si="0"/>
        <v>PHI</v>
      </c>
      <c r="D32" s="2">
        <f t="shared" si="7"/>
        <v>0.11400000000000002</v>
      </c>
      <c r="E32" t="s">
        <v>76</v>
      </c>
      <c r="F32" t="s">
        <v>54</v>
      </c>
      <c r="H32" s="8">
        <f>VLOOKUP(E32,'DVOA DATA'!$A$1:$AK$35,IF('Solver Model &amp; Output'!$M$3&lt;3,('Solver Model &amp; Output'!$M$3)*2,('Solver Model &amp; Output'!$M$3+1)*2), FALSE)</f>
        <v>0.123</v>
      </c>
      <c r="I32" s="8">
        <f>VLOOKUP(F32,'DVOA DATA'!$A$1:$AK$35,IF('Solver Model &amp; Output'!$M$3&lt;3,('Solver Model &amp; Output'!$M$3)*2,('Solver Model &amp; Output'!$M$3+1)*2), FALSE)</f>
        <v>0.13</v>
      </c>
      <c r="J32" s="8">
        <f>VLOOKUP(E32,'DVOA DATA'!$A$1:$AK$35,IF('Solver Model &amp; Output'!$M$3&lt;3,(('Solver Model &amp; Output'!$M$3)*2)+1,(('Solver Model &amp; Output'!$M$3+1)*2)+1), FALSE)</f>
        <v>-8.5000000000000006E-2</v>
      </c>
      <c r="K32" s="8">
        <f>VLOOKUP(F32,'DVOA DATA'!$A$1:$AK$35,IF('Solver Model &amp; Output'!$M$3&lt;3,(('Solver Model &amp; Output'!$M$3)*2)+1,(('Solver Model &amp; Output'!$M$3+1)*2)+1), FALSE)</f>
        <v>3.5999999999999997E-2</v>
      </c>
      <c r="L32" s="42">
        <f t="shared" si="3"/>
        <v>0.20800000000000002</v>
      </c>
      <c r="M32" s="42">
        <f t="shared" si="4"/>
        <v>9.4E-2</v>
      </c>
      <c r="N32">
        <f t="shared" si="5"/>
        <v>0.11400000000000002</v>
      </c>
      <c r="O32" t="str">
        <f t="shared" si="1"/>
        <v>PHI</v>
      </c>
      <c r="P32" t="s">
        <v>54</v>
      </c>
      <c r="Q32">
        <f t="shared" si="6"/>
        <v>0</v>
      </c>
    </row>
    <row r="33" spans="1:17">
      <c r="A33">
        <v>2011</v>
      </c>
      <c r="B33">
        <v>2</v>
      </c>
      <c r="C33" s="7" t="str">
        <f t="shared" si="0"/>
        <v>NYG</v>
      </c>
      <c r="D33" s="2">
        <f t="shared" si="7"/>
        <v>0.36899999999999999</v>
      </c>
      <c r="E33" t="s">
        <v>81</v>
      </c>
      <c r="F33" t="s">
        <v>73</v>
      </c>
      <c r="H33" s="8">
        <f>VLOOKUP(E33,'DVOA DATA'!$A$1:$AK$35,IF('Solver Model &amp; Output'!$M$3&lt;3,('Solver Model &amp; Output'!$M$3)*2,('Solver Model &amp; Output'!$M$3+1)*2), FALSE)</f>
        <v>-0.14799999999999999</v>
      </c>
      <c r="I33" s="8">
        <f>VLOOKUP(F33,'DVOA DATA'!$A$1:$AK$35,IF('Solver Model &amp; Output'!$M$3&lt;3,('Solver Model &amp; Output'!$M$3)*2,('Solver Model &amp; Output'!$M$3+1)*2), FALSE)</f>
        <v>5.8999999999999997E-2</v>
      </c>
      <c r="J33" s="8">
        <f>VLOOKUP(E33,'DVOA DATA'!$A$1:$AK$35,IF('Solver Model &amp; Output'!$M$3&lt;3,(('Solver Model &amp; Output'!$M$3)*2)+1,(('Solver Model &amp; Output'!$M$3+1)*2)+1), FALSE)</f>
        <v>-3.6999999999999998E-2</v>
      </c>
      <c r="K33" s="8">
        <f>VLOOKUP(F33,'DVOA DATA'!$A$1:$AK$35,IF('Solver Model &amp; Output'!$M$3&lt;3,(('Solver Model &amp; Output'!$M$3)*2)+1,(('Solver Model &amp; Output'!$M$3+1)*2)+1), FALSE)</f>
        <v>1E-3</v>
      </c>
      <c r="L33" s="42">
        <f t="shared" si="3"/>
        <v>-0.11099999999999999</v>
      </c>
      <c r="M33" s="42">
        <f t="shared" si="4"/>
        <v>5.7999999999999996E-2</v>
      </c>
      <c r="N33">
        <f t="shared" si="5"/>
        <v>-0.16899999999999998</v>
      </c>
      <c r="O33" t="str">
        <f t="shared" si="1"/>
        <v>NYG</v>
      </c>
      <c r="P33" t="s">
        <v>73</v>
      </c>
      <c r="Q33">
        <f t="shared" si="6"/>
        <v>1</v>
      </c>
    </row>
    <row r="34" spans="1:17">
      <c r="A34">
        <v>2011</v>
      </c>
      <c r="B34">
        <v>3</v>
      </c>
      <c r="C34" s="7" t="str">
        <f t="shared" si="0"/>
        <v>JAC</v>
      </c>
      <c r="D34" s="2">
        <f t="shared" si="7"/>
        <v>0.17499999999999999</v>
      </c>
      <c r="E34" t="s">
        <v>67</v>
      </c>
      <c r="F34" t="s">
        <v>57</v>
      </c>
      <c r="H34" s="8">
        <f>VLOOKUP(E34,'DVOA DATA'!$A$1:$AK$35,IF('Solver Model &amp; Output'!$M$3&lt;3,('Solver Model &amp; Output'!$M$3)*2,('Solver Model &amp; Output'!$M$3+1)*2), FALSE)</f>
        <v>4.5999999999999999E-2</v>
      </c>
      <c r="I34" s="8">
        <f>VLOOKUP(F34,'DVOA DATA'!$A$1:$AK$35,IF('Solver Model &amp; Output'!$M$3&lt;3,('Solver Model &amp; Output'!$M$3)*2,('Solver Model &amp; Output'!$M$3+1)*2), FALSE)</f>
        <v>-0.14099999999999999</v>
      </c>
      <c r="J34" s="8">
        <f>VLOOKUP(E34,'DVOA DATA'!$A$1:$AK$35,IF('Solver Model &amp; Output'!$M$3&lt;3,(('Solver Model &amp; Output'!$M$3)*2)+1,(('Solver Model &amp; Output'!$M$3+1)*2)+1), FALSE)</f>
        <v>4.1000000000000002E-2</v>
      </c>
      <c r="K34" s="8">
        <f>VLOOKUP(F34,'DVOA DATA'!$A$1:$AK$35,IF('Solver Model &amp; Output'!$M$3&lt;3,(('Solver Model &amp; Output'!$M$3)*2)+1,(('Solver Model &amp; Output'!$M$3+1)*2)+1), FALSE)</f>
        <v>2.9000000000000001E-2</v>
      </c>
      <c r="L34" s="42">
        <f t="shared" si="3"/>
        <v>4.9999999999999975E-3</v>
      </c>
      <c r="M34" s="42">
        <f t="shared" si="4"/>
        <v>-0.16999999999999998</v>
      </c>
      <c r="N34">
        <f t="shared" si="5"/>
        <v>0.17499999999999999</v>
      </c>
      <c r="O34" t="str">
        <f t="shared" si="1"/>
        <v>JAC</v>
      </c>
      <c r="P34" t="s">
        <v>57</v>
      </c>
      <c r="Q34">
        <f t="shared" si="6"/>
        <v>0</v>
      </c>
    </row>
    <row r="35" spans="1:17">
      <c r="A35">
        <v>2011</v>
      </c>
      <c r="B35">
        <v>3</v>
      </c>
      <c r="C35" s="7" t="str">
        <f t="shared" si="0"/>
        <v>DEN</v>
      </c>
      <c r="D35" s="2">
        <f t="shared" si="7"/>
        <v>5.400000000000002E-2</v>
      </c>
      <c r="E35" t="s">
        <v>62</v>
      </c>
      <c r="F35" t="s">
        <v>83</v>
      </c>
      <c r="H35" s="8">
        <f>VLOOKUP(E35,'DVOA DATA'!$A$1:$AK$35,IF('Solver Model &amp; Output'!$M$3&lt;3,('Solver Model &amp; Output'!$M$3)*2,('Solver Model &amp; Output'!$M$3+1)*2), FALSE)</f>
        <v>-4.2999999999999997E-2</v>
      </c>
      <c r="I35" s="8">
        <f>VLOOKUP(F35,'DVOA DATA'!$A$1:$AK$35,IF('Solver Model &amp; Output'!$M$3&lt;3,('Solver Model &amp; Output'!$M$3)*2,('Solver Model &amp; Output'!$M$3+1)*2), FALSE)</f>
        <v>-9.9000000000000005E-2</v>
      </c>
      <c r="J35" s="8">
        <f>VLOOKUP(E35,'DVOA DATA'!$A$1:$AK$35,IF('Solver Model &amp; Output'!$M$3&lt;3,(('Solver Model &amp; Output'!$M$3)*2)+1,(('Solver Model &amp; Output'!$M$3+1)*2)+1), FALSE)</f>
        <v>0.106</v>
      </c>
      <c r="K35" s="8">
        <f>VLOOKUP(F35,'DVOA DATA'!$A$1:$AK$35,IF('Solver Model &amp; Output'!$M$3&lt;3,(('Solver Model &amp; Output'!$M$3)*2)+1,(('Solver Model &amp; Output'!$M$3+1)*2)+1), FALSE)</f>
        <v>0.104</v>
      </c>
      <c r="L35" s="42">
        <f t="shared" si="3"/>
        <v>-0.14899999999999999</v>
      </c>
      <c r="M35" s="42">
        <f t="shared" si="4"/>
        <v>-0.20300000000000001</v>
      </c>
      <c r="N35">
        <f t="shared" si="5"/>
        <v>5.400000000000002E-2</v>
      </c>
      <c r="O35" t="str">
        <f t="shared" si="1"/>
        <v>DEN</v>
      </c>
      <c r="P35" t="s">
        <v>83</v>
      </c>
      <c r="Q35">
        <f t="shared" si="6"/>
        <v>0</v>
      </c>
    </row>
    <row r="36" spans="1:17">
      <c r="A36">
        <v>2011</v>
      </c>
      <c r="B36">
        <v>3</v>
      </c>
      <c r="C36" s="7" t="str">
        <f t="shared" si="0"/>
        <v>NO</v>
      </c>
      <c r="D36" s="2">
        <f t="shared" si="7"/>
        <v>0.22200000000000003</v>
      </c>
      <c r="E36" t="s">
        <v>65</v>
      </c>
      <c r="F36" t="s">
        <v>72</v>
      </c>
      <c r="H36" s="8">
        <f>VLOOKUP(E36,'DVOA DATA'!$A$1:$AK$35,IF('Solver Model &amp; Output'!$M$3&lt;3,('Solver Model &amp; Output'!$M$3)*2,('Solver Model &amp; Output'!$M$3+1)*2), FALSE)</f>
        <v>0.2</v>
      </c>
      <c r="I36" s="8">
        <f>VLOOKUP(F36,'DVOA DATA'!$A$1:$AK$35,IF('Solver Model &amp; Output'!$M$3&lt;3,('Solver Model &amp; Output'!$M$3)*2,('Solver Model &amp; Output'!$M$3+1)*2), FALSE)</f>
        <v>0.19600000000000001</v>
      </c>
      <c r="J36" s="8">
        <f>VLOOKUP(E36,'DVOA DATA'!$A$1:$AK$35,IF('Solver Model &amp; Output'!$M$3&lt;3,(('Solver Model &amp; Output'!$M$3)*2)+1,(('Solver Model &amp; Output'!$M$3+1)*2)+1), FALSE)</f>
        <v>0.13800000000000001</v>
      </c>
      <c r="K36" s="8">
        <f>VLOOKUP(F36,'DVOA DATA'!$A$1:$AK$35,IF('Solver Model &amp; Output'!$M$3&lt;3,(('Solver Model &amp; Output'!$M$3)*2)+1,(('Solver Model &amp; Output'!$M$3+1)*2)+1), FALSE)</f>
        <v>0.112</v>
      </c>
      <c r="L36" s="42">
        <f t="shared" si="3"/>
        <v>6.2E-2</v>
      </c>
      <c r="M36" s="42">
        <f t="shared" si="4"/>
        <v>8.4000000000000005E-2</v>
      </c>
      <c r="N36">
        <f t="shared" si="5"/>
        <v>-2.2000000000000006E-2</v>
      </c>
      <c r="O36" t="str">
        <f t="shared" si="1"/>
        <v>NO</v>
      </c>
      <c r="P36" t="s">
        <v>72</v>
      </c>
      <c r="Q36">
        <f t="shared" si="6"/>
        <v>1</v>
      </c>
    </row>
    <row r="37" spans="1:17">
      <c r="A37">
        <v>2011</v>
      </c>
      <c r="B37">
        <v>3</v>
      </c>
      <c r="C37" s="7" t="str">
        <f t="shared" si="0"/>
        <v>DET</v>
      </c>
      <c r="D37" s="2">
        <f t="shared" si="7"/>
        <v>1.0000000000000009E-3</v>
      </c>
      <c r="E37" t="s">
        <v>63</v>
      </c>
      <c r="F37" t="s">
        <v>70</v>
      </c>
      <c r="H37" s="8">
        <f>VLOOKUP(E37,'DVOA DATA'!$A$1:$AK$35,IF('Solver Model &amp; Output'!$M$3&lt;3,('Solver Model &amp; Output'!$M$3)*2,('Solver Model &amp; Output'!$M$3+1)*2), FALSE)</f>
        <v>5.2999999999999999E-2</v>
      </c>
      <c r="I37" s="8">
        <f>VLOOKUP(F37,'DVOA DATA'!$A$1:$AK$35,IF('Solver Model &amp; Output'!$M$3&lt;3,('Solver Model &amp; Output'!$M$3)*2,('Solver Model &amp; Output'!$M$3+1)*2), FALSE)</f>
        <v>5.7000000000000002E-2</v>
      </c>
      <c r="J37" s="8">
        <f>VLOOKUP(E37,'DVOA DATA'!$A$1:$AK$35,IF('Solver Model &amp; Output'!$M$3&lt;3,(('Solver Model &amp; Output'!$M$3)*2)+1,(('Solver Model &amp; Output'!$M$3+1)*2)+1), FALSE)</f>
        <v>6.5000000000000002E-2</v>
      </c>
      <c r="K37" s="8">
        <f>VLOOKUP(F37,'DVOA DATA'!$A$1:$AK$35,IF('Solver Model &amp; Output'!$M$3&lt;3,(('Solver Model &amp; Output'!$M$3)*2)+1,(('Solver Model &amp; Output'!$M$3+1)*2)+1), FALSE)</f>
        <v>7.0000000000000007E-2</v>
      </c>
      <c r="L37" s="42">
        <f t="shared" si="3"/>
        <v>-1.2000000000000004E-2</v>
      </c>
      <c r="M37" s="42">
        <f t="shared" si="4"/>
        <v>-1.3000000000000005E-2</v>
      </c>
      <c r="N37">
        <f t="shared" si="5"/>
        <v>1.0000000000000009E-3</v>
      </c>
      <c r="O37" t="str">
        <f t="shared" si="1"/>
        <v>DET</v>
      </c>
      <c r="P37" t="s">
        <v>63</v>
      </c>
      <c r="Q37">
        <f t="shared" si="6"/>
        <v>1</v>
      </c>
    </row>
    <row r="38" spans="1:17">
      <c r="A38">
        <v>2011</v>
      </c>
      <c r="B38">
        <v>3</v>
      </c>
      <c r="C38" s="7" t="str">
        <f t="shared" si="0"/>
        <v>PHI</v>
      </c>
      <c r="D38" s="2">
        <f t="shared" si="7"/>
        <v>0.35000000000000003</v>
      </c>
      <c r="E38" t="s">
        <v>73</v>
      </c>
      <c r="F38" t="s">
        <v>76</v>
      </c>
      <c r="H38" s="8">
        <f>VLOOKUP(E38,'DVOA DATA'!$A$1:$AK$35,IF('Solver Model &amp; Output'!$M$3&lt;3,('Solver Model &amp; Output'!$M$3)*2,('Solver Model &amp; Output'!$M$3+1)*2), FALSE)</f>
        <v>5.8999999999999997E-2</v>
      </c>
      <c r="I38" s="8">
        <f>VLOOKUP(F38,'DVOA DATA'!$A$1:$AK$35,IF('Solver Model &amp; Output'!$M$3&lt;3,('Solver Model &amp; Output'!$M$3)*2,('Solver Model &amp; Output'!$M$3+1)*2), FALSE)</f>
        <v>0.123</v>
      </c>
      <c r="J38" s="8">
        <f>VLOOKUP(E38,'DVOA DATA'!$A$1:$AK$35,IF('Solver Model &amp; Output'!$M$3&lt;3,(('Solver Model &amp; Output'!$M$3)*2)+1,(('Solver Model &amp; Output'!$M$3+1)*2)+1), FALSE)</f>
        <v>1E-3</v>
      </c>
      <c r="K38" s="8">
        <f>VLOOKUP(F38,'DVOA DATA'!$A$1:$AK$35,IF('Solver Model &amp; Output'!$M$3&lt;3,(('Solver Model &amp; Output'!$M$3)*2)+1,(('Solver Model &amp; Output'!$M$3+1)*2)+1), FALSE)</f>
        <v>-8.5000000000000006E-2</v>
      </c>
      <c r="L38" s="42">
        <f t="shared" si="3"/>
        <v>5.7999999999999996E-2</v>
      </c>
      <c r="M38" s="42">
        <f t="shared" si="4"/>
        <v>0.20800000000000002</v>
      </c>
      <c r="N38">
        <f t="shared" si="5"/>
        <v>-0.15000000000000002</v>
      </c>
      <c r="O38" t="str">
        <f t="shared" si="1"/>
        <v>PHI</v>
      </c>
      <c r="P38" t="s">
        <v>73</v>
      </c>
      <c r="Q38">
        <f t="shared" si="6"/>
        <v>0</v>
      </c>
    </row>
    <row r="39" spans="1:17">
      <c r="A39">
        <v>2011</v>
      </c>
      <c r="B39">
        <v>3</v>
      </c>
      <c r="C39" s="7" t="str">
        <f t="shared" si="0"/>
        <v>NE</v>
      </c>
      <c r="D39" s="2">
        <f t="shared" si="7"/>
        <v>0.318</v>
      </c>
      <c r="E39" t="s">
        <v>71</v>
      </c>
      <c r="F39" t="s">
        <v>56</v>
      </c>
      <c r="H39" s="8">
        <f>VLOOKUP(E39,'DVOA DATA'!$A$1:$AK$35,IF('Solver Model &amp; Output'!$M$3&lt;3,('Solver Model &amp; Output'!$M$3)*2,('Solver Model &amp; Output'!$M$3+1)*2), FALSE)</f>
        <v>0.309</v>
      </c>
      <c r="I39" s="8">
        <f>VLOOKUP(F39,'DVOA DATA'!$A$1:$AK$35,IF('Solver Model &amp; Output'!$M$3&lt;3,('Solver Model &amp; Output'!$M$3)*2,('Solver Model &amp; Output'!$M$3+1)*2), FALSE)</f>
        <v>-2.7E-2</v>
      </c>
      <c r="J39" s="8">
        <f>VLOOKUP(E39,'DVOA DATA'!$A$1:$AK$35,IF('Solver Model &amp; Output'!$M$3&lt;3,(('Solver Model &amp; Output'!$M$3)*2)+1,(('Solver Model &amp; Output'!$M$3+1)*2)+1), FALSE)</f>
        <v>3.6999999999999998E-2</v>
      </c>
      <c r="K39" s="8">
        <f>VLOOKUP(F39,'DVOA DATA'!$A$1:$AK$35,IF('Solver Model &amp; Output'!$M$3&lt;3,(('Solver Model &amp; Output'!$M$3)*2)+1,(('Solver Model &amp; Output'!$M$3+1)*2)+1), FALSE)</f>
        <v>1.9E-2</v>
      </c>
      <c r="L39" s="42">
        <f t="shared" si="3"/>
        <v>0.27200000000000002</v>
      </c>
      <c r="M39" s="42">
        <f t="shared" si="4"/>
        <v>-4.5999999999999999E-2</v>
      </c>
      <c r="N39">
        <f t="shared" si="5"/>
        <v>0.318</v>
      </c>
      <c r="O39" t="str">
        <f t="shared" si="1"/>
        <v>NE</v>
      </c>
      <c r="P39" t="s">
        <v>56</v>
      </c>
      <c r="Q39">
        <f t="shared" si="6"/>
        <v>0</v>
      </c>
    </row>
    <row r="40" spans="1:17">
      <c r="A40">
        <v>2011</v>
      </c>
      <c r="B40">
        <v>3</v>
      </c>
      <c r="C40" s="7" t="str">
        <f t="shared" si="0"/>
        <v>MIA</v>
      </c>
      <c r="D40" s="2">
        <f t="shared" si="7"/>
        <v>0.16599999999999998</v>
      </c>
      <c r="E40" t="s">
        <v>69</v>
      </c>
      <c r="F40" t="s">
        <v>60</v>
      </c>
      <c r="H40" s="8">
        <f>VLOOKUP(E40,'DVOA DATA'!$A$1:$AK$35,IF('Solver Model &amp; Output'!$M$3&lt;3,('Solver Model &amp; Output'!$M$3)*2,('Solver Model &amp; Output'!$M$3+1)*2), FALSE)</f>
        <v>0.106</v>
      </c>
      <c r="I40" s="8">
        <f>VLOOKUP(F40,'DVOA DATA'!$A$1:$AK$35,IF('Solver Model &amp; Output'!$M$3&lt;3,('Solver Model &amp; Output'!$M$3)*2,('Solver Model &amp; Output'!$M$3+1)*2), FALSE)</f>
        <v>-0.03</v>
      </c>
      <c r="J40" s="8">
        <f>VLOOKUP(E40,'DVOA DATA'!$A$1:$AK$35,IF('Solver Model &amp; Output'!$M$3&lt;3,(('Solver Model &amp; Output'!$M$3)*2)+1,(('Solver Model &amp; Output'!$M$3+1)*2)+1), FALSE)</f>
        <v>1.7999999999999999E-2</v>
      </c>
      <c r="K40" s="8">
        <f>VLOOKUP(F40,'DVOA DATA'!$A$1:$AK$35,IF('Solver Model &amp; Output'!$M$3&lt;3,(('Solver Model &amp; Output'!$M$3)*2)+1,(('Solver Model &amp; Output'!$M$3+1)*2)+1), FALSE)</f>
        <v>4.8000000000000001E-2</v>
      </c>
      <c r="L40" s="42">
        <f t="shared" si="3"/>
        <v>8.7999999999999995E-2</v>
      </c>
      <c r="M40" s="42">
        <f t="shared" si="4"/>
        <v>-7.8E-2</v>
      </c>
      <c r="N40">
        <f t="shared" si="5"/>
        <v>0.16599999999999998</v>
      </c>
      <c r="O40" t="str">
        <f t="shared" si="1"/>
        <v>MIA</v>
      </c>
      <c r="P40" t="s">
        <v>60</v>
      </c>
      <c r="Q40">
        <f t="shared" si="6"/>
        <v>0</v>
      </c>
    </row>
    <row r="41" spans="1:17">
      <c r="A41">
        <v>2011</v>
      </c>
      <c r="B41">
        <v>3</v>
      </c>
      <c r="C41" s="7" t="str">
        <f t="shared" si="0"/>
        <v>SF</v>
      </c>
      <c r="D41" s="2">
        <f t="shared" si="7"/>
        <v>3.9000000000000007E-2</v>
      </c>
      <c r="E41" t="s">
        <v>80</v>
      </c>
      <c r="F41" t="s">
        <v>59</v>
      </c>
      <c r="H41" s="8">
        <f>VLOOKUP(E41,'DVOA DATA'!$A$1:$AK$35,IF('Solver Model &amp; Output'!$M$3&lt;3,('Solver Model &amp; Output'!$M$3)*2,('Solver Model &amp; Output'!$M$3+1)*2), FALSE)</f>
        <v>-5.8999999999999997E-2</v>
      </c>
      <c r="I41" s="8">
        <f>VLOOKUP(F41,'DVOA DATA'!$A$1:$AK$35,IF('Solver Model &amp; Output'!$M$3&lt;3,('Solver Model &amp; Output'!$M$3)*2,('Solver Model &amp; Output'!$M$3+1)*2), FALSE)</f>
        <v>-6.3E-2</v>
      </c>
      <c r="J41" s="8">
        <f>VLOOKUP(E41,'DVOA DATA'!$A$1:$AK$35,IF('Solver Model &amp; Output'!$M$3&lt;3,(('Solver Model &amp; Output'!$M$3)*2)+1,(('Solver Model &amp; Output'!$M$3+1)*2)+1), FALSE)</f>
        <v>1.4E-2</v>
      </c>
      <c r="K41" s="8">
        <f>VLOOKUP(F41,'DVOA DATA'!$A$1:$AK$35,IF('Solver Model &amp; Output'!$M$3&lt;3,(('Solver Model &amp; Output'!$M$3)*2)+1,(('Solver Model &amp; Output'!$M$3+1)*2)+1), FALSE)</f>
        <v>4.9000000000000002E-2</v>
      </c>
      <c r="L41" s="42">
        <f t="shared" si="3"/>
        <v>-7.2999999999999995E-2</v>
      </c>
      <c r="M41" s="42">
        <f t="shared" si="4"/>
        <v>-0.112</v>
      </c>
      <c r="N41">
        <f t="shared" si="5"/>
        <v>3.9000000000000007E-2</v>
      </c>
      <c r="O41" t="str">
        <f t="shared" si="1"/>
        <v>SF</v>
      </c>
      <c r="P41" t="s">
        <v>80</v>
      </c>
      <c r="Q41">
        <f t="shared" si="6"/>
        <v>1</v>
      </c>
    </row>
    <row r="42" spans="1:17">
      <c r="A42">
        <v>2011</v>
      </c>
      <c r="B42">
        <v>3</v>
      </c>
      <c r="C42" s="7" t="str">
        <f t="shared" si="0"/>
        <v>NYJ</v>
      </c>
      <c r="D42" s="2">
        <f t="shared" si="7"/>
        <v>0.32899999999999996</v>
      </c>
      <c r="E42" t="s">
        <v>74</v>
      </c>
      <c r="F42" t="s">
        <v>75</v>
      </c>
      <c r="H42" s="8">
        <f>VLOOKUP(E42,'DVOA DATA'!$A$1:$AK$35,IF('Solver Model &amp; Output'!$M$3&lt;3,('Solver Model &amp; Output'!$M$3)*2,('Solver Model &amp; Output'!$M$3+1)*2), FALSE)</f>
        <v>-2.8000000000000001E-2</v>
      </c>
      <c r="I42" s="8">
        <f>VLOOKUP(F42,'DVOA DATA'!$A$1:$AK$35,IF('Solver Model &amp; Output'!$M$3&lt;3,('Solver Model &amp; Output'!$M$3)*2,('Solver Model &amp; Output'!$M$3+1)*2), FALSE)</f>
        <v>-8.6999999999999994E-2</v>
      </c>
      <c r="J42" s="8">
        <f>VLOOKUP(E42,'DVOA DATA'!$A$1:$AK$35,IF('Solver Model &amp; Output'!$M$3&lt;3,(('Solver Model &amp; Output'!$M$3)*2)+1,(('Solver Model &amp; Output'!$M$3+1)*2)+1), FALSE)</f>
        <v>-0.20499999999999999</v>
      </c>
      <c r="K42" s="8">
        <f>VLOOKUP(F42,'DVOA DATA'!$A$1:$AK$35,IF('Solver Model &amp; Output'!$M$3&lt;3,(('Solver Model &amp; Output'!$M$3)*2)+1,(('Solver Model &amp; Output'!$M$3+1)*2)+1), FALSE)</f>
        <v>6.5000000000000002E-2</v>
      </c>
      <c r="L42" s="42">
        <f t="shared" si="3"/>
        <v>0.17699999999999999</v>
      </c>
      <c r="M42" s="42">
        <f t="shared" si="4"/>
        <v>-0.152</v>
      </c>
      <c r="N42">
        <f t="shared" si="5"/>
        <v>0.32899999999999996</v>
      </c>
      <c r="O42" t="str">
        <f t="shared" si="1"/>
        <v>NYJ</v>
      </c>
      <c r="P42" t="s">
        <v>75</v>
      </c>
      <c r="Q42">
        <f t="shared" si="6"/>
        <v>0</v>
      </c>
    </row>
    <row r="43" spans="1:17">
      <c r="A43">
        <v>2011</v>
      </c>
      <c r="B43">
        <v>3</v>
      </c>
      <c r="C43" s="7" t="str">
        <f t="shared" si="0"/>
        <v>BAL</v>
      </c>
      <c r="D43" s="2">
        <f t="shared" si="7"/>
        <v>0.215</v>
      </c>
      <c r="E43" t="s">
        <v>55</v>
      </c>
      <c r="F43" t="s">
        <v>81</v>
      </c>
      <c r="H43" s="8">
        <f>VLOOKUP(E43,'DVOA DATA'!$A$1:$AK$35,IF('Solver Model &amp; Output'!$M$3&lt;3,('Solver Model &amp; Output'!$M$3)*2,('Solver Model &amp; Output'!$M$3+1)*2), FALSE)</f>
        <v>0.114</v>
      </c>
      <c r="I43" s="8">
        <f>VLOOKUP(F43,'DVOA DATA'!$A$1:$AK$35,IF('Solver Model &amp; Output'!$M$3&lt;3,('Solver Model &amp; Output'!$M$3)*2,('Solver Model &amp; Output'!$M$3+1)*2), FALSE)</f>
        <v>-0.14799999999999999</v>
      </c>
      <c r="J43" s="8">
        <f>VLOOKUP(E43,'DVOA DATA'!$A$1:$AK$35,IF('Solver Model &amp; Output'!$M$3&lt;3,(('Solver Model &amp; Output'!$M$3)*2)+1,(('Solver Model &amp; Output'!$M$3+1)*2)+1), FALSE)</f>
        <v>0.01</v>
      </c>
      <c r="K43" s="8">
        <f>VLOOKUP(F43,'DVOA DATA'!$A$1:$AK$35,IF('Solver Model &amp; Output'!$M$3&lt;3,(('Solver Model &amp; Output'!$M$3)*2)+1,(('Solver Model &amp; Output'!$M$3+1)*2)+1), FALSE)</f>
        <v>-3.6999999999999998E-2</v>
      </c>
      <c r="L43" s="42">
        <f t="shared" si="3"/>
        <v>0.10400000000000001</v>
      </c>
      <c r="M43" s="42">
        <f t="shared" si="4"/>
        <v>-0.11099999999999999</v>
      </c>
      <c r="N43">
        <f t="shared" si="5"/>
        <v>0.215</v>
      </c>
      <c r="O43" t="str">
        <f t="shared" si="1"/>
        <v>BAL</v>
      </c>
      <c r="P43" t="s">
        <v>55</v>
      </c>
      <c r="Q43">
        <f t="shared" si="6"/>
        <v>1</v>
      </c>
    </row>
    <row r="44" spans="1:17">
      <c r="A44">
        <v>2011</v>
      </c>
      <c r="B44">
        <v>3</v>
      </c>
      <c r="C44" s="7" t="str">
        <f t="shared" si="0"/>
        <v>SD</v>
      </c>
      <c r="D44" s="2">
        <f t="shared" si="7"/>
        <v>0.52800000000000002</v>
      </c>
      <c r="E44" t="s">
        <v>68</v>
      </c>
      <c r="F44" t="s">
        <v>78</v>
      </c>
      <c r="H44" s="8">
        <f>VLOOKUP(E44,'DVOA DATA'!$A$1:$AK$35,IF('Solver Model &amp; Output'!$M$3&lt;3,('Solver Model &amp; Output'!$M$3)*2,('Solver Model &amp; Output'!$M$3+1)*2), FALSE)</f>
        <v>-4.7E-2</v>
      </c>
      <c r="I44" s="8">
        <f>VLOOKUP(F44,'DVOA DATA'!$A$1:$AK$35,IF('Solver Model &amp; Output'!$M$3&lt;3,('Solver Model &amp; Output'!$M$3)*2,('Solver Model &amp; Output'!$M$3+1)*2), FALSE)</f>
        <v>0.32600000000000001</v>
      </c>
      <c r="J44" s="8">
        <f>VLOOKUP(E44,'DVOA DATA'!$A$1:$AK$35,IF('Solver Model &amp; Output'!$M$3&lt;3,(('Solver Model &amp; Output'!$M$3)*2)+1,(('Solver Model &amp; Output'!$M$3+1)*2)+1), FALSE)</f>
        <v>7.2999999999999995E-2</v>
      </c>
      <c r="K44" s="8">
        <f>VLOOKUP(F44,'DVOA DATA'!$A$1:$AK$35,IF('Solver Model &amp; Output'!$M$3&lt;3,(('Solver Model &amp; Output'!$M$3)*2)+1,(('Solver Model &amp; Output'!$M$3+1)*2)+1), FALSE)</f>
        <v>0.11799999999999999</v>
      </c>
      <c r="L44" s="42">
        <f t="shared" si="3"/>
        <v>-0.12</v>
      </c>
      <c r="M44" s="42">
        <f t="shared" si="4"/>
        <v>0.20800000000000002</v>
      </c>
      <c r="N44">
        <f t="shared" si="5"/>
        <v>-0.32800000000000001</v>
      </c>
      <c r="O44" t="str">
        <f t="shared" si="1"/>
        <v>SD</v>
      </c>
      <c r="P44" t="s">
        <v>78</v>
      </c>
      <c r="Q44">
        <f t="shared" si="6"/>
        <v>1</v>
      </c>
    </row>
    <row r="45" spans="1:17">
      <c r="A45">
        <v>2011</v>
      </c>
      <c r="B45">
        <v>3</v>
      </c>
      <c r="C45" s="7" t="str">
        <f t="shared" si="0"/>
        <v>ATL</v>
      </c>
      <c r="D45" s="2">
        <f t="shared" si="7"/>
        <v>0.16999999999999998</v>
      </c>
      <c r="E45" t="s">
        <v>54</v>
      </c>
      <c r="F45" t="s">
        <v>82</v>
      </c>
      <c r="H45" s="8">
        <f>VLOOKUP(E45,'DVOA DATA'!$A$1:$AK$35,IF('Solver Model &amp; Output'!$M$3&lt;3,('Solver Model &amp; Output'!$M$3)*2,('Solver Model &amp; Output'!$M$3+1)*2), FALSE)</f>
        <v>0.13</v>
      </c>
      <c r="I45" s="8">
        <f>VLOOKUP(F45,'DVOA DATA'!$A$1:$AK$35,IF('Solver Model &amp; Output'!$M$3&lt;3,('Solver Model &amp; Output'!$M$3)*2,('Solver Model &amp; Output'!$M$3+1)*2), FALSE)</f>
        <v>2.8000000000000001E-2</v>
      </c>
      <c r="J45" s="8">
        <f>VLOOKUP(E45,'DVOA DATA'!$A$1:$AK$35,IF('Solver Model &amp; Output'!$M$3&lt;3,(('Solver Model &amp; Output'!$M$3)*2)+1,(('Solver Model &amp; Output'!$M$3+1)*2)+1), FALSE)</f>
        <v>3.5999999999999997E-2</v>
      </c>
      <c r="K45" s="8">
        <f>VLOOKUP(F45,'DVOA DATA'!$A$1:$AK$35,IF('Solver Model &amp; Output'!$M$3&lt;3,(('Solver Model &amp; Output'!$M$3)*2)+1,(('Solver Model &amp; Output'!$M$3+1)*2)+1), FALSE)</f>
        <v>0.104</v>
      </c>
      <c r="L45" s="42">
        <f t="shared" si="3"/>
        <v>9.4E-2</v>
      </c>
      <c r="M45" s="42">
        <f t="shared" si="4"/>
        <v>-7.5999999999999998E-2</v>
      </c>
      <c r="N45">
        <f t="shared" si="5"/>
        <v>0.16999999999999998</v>
      </c>
      <c r="O45" t="str">
        <f t="shared" si="1"/>
        <v>ATL</v>
      </c>
      <c r="P45" t="s">
        <v>82</v>
      </c>
      <c r="Q45">
        <f t="shared" si="6"/>
        <v>0</v>
      </c>
    </row>
    <row r="46" spans="1:17">
      <c r="A46">
        <v>2011</v>
      </c>
      <c r="B46">
        <v>3</v>
      </c>
      <c r="C46" s="7" t="str">
        <f t="shared" si="0"/>
        <v>GB</v>
      </c>
      <c r="D46" s="2">
        <f t="shared" si="7"/>
        <v>9.5000000000000001E-2</v>
      </c>
      <c r="E46" t="s">
        <v>64</v>
      </c>
      <c r="F46" t="s">
        <v>58</v>
      </c>
      <c r="H46" s="8">
        <f>VLOOKUP(E46,'DVOA DATA'!$A$1:$AK$35,IF('Solver Model &amp; Output'!$M$3&lt;3,('Solver Model &amp; Output'!$M$3)*2,('Solver Model &amp; Output'!$M$3+1)*2), FALSE)</f>
        <v>9.9000000000000005E-2</v>
      </c>
      <c r="I46" s="8">
        <f>VLOOKUP(F46,'DVOA DATA'!$A$1:$AK$35,IF('Solver Model &amp; Output'!$M$3&lt;3,('Solver Model &amp; Output'!$M$3)*2,('Solver Model &amp; Output'!$M$3+1)*2), FALSE)</f>
        <v>-0.06</v>
      </c>
      <c r="J46" s="8">
        <f>VLOOKUP(E46,'DVOA DATA'!$A$1:$AK$35,IF('Solver Model &amp; Output'!$M$3&lt;3,(('Solver Model &amp; Output'!$M$3)*2)+1,(('Solver Model &amp; Output'!$M$3+1)*2)+1), FALSE)</f>
        <v>-2.1999999999999999E-2</v>
      </c>
      <c r="K46" s="8">
        <f>VLOOKUP(F46,'DVOA DATA'!$A$1:$AK$35,IF('Solver Model &amp; Output'!$M$3&lt;3,(('Solver Model &amp; Output'!$M$3)*2)+1,(('Solver Model &amp; Output'!$M$3+1)*2)+1), FALSE)</f>
        <v>-8.5999999999999993E-2</v>
      </c>
      <c r="L46" s="42">
        <f t="shared" si="3"/>
        <v>0.121</v>
      </c>
      <c r="M46" s="42">
        <f t="shared" si="4"/>
        <v>2.5999999999999995E-2</v>
      </c>
      <c r="N46">
        <f t="shared" si="5"/>
        <v>9.5000000000000001E-2</v>
      </c>
      <c r="O46" t="str">
        <f t="shared" si="1"/>
        <v>GB</v>
      </c>
      <c r="P46" t="s">
        <v>64</v>
      </c>
      <c r="Q46">
        <f t="shared" si="6"/>
        <v>1</v>
      </c>
    </row>
    <row r="47" spans="1:17">
      <c r="A47">
        <v>2011</v>
      </c>
      <c r="B47">
        <v>3</v>
      </c>
      <c r="C47" s="7" t="str">
        <f t="shared" si="0"/>
        <v>ARI</v>
      </c>
      <c r="D47" s="2">
        <f t="shared" si="7"/>
        <v>7.2999999999999982E-2</v>
      </c>
      <c r="E47" t="s">
        <v>53</v>
      </c>
      <c r="F47" t="s">
        <v>79</v>
      </c>
      <c r="H47" s="8">
        <f>VLOOKUP(E47,'DVOA DATA'!$A$1:$AK$35,IF('Solver Model &amp; Output'!$M$3&lt;3,('Solver Model &amp; Output'!$M$3)*2,('Solver Model &amp; Output'!$M$3+1)*2), FALSE)</f>
        <v>-4.8000000000000001E-2</v>
      </c>
      <c r="I47" s="8">
        <f>VLOOKUP(F47,'DVOA DATA'!$A$1:$AK$35,IF('Solver Model &amp; Output'!$M$3&lt;3,('Solver Model &amp; Output'!$M$3)*2,('Solver Model &amp; Output'!$M$3+1)*2), FALSE)</f>
        <v>-0.23699999999999999</v>
      </c>
      <c r="J47" s="8">
        <f>VLOOKUP(E47,'DVOA DATA'!$A$1:$AK$35,IF('Solver Model &amp; Output'!$M$3&lt;3,(('Solver Model &amp; Output'!$M$3)*2)+1,(('Solver Model &amp; Output'!$M$3+1)*2)+1), FALSE)</f>
        <v>9.1999999999999998E-2</v>
      </c>
      <c r="K47" s="8">
        <f>VLOOKUP(F47,'DVOA DATA'!$A$1:$AK$35,IF('Solver Model &amp; Output'!$M$3&lt;3,(('Solver Model &amp; Output'!$M$3)*2)+1,(('Solver Model &amp; Output'!$M$3+1)*2)+1), FALSE)</f>
        <v>-2.4E-2</v>
      </c>
      <c r="L47" s="42">
        <f t="shared" si="3"/>
        <v>-0.14000000000000001</v>
      </c>
      <c r="M47" s="42">
        <f t="shared" si="4"/>
        <v>-0.21299999999999999</v>
      </c>
      <c r="N47">
        <f t="shared" si="5"/>
        <v>7.2999999999999982E-2</v>
      </c>
      <c r="O47" t="str">
        <f t="shared" si="1"/>
        <v>ARI</v>
      </c>
      <c r="P47" t="s">
        <v>79</v>
      </c>
      <c r="Q47">
        <f t="shared" si="6"/>
        <v>0</v>
      </c>
    </row>
    <row r="48" spans="1:17">
      <c r="A48">
        <v>2011</v>
      </c>
      <c r="B48">
        <v>3</v>
      </c>
      <c r="C48" s="7" t="str">
        <f t="shared" si="0"/>
        <v>PIT</v>
      </c>
      <c r="D48" s="2">
        <f t="shared" si="7"/>
        <v>0.28300000000000003</v>
      </c>
      <c r="E48" t="s">
        <v>77</v>
      </c>
      <c r="F48" t="s">
        <v>66</v>
      </c>
      <c r="H48" s="8">
        <f>VLOOKUP(E48,'DVOA DATA'!$A$1:$AK$35,IF('Solver Model &amp; Output'!$M$3&lt;3,('Solver Model &amp; Output'!$M$3)*2,('Solver Model &amp; Output'!$M$3+1)*2), FALSE)</f>
        <v>0.16900000000000001</v>
      </c>
      <c r="I48" s="8">
        <f>VLOOKUP(F48,'DVOA DATA'!$A$1:$AK$35,IF('Solver Model &amp; Output'!$M$3&lt;3,('Solver Model &amp; Output'!$M$3)*2,('Solver Model &amp; Output'!$M$3+1)*2), FALSE)</f>
        <v>0.104</v>
      </c>
      <c r="J48" s="8">
        <f>VLOOKUP(E48,'DVOA DATA'!$A$1:$AK$35,IF('Solver Model &amp; Output'!$M$3&lt;3,(('Solver Model &amp; Output'!$M$3)*2)+1,(('Solver Model &amp; Output'!$M$3+1)*2)+1), FALSE)</f>
        <v>-0.126</v>
      </c>
      <c r="K48" s="8">
        <f>VLOOKUP(F48,'DVOA DATA'!$A$1:$AK$35,IF('Solver Model &amp; Output'!$M$3&lt;3,(('Solver Model &amp; Output'!$M$3)*2)+1,(('Solver Model &amp; Output'!$M$3+1)*2)+1), FALSE)</f>
        <v>9.1999999999999998E-2</v>
      </c>
      <c r="L48" s="42">
        <f t="shared" si="3"/>
        <v>0.29500000000000004</v>
      </c>
      <c r="M48" s="42">
        <f t="shared" si="4"/>
        <v>1.1999999999999997E-2</v>
      </c>
      <c r="N48">
        <f t="shared" si="5"/>
        <v>0.28300000000000003</v>
      </c>
      <c r="O48" t="str">
        <f t="shared" si="1"/>
        <v>PIT</v>
      </c>
      <c r="P48" t="s">
        <v>77</v>
      </c>
      <c r="Q48">
        <f t="shared" si="6"/>
        <v>1</v>
      </c>
    </row>
    <row r="49" spans="1:17">
      <c r="A49">
        <v>2011</v>
      </c>
      <c r="B49">
        <v>3</v>
      </c>
      <c r="C49" s="7" t="str">
        <f t="shared" si="0"/>
        <v>WAS</v>
      </c>
      <c r="D49" s="2">
        <f t="shared" si="7"/>
        <v>1.9999999999999879E-3</v>
      </c>
      <c r="E49" t="s">
        <v>84</v>
      </c>
      <c r="F49" t="s">
        <v>61</v>
      </c>
      <c r="H49" s="8">
        <f>VLOOKUP(E49,'DVOA DATA'!$A$1:$AK$35,IF('Solver Model &amp; Output'!$M$3&lt;3,('Solver Model &amp; Output'!$M$3)*2,('Solver Model &amp; Output'!$M$3+1)*2), FALSE)</f>
        <v>-5.6000000000000001E-2</v>
      </c>
      <c r="I49" s="8">
        <f>VLOOKUP(F49,'DVOA DATA'!$A$1:$AK$35,IF('Solver Model &amp; Output'!$M$3&lt;3,('Solver Model &amp; Output'!$M$3)*2,('Solver Model &amp; Output'!$M$3+1)*2), FALSE)</f>
        <v>1.6E-2</v>
      </c>
      <c r="J49" s="8">
        <f>VLOOKUP(E49,'DVOA DATA'!$A$1:$AK$35,IF('Solver Model &amp; Output'!$M$3&lt;3,(('Solver Model &amp; Output'!$M$3)*2)+1,(('Solver Model &amp; Output'!$M$3+1)*2)+1), FALSE)</f>
        <v>1.4999999999999999E-2</v>
      </c>
      <c r="K49" s="8">
        <f>VLOOKUP(F49,'DVOA DATA'!$A$1:$AK$35,IF('Solver Model &amp; Output'!$M$3&lt;3,(('Solver Model &amp; Output'!$M$3)*2)+1,(('Solver Model &amp; Output'!$M$3+1)*2)+1), FALSE)</f>
        <v>8.8999999999999996E-2</v>
      </c>
      <c r="L49" s="42">
        <f t="shared" si="3"/>
        <v>-7.1000000000000008E-2</v>
      </c>
      <c r="M49" s="42">
        <f t="shared" si="4"/>
        <v>-7.2999999999999995E-2</v>
      </c>
      <c r="N49">
        <f t="shared" si="5"/>
        <v>1.9999999999999879E-3</v>
      </c>
      <c r="O49" t="str">
        <f t="shared" si="1"/>
        <v>WAS</v>
      </c>
      <c r="P49" t="s">
        <v>61</v>
      </c>
      <c r="Q49">
        <f t="shared" si="6"/>
        <v>0</v>
      </c>
    </row>
    <row r="50" spans="1:17">
      <c r="A50">
        <v>2011</v>
      </c>
      <c r="B50">
        <v>4</v>
      </c>
      <c r="C50" s="7" t="str">
        <f t="shared" si="0"/>
        <v>DET</v>
      </c>
      <c r="D50" s="2">
        <f t="shared" si="7"/>
        <v>6.0999999999999992E-2</v>
      </c>
      <c r="E50" t="s">
        <v>63</v>
      </c>
      <c r="F50" t="s">
        <v>61</v>
      </c>
      <c r="H50" s="8">
        <f>VLOOKUP(E50,'DVOA DATA'!$A$1:$AK$35,IF('Solver Model &amp; Output'!$M$3&lt;3,('Solver Model &amp; Output'!$M$3)*2,('Solver Model &amp; Output'!$M$3+1)*2), FALSE)</f>
        <v>5.2999999999999999E-2</v>
      </c>
      <c r="I50" s="8">
        <f>VLOOKUP(F50,'DVOA DATA'!$A$1:$AK$35,IF('Solver Model &amp; Output'!$M$3&lt;3,('Solver Model &amp; Output'!$M$3)*2,('Solver Model &amp; Output'!$M$3+1)*2), FALSE)</f>
        <v>1.6E-2</v>
      </c>
      <c r="J50" s="8">
        <f>VLOOKUP(E50,'DVOA DATA'!$A$1:$AK$35,IF('Solver Model &amp; Output'!$M$3&lt;3,(('Solver Model &amp; Output'!$M$3)*2)+1,(('Solver Model &amp; Output'!$M$3+1)*2)+1), FALSE)</f>
        <v>6.5000000000000002E-2</v>
      </c>
      <c r="K50" s="8">
        <f>VLOOKUP(F50,'DVOA DATA'!$A$1:$AK$35,IF('Solver Model &amp; Output'!$M$3&lt;3,(('Solver Model &amp; Output'!$M$3)*2)+1,(('Solver Model &amp; Output'!$M$3+1)*2)+1), FALSE)</f>
        <v>8.8999999999999996E-2</v>
      </c>
      <c r="L50" s="42">
        <f t="shared" si="3"/>
        <v>-1.2000000000000004E-2</v>
      </c>
      <c r="M50" s="42">
        <f t="shared" si="4"/>
        <v>-7.2999999999999995E-2</v>
      </c>
      <c r="N50">
        <f t="shared" si="5"/>
        <v>6.0999999999999992E-2</v>
      </c>
      <c r="O50" t="str">
        <f t="shared" si="1"/>
        <v>DET</v>
      </c>
      <c r="P50" t="s">
        <v>63</v>
      </c>
      <c r="Q50">
        <f t="shared" si="6"/>
        <v>1</v>
      </c>
    </row>
    <row r="51" spans="1:17">
      <c r="A51">
        <v>2011</v>
      </c>
      <c r="B51">
        <v>4</v>
      </c>
      <c r="C51" s="7" t="str">
        <f t="shared" si="0"/>
        <v>CHI</v>
      </c>
      <c r="D51" s="2">
        <f t="shared" si="7"/>
        <v>0.39600000000000002</v>
      </c>
      <c r="E51" t="s">
        <v>57</v>
      </c>
      <c r="F51" t="s">
        <v>58</v>
      </c>
      <c r="H51" s="8">
        <f>VLOOKUP(E51,'DVOA DATA'!$A$1:$AK$35,IF('Solver Model &amp; Output'!$M$3&lt;3,('Solver Model &amp; Output'!$M$3)*2,('Solver Model &amp; Output'!$M$3+1)*2), FALSE)</f>
        <v>-0.14099999999999999</v>
      </c>
      <c r="I51" s="8">
        <f>VLOOKUP(F51,'DVOA DATA'!$A$1:$AK$35,IF('Solver Model &amp; Output'!$M$3&lt;3,('Solver Model &amp; Output'!$M$3)*2,('Solver Model &amp; Output'!$M$3+1)*2), FALSE)</f>
        <v>-0.06</v>
      </c>
      <c r="J51" s="8">
        <f>VLOOKUP(E51,'DVOA DATA'!$A$1:$AK$35,IF('Solver Model &amp; Output'!$M$3&lt;3,(('Solver Model &amp; Output'!$M$3)*2)+1,(('Solver Model &amp; Output'!$M$3+1)*2)+1), FALSE)</f>
        <v>2.9000000000000001E-2</v>
      </c>
      <c r="K51" s="8">
        <f>VLOOKUP(F51,'DVOA DATA'!$A$1:$AK$35,IF('Solver Model &amp; Output'!$M$3&lt;3,(('Solver Model &amp; Output'!$M$3)*2)+1,(('Solver Model &amp; Output'!$M$3+1)*2)+1), FALSE)</f>
        <v>-8.5999999999999993E-2</v>
      </c>
      <c r="L51" s="42">
        <f t="shared" si="3"/>
        <v>-0.16999999999999998</v>
      </c>
      <c r="M51" s="42">
        <f t="shared" si="4"/>
        <v>2.5999999999999995E-2</v>
      </c>
      <c r="N51">
        <f t="shared" si="5"/>
        <v>-0.19599999999999998</v>
      </c>
      <c r="O51" t="str">
        <f t="shared" si="1"/>
        <v>CHI</v>
      </c>
      <c r="P51" t="s">
        <v>58</v>
      </c>
      <c r="Q51">
        <f t="shared" si="6"/>
        <v>1</v>
      </c>
    </row>
    <row r="52" spans="1:17">
      <c r="A52">
        <v>2011</v>
      </c>
      <c r="B52">
        <v>4</v>
      </c>
      <c r="C52" s="7" t="str">
        <f t="shared" si="0"/>
        <v>NO</v>
      </c>
      <c r="D52" s="2">
        <f t="shared" si="7"/>
        <v>7.9000000000000015E-2</v>
      </c>
      <c r="E52" t="s">
        <v>72</v>
      </c>
      <c r="F52" t="s">
        <v>67</v>
      </c>
      <c r="H52" s="8">
        <f>VLOOKUP(E52,'DVOA DATA'!$A$1:$AK$35,IF('Solver Model &amp; Output'!$M$3&lt;3,('Solver Model &amp; Output'!$M$3)*2,('Solver Model &amp; Output'!$M$3+1)*2), FALSE)</f>
        <v>0.19600000000000001</v>
      </c>
      <c r="I52" s="8">
        <f>VLOOKUP(F52,'DVOA DATA'!$A$1:$AK$35,IF('Solver Model &amp; Output'!$M$3&lt;3,('Solver Model &amp; Output'!$M$3)*2,('Solver Model &amp; Output'!$M$3+1)*2), FALSE)</f>
        <v>4.5999999999999999E-2</v>
      </c>
      <c r="J52" s="8">
        <f>VLOOKUP(E52,'DVOA DATA'!$A$1:$AK$35,IF('Solver Model &amp; Output'!$M$3&lt;3,(('Solver Model &amp; Output'!$M$3)*2)+1,(('Solver Model &amp; Output'!$M$3+1)*2)+1), FALSE)</f>
        <v>0.112</v>
      </c>
      <c r="K52" s="8">
        <f>VLOOKUP(F52,'DVOA DATA'!$A$1:$AK$35,IF('Solver Model &amp; Output'!$M$3&lt;3,(('Solver Model &amp; Output'!$M$3)*2)+1,(('Solver Model &amp; Output'!$M$3+1)*2)+1), FALSE)</f>
        <v>4.1000000000000002E-2</v>
      </c>
      <c r="L52" s="42">
        <f t="shared" si="3"/>
        <v>8.4000000000000005E-2</v>
      </c>
      <c r="M52" s="42">
        <f t="shared" si="4"/>
        <v>4.9999999999999975E-3</v>
      </c>
      <c r="N52">
        <f t="shared" si="5"/>
        <v>7.9000000000000015E-2</v>
      </c>
      <c r="O52" t="str">
        <f t="shared" si="1"/>
        <v>NO</v>
      </c>
      <c r="P52" t="s">
        <v>72</v>
      </c>
      <c r="Q52">
        <f t="shared" si="6"/>
        <v>1</v>
      </c>
    </row>
    <row r="53" spans="1:17">
      <c r="A53">
        <v>2011</v>
      </c>
      <c r="B53">
        <v>4</v>
      </c>
      <c r="C53" s="7" t="str">
        <f t="shared" si="0"/>
        <v>CLE</v>
      </c>
      <c r="D53" s="2">
        <f t="shared" si="7"/>
        <v>0.32500000000000001</v>
      </c>
      <c r="E53" t="s">
        <v>83</v>
      </c>
      <c r="F53" t="s">
        <v>60</v>
      </c>
      <c r="H53" s="8">
        <f>VLOOKUP(E53,'DVOA DATA'!$A$1:$AK$35,IF('Solver Model &amp; Output'!$M$3&lt;3,('Solver Model &amp; Output'!$M$3)*2,('Solver Model &amp; Output'!$M$3+1)*2), FALSE)</f>
        <v>-9.9000000000000005E-2</v>
      </c>
      <c r="I53" s="8">
        <f>VLOOKUP(F53,'DVOA DATA'!$A$1:$AK$35,IF('Solver Model &amp; Output'!$M$3&lt;3,('Solver Model &amp; Output'!$M$3)*2,('Solver Model &amp; Output'!$M$3+1)*2), FALSE)</f>
        <v>-0.03</v>
      </c>
      <c r="J53" s="8">
        <f>VLOOKUP(E53,'DVOA DATA'!$A$1:$AK$35,IF('Solver Model &amp; Output'!$M$3&lt;3,(('Solver Model &amp; Output'!$M$3)*2)+1,(('Solver Model &amp; Output'!$M$3+1)*2)+1), FALSE)</f>
        <v>0.104</v>
      </c>
      <c r="K53" s="8">
        <f>VLOOKUP(F53,'DVOA DATA'!$A$1:$AK$35,IF('Solver Model &amp; Output'!$M$3&lt;3,(('Solver Model &amp; Output'!$M$3)*2)+1,(('Solver Model &amp; Output'!$M$3+1)*2)+1), FALSE)</f>
        <v>4.8000000000000001E-2</v>
      </c>
      <c r="L53" s="42">
        <f t="shared" si="3"/>
        <v>-0.20300000000000001</v>
      </c>
      <c r="M53" s="42">
        <f t="shared" si="4"/>
        <v>-7.8E-2</v>
      </c>
      <c r="N53">
        <f t="shared" si="5"/>
        <v>-0.125</v>
      </c>
      <c r="O53" t="str">
        <f t="shared" si="1"/>
        <v>CLE</v>
      </c>
      <c r="P53" t="s">
        <v>83</v>
      </c>
      <c r="Q53">
        <f t="shared" si="6"/>
        <v>0</v>
      </c>
    </row>
    <row r="54" spans="1:17">
      <c r="A54">
        <v>2011</v>
      </c>
      <c r="B54">
        <v>4</v>
      </c>
      <c r="C54" s="7" t="str">
        <f t="shared" si="0"/>
        <v>BUF</v>
      </c>
      <c r="D54" s="2">
        <f t="shared" si="7"/>
        <v>6.6000000000000003E-2</v>
      </c>
      <c r="E54" t="s">
        <v>56</v>
      </c>
      <c r="F54" t="s">
        <v>59</v>
      </c>
      <c r="H54" s="8">
        <f>VLOOKUP(E54,'DVOA DATA'!$A$1:$AK$35,IF('Solver Model &amp; Output'!$M$3&lt;3,('Solver Model &amp; Output'!$M$3)*2,('Solver Model &amp; Output'!$M$3+1)*2), FALSE)</f>
        <v>-2.7E-2</v>
      </c>
      <c r="I54" s="8">
        <f>VLOOKUP(F54,'DVOA DATA'!$A$1:$AK$35,IF('Solver Model &amp; Output'!$M$3&lt;3,('Solver Model &amp; Output'!$M$3)*2,('Solver Model &amp; Output'!$M$3+1)*2), FALSE)</f>
        <v>-6.3E-2</v>
      </c>
      <c r="J54" s="8">
        <f>VLOOKUP(E54,'DVOA DATA'!$A$1:$AK$35,IF('Solver Model &amp; Output'!$M$3&lt;3,(('Solver Model &amp; Output'!$M$3)*2)+1,(('Solver Model &amp; Output'!$M$3+1)*2)+1), FALSE)</f>
        <v>1.9E-2</v>
      </c>
      <c r="K54" s="8">
        <f>VLOOKUP(F54,'DVOA DATA'!$A$1:$AK$35,IF('Solver Model &amp; Output'!$M$3&lt;3,(('Solver Model &amp; Output'!$M$3)*2)+1,(('Solver Model &amp; Output'!$M$3+1)*2)+1), FALSE)</f>
        <v>4.9000000000000002E-2</v>
      </c>
      <c r="L54" s="42">
        <f t="shared" si="3"/>
        <v>-4.5999999999999999E-2</v>
      </c>
      <c r="M54" s="42">
        <f t="shared" si="4"/>
        <v>-0.112</v>
      </c>
      <c r="N54">
        <f t="shared" si="5"/>
        <v>6.6000000000000003E-2</v>
      </c>
      <c r="O54" t="str">
        <f t="shared" si="1"/>
        <v>BUF</v>
      </c>
      <c r="P54" t="s">
        <v>59</v>
      </c>
      <c r="Q54">
        <f t="shared" si="6"/>
        <v>0</v>
      </c>
    </row>
    <row r="55" spans="1:17">
      <c r="A55">
        <v>2011</v>
      </c>
      <c r="B55">
        <v>4</v>
      </c>
      <c r="C55" s="7" t="str">
        <f t="shared" si="0"/>
        <v>MIN</v>
      </c>
      <c r="D55" s="2">
        <f t="shared" si="7"/>
        <v>0.10699999999999998</v>
      </c>
      <c r="E55" t="s">
        <v>70</v>
      </c>
      <c r="F55" t="s">
        <v>68</v>
      </c>
      <c r="H55" s="8">
        <f>VLOOKUP(E55,'DVOA DATA'!$A$1:$AK$35,IF('Solver Model &amp; Output'!$M$3&lt;3,('Solver Model &amp; Output'!$M$3)*2,('Solver Model &amp; Output'!$M$3+1)*2), FALSE)</f>
        <v>5.7000000000000002E-2</v>
      </c>
      <c r="I55" s="8">
        <f>VLOOKUP(F55,'DVOA DATA'!$A$1:$AK$35,IF('Solver Model &amp; Output'!$M$3&lt;3,('Solver Model &amp; Output'!$M$3)*2,('Solver Model &amp; Output'!$M$3+1)*2), FALSE)</f>
        <v>-4.7E-2</v>
      </c>
      <c r="J55" s="8">
        <f>VLOOKUP(E55,'DVOA DATA'!$A$1:$AK$35,IF('Solver Model &amp; Output'!$M$3&lt;3,(('Solver Model &amp; Output'!$M$3)*2)+1,(('Solver Model &amp; Output'!$M$3+1)*2)+1), FALSE)</f>
        <v>7.0000000000000007E-2</v>
      </c>
      <c r="K55" s="8">
        <f>VLOOKUP(F55,'DVOA DATA'!$A$1:$AK$35,IF('Solver Model &amp; Output'!$M$3&lt;3,(('Solver Model &amp; Output'!$M$3)*2)+1,(('Solver Model &amp; Output'!$M$3+1)*2)+1), FALSE)</f>
        <v>7.2999999999999995E-2</v>
      </c>
      <c r="L55" s="42">
        <f t="shared" si="3"/>
        <v>-1.3000000000000005E-2</v>
      </c>
      <c r="M55" s="42">
        <f t="shared" si="4"/>
        <v>-0.12</v>
      </c>
      <c r="N55">
        <f t="shared" si="5"/>
        <v>0.10699999999999998</v>
      </c>
      <c r="O55" t="str">
        <f t="shared" si="1"/>
        <v>MIN</v>
      </c>
      <c r="P55" t="s">
        <v>68</v>
      </c>
      <c r="Q55">
        <f t="shared" si="6"/>
        <v>0</v>
      </c>
    </row>
    <row r="56" spans="1:17">
      <c r="A56">
        <v>2011</v>
      </c>
      <c r="B56">
        <v>4</v>
      </c>
      <c r="C56" s="7" t="str">
        <f t="shared" si="0"/>
        <v>PHI</v>
      </c>
      <c r="D56" s="2">
        <f t="shared" si="7"/>
        <v>0.48100000000000004</v>
      </c>
      <c r="E56" t="s">
        <v>80</v>
      </c>
      <c r="F56" t="s">
        <v>76</v>
      </c>
      <c r="H56" s="8">
        <f>VLOOKUP(E56,'DVOA DATA'!$A$1:$AK$35,IF('Solver Model &amp; Output'!$M$3&lt;3,('Solver Model &amp; Output'!$M$3)*2,('Solver Model &amp; Output'!$M$3+1)*2), FALSE)</f>
        <v>-5.8999999999999997E-2</v>
      </c>
      <c r="I56" s="8">
        <f>VLOOKUP(F56,'DVOA DATA'!$A$1:$AK$35,IF('Solver Model &amp; Output'!$M$3&lt;3,('Solver Model &amp; Output'!$M$3)*2,('Solver Model &amp; Output'!$M$3+1)*2), FALSE)</f>
        <v>0.123</v>
      </c>
      <c r="J56" s="8">
        <f>VLOOKUP(E56,'DVOA DATA'!$A$1:$AK$35,IF('Solver Model &amp; Output'!$M$3&lt;3,(('Solver Model &amp; Output'!$M$3)*2)+1,(('Solver Model &amp; Output'!$M$3+1)*2)+1), FALSE)</f>
        <v>1.4E-2</v>
      </c>
      <c r="K56" s="8">
        <f>VLOOKUP(F56,'DVOA DATA'!$A$1:$AK$35,IF('Solver Model &amp; Output'!$M$3&lt;3,(('Solver Model &amp; Output'!$M$3)*2)+1,(('Solver Model &amp; Output'!$M$3+1)*2)+1), FALSE)</f>
        <v>-8.5000000000000006E-2</v>
      </c>
      <c r="L56" s="42">
        <f t="shared" si="3"/>
        <v>-7.2999999999999995E-2</v>
      </c>
      <c r="M56" s="42">
        <f t="shared" si="4"/>
        <v>0.20800000000000002</v>
      </c>
      <c r="N56">
        <f t="shared" si="5"/>
        <v>-0.28100000000000003</v>
      </c>
      <c r="O56" t="str">
        <f t="shared" si="1"/>
        <v>PHI</v>
      </c>
      <c r="P56" t="s">
        <v>80</v>
      </c>
      <c r="Q56">
        <f t="shared" si="6"/>
        <v>0</v>
      </c>
    </row>
    <row r="57" spans="1:17">
      <c r="A57">
        <v>2011</v>
      </c>
      <c r="B57">
        <v>4</v>
      </c>
      <c r="C57" s="7" t="str">
        <f t="shared" si="0"/>
        <v>WAS</v>
      </c>
      <c r="D57" s="2">
        <f t="shared" si="7"/>
        <v>3.999999999999998E-2</v>
      </c>
      <c r="E57" t="s">
        <v>84</v>
      </c>
      <c r="F57" t="s">
        <v>81</v>
      </c>
      <c r="H57" s="8">
        <f>VLOOKUP(E57,'DVOA DATA'!$A$1:$AK$35,IF('Solver Model &amp; Output'!$M$3&lt;3,('Solver Model &amp; Output'!$M$3)*2,('Solver Model &amp; Output'!$M$3+1)*2), FALSE)</f>
        <v>-5.6000000000000001E-2</v>
      </c>
      <c r="I57" s="8">
        <f>VLOOKUP(F57,'DVOA DATA'!$A$1:$AK$35,IF('Solver Model &amp; Output'!$M$3&lt;3,('Solver Model &amp; Output'!$M$3)*2,('Solver Model &amp; Output'!$M$3+1)*2), FALSE)</f>
        <v>-0.14799999999999999</v>
      </c>
      <c r="J57" s="8">
        <f>VLOOKUP(E57,'DVOA DATA'!$A$1:$AK$35,IF('Solver Model &amp; Output'!$M$3&lt;3,(('Solver Model &amp; Output'!$M$3)*2)+1,(('Solver Model &amp; Output'!$M$3+1)*2)+1), FALSE)</f>
        <v>1.4999999999999999E-2</v>
      </c>
      <c r="K57" s="8">
        <f>VLOOKUP(F57,'DVOA DATA'!$A$1:$AK$35,IF('Solver Model &amp; Output'!$M$3&lt;3,(('Solver Model &amp; Output'!$M$3)*2)+1,(('Solver Model &amp; Output'!$M$3+1)*2)+1), FALSE)</f>
        <v>-3.6999999999999998E-2</v>
      </c>
      <c r="L57" s="42">
        <f t="shared" si="3"/>
        <v>-7.1000000000000008E-2</v>
      </c>
      <c r="M57" s="42">
        <f t="shared" si="4"/>
        <v>-0.11099999999999999</v>
      </c>
      <c r="N57">
        <f t="shared" si="5"/>
        <v>3.999999999999998E-2</v>
      </c>
      <c r="O57" t="str">
        <f t="shared" si="1"/>
        <v>WAS</v>
      </c>
      <c r="P57" t="s">
        <v>84</v>
      </c>
      <c r="Q57">
        <f t="shared" si="6"/>
        <v>1</v>
      </c>
    </row>
    <row r="58" spans="1:17">
      <c r="A58">
        <v>2011</v>
      </c>
      <c r="B58">
        <v>4</v>
      </c>
      <c r="C58" s="7" t="str">
        <f t="shared" si="0"/>
        <v>PIT</v>
      </c>
      <c r="D58" s="2">
        <f t="shared" si="7"/>
        <v>0.23300000000000004</v>
      </c>
      <c r="E58" t="s">
        <v>77</v>
      </c>
      <c r="F58" t="s">
        <v>65</v>
      </c>
      <c r="H58" s="8">
        <f>VLOOKUP(E58,'DVOA DATA'!$A$1:$AK$35,IF('Solver Model &amp; Output'!$M$3&lt;3,('Solver Model &amp; Output'!$M$3)*2,('Solver Model &amp; Output'!$M$3+1)*2), FALSE)</f>
        <v>0.16900000000000001</v>
      </c>
      <c r="I58" s="8">
        <f>VLOOKUP(F58,'DVOA DATA'!$A$1:$AK$35,IF('Solver Model &amp; Output'!$M$3&lt;3,('Solver Model &amp; Output'!$M$3)*2,('Solver Model &amp; Output'!$M$3+1)*2), FALSE)</f>
        <v>0.2</v>
      </c>
      <c r="J58" s="8">
        <f>VLOOKUP(E58,'DVOA DATA'!$A$1:$AK$35,IF('Solver Model &amp; Output'!$M$3&lt;3,(('Solver Model &amp; Output'!$M$3)*2)+1,(('Solver Model &amp; Output'!$M$3+1)*2)+1), FALSE)</f>
        <v>-0.126</v>
      </c>
      <c r="K58" s="8">
        <f>VLOOKUP(F58,'DVOA DATA'!$A$1:$AK$35,IF('Solver Model &amp; Output'!$M$3&lt;3,(('Solver Model &amp; Output'!$M$3)*2)+1,(('Solver Model &amp; Output'!$M$3+1)*2)+1), FALSE)</f>
        <v>0.13800000000000001</v>
      </c>
      <c r="L58" s="42">
        <f t="shared" si="3"/>
        <v>0.29500000000000004</v>
      </c>
      <c r="M58" s="42">
        <f t="shared" si="4"/>
        <v>6.2E-2</v>
      </c>
      <c r="N58">
        <f t="shared" si="5"/>
        <v>0.23300000000000004</v>
      </c>
      <c r="O58" t="str">
        <f t="shared" si="1"/>
        <v>PIT</v>
      </c>
      <c r="P58" t="s">
        <v>65</v>
      </c>
      <c r="Q58">
        <f t="shared" si="6"/>
        <v>0</v>
      </c>
    </row>
    <row r="59" spans="1:17">
      <c r="A59">
        <v>2011</v>
      </c>
      <c r="B59">
        <v>4</v>
      </c>
      <c r="C59" s="7" t="str">
        <f t="shared" si="0"/>
        <v>ATL</v>
      </c>
      <c r="D59" s="2">
        <f t="shared" si="7"/>
        <v>0.307</v>
      </c>
      <c r="E59" t="s">
        <v>54</v>
      </c>
      <c r="F59" t="s">
        <v>79</v>
      </c>
      <c r="H59" s="8">
        <f>VLOOKUP(E59,'DVOA DATA'!$A$1:$AK$35,IF('Solver Model &amp; Output'!$M$3&lt;3,('Solver Model &amp; Output'!$M$3)*2,('Solver Model &amp; Output'!$M$3+1)*2), FALSE)</f>
        <v>0.13</v>
      </c>
      <c r="I59" s="8">
        <f>VLOOKUP(F59,'DVOA DATA'!$A$1:$AK$35,IF('Solver Model &amp; Output'!$M$3&lt;3,('Solver Model &amp; Output'!$M$3)*2,('Solver Model &amp; Output'!$M$3+1)*2), FALSE)</f>
        <v>-0.23699999999999999</v>
      </c>
      <c r="J59" s="8">
        <f>VLOOKUP(E59,'DVOA DATA'!$A$1:$AK$35,IF('Solver Model &amp; Output'!$M$3&lt;3,(('Solver Model &amp; Output'!$M$3)*2)+1,(('Solver Model &amp; Output'!$M$3+1)*2)+1), FALSE)</f>
        <v>3.5999999999999997E-2</v>
      </c>
      <c r="K59" s="8">
        <f>VLOOKUP(F59,'DVOA DATA'!$A$1:$AK$35,IF('Solver Model &amp; Output'!$M$3&lt;3,(('Solver Model &amp; Output'!$M$3)*2)+1,(('Solver Model &amp; Output'!$M$3+1)*2)+1), FALSE)</f>
        <v>-2.4E-2</v>
      </c>
      <c r="L59" s="42">
        <f t="shared" si="3"/>
        <v>9.4E-2</v>
      </c>
      <c r="M59" s="42">
        <f t="shared" si="4"/>
        <v>-0.21299999999999999</v>
      </c>
      <c r="N59">
        <f t="shared" si="5"/>
        <v>0.307</v>
      </c>
      <c r="O59" t="str">
        <f t="shared" si="1"/>
        <v>ATL</v>
      </c>
      <c r="P59" t="s">
        <v>54</v>
      </c>
      <c r="Q59">
        <f t="shared" si="6"/>
        <v>1</v>
      </c>
    </row>
    <row r="60" spans="1:17">
      <c r="A60">
        <v>2011</v>
      </c>
      <c r="B60">
        <v>4</v>
      </c>
      <c r="C60" s="7" t="str">
        <f t="shared" si="0"/>
        <v>NYG</v>
      </c>
      <c r="D60" s="2">
        <f t="shared" si="7"/>
        <v>0.19800000000000001</v>
      </c>
      <c r="E60" t="s">
        <v>73</v>
      </c>
      <c r="F60" t="s">
        <v>53</v>
      </c>
      <c r="H60" s="8">
        <f>VLOOKUP(E60,'DVOA DATA'!$A$1:$AK$35,IF('Solver Model &amp; Output'!$M$3&lt;3,('Solver Model &amp; Output'!$M$3)*2,('Solver Model &amp; Output'!$M$3+1)*2), FALSE)</f>
        <v>5.8999999999999997E-2</v>
      </c>
      <c r="I60" s="8">
        <f>VLOOKUP(F60,'DVOA DATA'!$A$1:$AK$35,IF('Solver Model &amp; Output'!$M$3&lt;3,('Solver Model &amp; Output'!$M$3)*2,('Solver Model &amp; Output'!$M$3+1)*2), FALSE)</f>
        <v>-4.8000000000000001E-2</v>
      </c>
      <c r="J60" s="8">
        <f>VLOOKUP(E60,'DVOA DATA'!$A$1:$AK$35,IF('Solver Model &amp; Output'!$M$3&lt;3,(('Solver Model &amp; Output'!$M$3)*2)+1,(('Solver Model &amp; Output'!$M$3+1)*2)+1), FALSE)</f>
        <v>1E-3</v>
      </c>
      <c r="K60" s="8">
        <f>VLOOKUP(F60,'DVOA DATA'!$A$1:$AK$35,IF('Solver Model &amp; Output'!$M$3&lt;3,(('Solver Model &amp; Output'!$M$3)*2)+1,(('Solver Model &amp; Output'!$M$3+1)*2)+1), FALSE)</f>
        <v>9.1999999999999998E-2</v>
      </c>
      <c r="L60" s="42">
        <f t="shared" si="3"/>
        <v>5.7999999999999996E-2</v>
      </c>
      <c r="M60" s="42">
        <f t="shared" si="4"/>
        <v>-0.14000000000000001</v>
      </c>
      <c r="N60">
        <f t="shared" si="5"/>
        <v>0.19800000000000001</v>
      </c>
      <c r="O60" t="str">
        <f t="shared" si="1"/>
        <v>NYG</v>
      </c>
      <c r="P60" t="s">
        <v>73</v>
      </c>
      <c r="Q60">
        <f t="shared" si="6"/>
        <v>1</v>
      </c>
    </row>
    <row r="61" spans="1:17">
      <c r="A61">
        <v>2011</v>
      </c>
      <c r="B61">
        <v>4</v>
      </c>
      <c r="C61" s="7" t="str">
        <f t="shared" si="0"/>
        <v>GB</v>
      </c>
      <c r="D61" s="2">
        <f t="shared" si="7"/>
        <v>0.47000000000000003</v>
      </c>
      <c r="E61" t="s">
        <v>62</v>
      </c>
      <c r="F61" t="s">
        <v>64</v>
      </c>
      <c r="H61" s="8">
        <f>VLOOKUP(E61,'DVOA DATA'!$A$1:$AK$35,IF('Solver Model &amp; Output'!$M$3&lt;3,('Solver Model &amp; Output'!$M$3)*2,('Solver Model &amp; Output'!$M$3+1)*2), FALSE)</f>
        <v>-4.2999999999999997E-2</v>
      </c>
      <c r="I61" s="8">
        <f>VLOOKUP(F61,'DVOA DATA'!$A$1:$AK$35,IF('Solver Model &amp; Output'!$M$3&lt;3,('Solver Model &amp; Output'!$M$3)*2,('Solver Model &amp; Output'!$M$3+1)*2), FALSE)</f>
        <v>9.9000000000000005E-2</v>
      </c>
      <c r="J61" s="8">
        <f>VLOOKUP(E61,'DVOA DATA'!$A$1:$AK$35,IF('Solver Model &amp; Output'!$M$3&lt;3,(('Solver Model &amp; Output'!$M$3)*2)+1,(('Solver Model &amp; Output'!$M$3+1)*2)+1), FALSE)</f>
        <v>0.106</v>
      </c>
      <c r="K61" s="8">
        <f>VLOOKUP(F61,'DVOA DATA'!$A$1:$AK$35,IF('Solver Model &amp; Output'!$M$3&lt;3,(('Solver Model &amp; Output'!$M$3)*2)+1,(('Solver Model &amp; Output'!$M$3+1)*2)+1), FALSE)</f>
        <v>-2.1999999999999999E-2</v>
      </c>
      <c r="L61" s="42">
        <f t="shared" si="3"/>
        <v>-0.14899999999999999</v>
      </c>
      <c r="M61" s="42">
        <f t="shared" si="4"/>
        <v>0.121</v>
      </c>
      <c r="N61">
        <f t="shared" si="5"/>
        <v>-0.27</v>
      </c>
      <c r="O61" t="str">
        <f t="shared" si="1"/>
        <v>GB</v>
      </c>
      <c r="P61" t="s">
        <v>64</v>
      </c>
      <c r="Q61">
        <f t="shared" si="6"/>
        <v>1</v>
      </c>
    </row>
    <row r="62" spans="1:17">
      <c r="A62">
        <v>2011</v>
      </c>
      <c r="B62">
        <v>4</v>
      </c>
      <c r="C62" s="7" t="str">
        <f t="shared" si="0"/>
        <v>NE</v>
      </c>
      <c r="D62" s="2">
        <f t="shared" si="7"/>
        <v>0.42400000000000004</v>
      </c>
      <c r="E62" t="s">
        <v>71</v>
      </c>
      <c r="F62" t="s">
        <v>75</v>
      </c>
      <c r="H62" s="8">
        <f>VLOOKUP(E62,'DVOA DATA'!$A$1:$AK$35,IF('Solver Model &amp; Output'!$M$3&lt;3,('Solver Model &amp; Output'!$M$3)*2,('Solver Model &amp; Output'!$M$3+1)*2), FALSE)</f>
        <v>0.309</v>
      </c>
      <c r="I62" s="8">
        <f>VLOOKUP(F62,'DVOA DATA'!$A$1:$AK$35,IF('Solver Model &amp; Output'!$M$3&lt;3,('Solver Model &amp; Output'!$M$3)*2,('Solver Model &amp; Output'!$M$3+1)*2), FALSE)</f>
        <v>-8.6999999999999994E-2</v>
      </c>
      <c r="J62" s="8">
        <f>VLOOKUP(E62,'DVOA DATA'!$A$1:$AK$35,IF('Solver Model &amp; Output'!$M$3&lt;3,(('Solver Model &amp; Output'!$M$3)*2)+1,(('Solver Model &amp; Output'!$M$3+1)*2)+1), FALSE)</f>
        <v>3.6999999999999998E-2</v>
      </c>
      <c r="K62" s="8">
        <f>VLOOKUP(F62,'DVOA DATA'!$A$1:$AK$35,IF('Solver Model &amp; Output'!$M$3&lt;3,(('Solver Model &amp; Output'!$M$3)*2)+1,(('Solver Model &amp; Output'!$M$3+1)*2)+1), FALSE)</f>
        <v>6.5000000000000002E-2</v>
      </c>
      <c r="L62" s="42">
        <f t="shared" si="3"/>
        <v>0.27200000000000002</v>
      </c>
      <c r="M62" s="42">
        <f t="shared" si="4"/>
        <v>-0.152</v>
      </c>
      <c r="N62">
        <f t="shared" si="5"/>
        <v>0.42400000000000004</v>
      </c>
      <c r="O62" t="str">
        <f t="shared" si="1"/>
        <v>NE</v>
      </c>
      <c r="P62" t="s">
        <v>71</v>
      </c>
      <c r="Q62">
        <f t="shared" si="6"/>
        <v>1</v>
      </c>
    </row>
    <row r="63" spans="1:17">
      <c r="A63">
        <v>2011</v>
      </c>
      <c r="B63">
        <v>4</v>
      </c>
      <c r="C63" s="7" t="str">
        <f t="shared" si="0"/>
        <v>SD</v>
      </c>
      <c r="D63" s="2">
        <f t="shared" si="7"/>
        <v>0.32000000000000006</v>
      </c>
      <c r="E63" t="s">
        <v>69</v>
      </c>
      <c r="F63" t="s">
        <v>78</v>
      </c>
      <c r="H63" s="8">
        <f>VLOOKUP(E63,'DVOA DATA'!$A$1:$AK$35,IF('Solver Model &amp; Output'!$M$3&lt;3,('Solver Model &amp; Output'!$M$3)*2,('Solver Model &amp; Output'!$M$3+1)*2), FALSE)</f>
        <v>0.106</v>
      </c>
      <c r="I63" s="8">
        <f>VLOOKUP(F63,'DVOA DATA'!$A$1:$AK$35,IF('Solver Model &amp; Output'!$M$3&lt;3,('Solver Model &amp; Output'!$M$3)*2,('Solver Model &amp; Output'!$M$3+1)*2), FALSE)</f>
        <v>0.32600000000000001</v>
      </c>
      <c r="J63" s="8">
        <f>VLOOKUP(E63,'DVOA DATA'!$A$1:$AK$35,IF('Solver Model &amp; Output'!$M$3&lt;3,(('Solver Model &amp; Output'!$M$3)*2)+1,(('Solver Model &amp; Output'!$M$3+1)*2)+1), FALSE)</f>
        <v>1.7999999999999999E-2</v>
      </c>
      <c r="K63" s="8">
        <f>VLOOKUP(F63,'DVOA DATA'!$A$1:$AK$35,IF('Solver Model &amp; Output'!$M$3&lt;3,(('Solver Model &amp; Output'!$M$3)*2)+1,(('Solver Model &amp; Output'!$M$3+1)*2)+1), FALSE)</f>
        <v>0.11799999999999999</v>
      </c>
      <c r="L63" s="42">
        <f t="shared" si="3"/>
        <v>8.7999999999999995E-2</v>
      </c>
      <c r="M63" s="42">
        <f t="shared" si="4"/>
        <v>0.20800000000000002</v>
      </c>
      <c r="N63">
        <f t="shared" si="5"/>
        <v>-0.12000000000000002</v>
      </c>
      <c r="O63" t="str">
        <f t="shared" si="1"/>
        <v>SD</v>
      </c>
      <c r="P63" t="s">
        <v>78</v>
      </c>
      <c r="Q63">
        <f t="shared" si="6"/>
        <v>1</v>
      </c>
    </row>
    <row r="64" spans="1:17">
      <c r="A64">
        <v>2011</v>
      </c>
      <c r="B64">
        <v>4</v>
      </c>
      <c r="C64" s="7" t="str">
        <f t="shared" si="0"/>
        <v>NYJ</v>
      </c>
      <c r="D64" s="2">
        <f t="shared" si="7"/>
        <v>7.2999999999999982E-2</v>
      </c>
      <c r="E64" t="s">
        <v>74</v>
      </c>
      <c r="F64" t="s">
        <v>55</v>
      </c>
      <c r="H64" s="8">
        <f>VLOOKUP(E64,'DVOA DATA'!$A$1:$AK$35,IF('Solver Model &amp; Output'!$M$3&lt;3,('Solver Model &amp; Output'!$M$3)*2,('Solver Model &amp; Output'!$M$3+1)*2), FALSE)</f>
        <v>-2.8000000000000001E-2</v>
      </c>
      <c r="I64" s="8">
        <f>VLOOKUP(F64,'DVOA DATA'!$A$1:$AK$35,IF('Solver Model &amp; Output'!$M$3&lt;3,('Solver Model &amp; Output'!$M$3)*2,('Solver Model &amp; Output'!$M$3+1)*2), FALSE)</f>
        <v>0.114</v>
      </c>
      <c r="J64" s="8">
        <f>VLOOKUP(E64,'DVOA DATA'!$A$1:$AK$35,IF('Solver Model &amp; Output'!$M$3&lt;3,(('Solver Model &amp; Output'!$M$3)*2)+1,(('Solver Model &amp; Output'!$M$3+1)*2)+1), FALSE)</f>
        <v>-0.20499999999999999</v>
      </c>
      <c r="K64" s="8">
        <f>VLOOKUP(F64,'DVOA DATA'!$A$1:$AK$35,IF('Solver Model &amp; Output'!$M$3&lt;3,(('Solver Model &amp; Output'!$M$3)*2)+1,(('Solver Model &amp; Output'!$M$3+1)*2)+1), FALSE)</f>
        <v>0.01</v>
      </c>
      <c r="L64" s="42">
        <f t="shared" si="3"/>
        <v>0.17699999999999999</v>
      </c>
      <c r="M64" s="42">
        <f t="shared" si="4"/>
        <v>0.10400000000000001</v>
      </c>
      <c r="N64">
        <f t="shared" si="5"/>
        <v>7.2999999999999982E-2</v>
      </c>
      <c r="O64" t="str">
        <f t="shared" si="1"/>
        <v>NYJ</v>
      </c>
      <c r="P64" t="s">
        <v>55</v>
      </c>
      <c r="Q64">
        <f t="shared" si="6"/>
        <v>0</v>
      </c>
    </row>
    <row r="65" spans="1:17">
      <c r="A65">
        <v>2011</v>
      </c>
      <c r="B65">
        <v>4</v>
      </c>
      <c r="C65" s="7" t="str">
        <f t="shared" si="0"/>
        <v>IND</v>
      </c>
      <c r="D65" s="2">
        <f t="shared" si="7"/>
        <v>8.7999999999999995E-2</v>
      </c>
      <c r="E65" t="s">
        <v>66</v>
      </c>
      <c r="F65" t="s">
        <v>82</v>
      </c>
      <c r="H65" s="8">
        <f>VLOOKUP(E65,'DVOA DATA'!$A$1:$AK$35,IF('Solver Model &amp; Output'!$M$3&lt;3,('Solver Model &amp; Output'!$M$3)*2,('Solver Model &amp; Output'!$M$3+1)*2), FALSE)</f>
        <v>0.104</v>
      </c>
      <c r="I65" s="8">
        <f>VLOOKUP(F65,'DVOA DATA'!$A$1:$AK$35,IF('Solver Model &amp; Output'!$M$3&lt;3,('Solver Model &amp; Output'!$M$3)*2,('Solver Model &amp; Output'!$M$3+1)*2), FALSE)</f>
        <v>2.8000000000000001E-2</v>
      </c>
      <c r="J65" s="8">
        <f>VLOOKUP(E65,'DVOA DATA'!$A$1:$AK$35,IF('Solver Model &amp; Output'!$M$3&lt;3,(('Solver Model &amp; Output'!$M$3)*2)+1,(('Solver Model &amp; Output'!$M$3+1)*2)+1), FALSE)</f>
        <v>9.1999999999999998E-2</v>
      </c>
      <c r="K65" s="8">
        <f>VLOOKUP(F65,'DVOA DATA'!$A$1:$AK$35,IF('Solver Model &amp; Output'!$M$3&lt;3,(('Solver Model &amp; Output'!$M$3)*2)+1,(('Solver Model &amp; Output'!$M$3+1)*2)+1), FALSE)</f>
        <v>0.104</v>
      </c>
      <c r="L65" s="42">
        <f t="shared" si="3"/>
        <v>1.1999999999999997E-2</v>
      </c>
      <c r="M65" s="42">
        <f t="shared" si="4"/>
        <v>-7.5999999999999998E-2</v>
      </c>
      <c r="N65">
        <f t="shared" si="5"/>
        <v>8.7999999999999995E-2</v>
      </c>
      <c r="O65" t="str">
        <f t="shared" si="1"/>
        <v>IND</v>
      </c>
      <c r="P65" t="s">
        <v>82</v>
      </c>
      <c r="Q65">
        <f t="shared" si="6"/>
        <v>0</v>
      </c>
    </row>
    <row r="66" spans="1:17">
      <c r="A66">
        <v>2011</v>
      </c>
      <c r="B66">
        <v>5</v>
      </c>
      <c r="C66" s="7" t="str">
        <f t="shared" ref="C66:C129" si="8">IF(N66&gt;0,E66,F66)</f>
        <v>NO</v>
      </c>
      <c r="D66" s="2">
        <f t="shared" si="7"/>
        <v>0.254</v>
      </c>
      <c r="E66" t="s">
        <v>72</v>
      </c>
      <c r="F66" t="s">
        <v>57</v>
      </c>
      <c r="H66" s="8">
        <f>VLOOKUP(E66,'DVOA DATA'!$A$1:$AK$35,IF('Solver Model &amp; Output'!$M$3&lt;3,('Solver Model &amp; Output'!$M$3)*2,('Solver Model &amp; Output'!$M$3+1)*2), FALSE)</f>
        <v>0.19600000000000001</v>
      </c>
      <c r="I66" s="8">
        <f>VLOOKUP(F66,'DVOA DATA'!$A$1:$AK$35,IF('Solver Model &amp; Output'!$M$3&lt;3,('Solver Model &amp; Output'!$M$3)*2,('Solver Model &amp; Output'!$M$3+1)*2), FALSE)</f>
        <v>-0.14099999999999999</v>
      </c>
      <c r="J66" s="8">
        <f>VLOOKUP(E66,'DVOA DATA'!$A$1:$AK$35,IF('Solver Model &amp; Output'!$M$3&lt;3,(('Solver Model &amp; Output'!$M$3)*2)+1,(('Solver Model &amp; Output'!$M$3+1)*2)+1), FALSE)</f>
        <v>0.112</v>
      </c>
      <c r="K66" s="8">
        <f>VLOOKUP(F66,'DVOA DATA'!$A$1:$AK$35,IF('Solver Model &amp; Output'!$M$3&lt;3,(('Solver Model &amp; Output'!$M$3)*2)+1,(('Solver Model &amp; Output'!$M$3+1)*2)+1), FALSE)</f>
        <v>2.9000000000000001E-2</v>
      </c>
      <c r="L66" s="42">
        <f t="shared" si="3"/>
        <v>8.4000000000000005E-2</v>
      </c>
      <c r="M66" s="42">
        <f t="shared" si="4"/>
        <v>-0.16999999999999998</v>
      </c>
      <c r="N66">
        <f t="shared" si="5"/>
        <v>0.254</v>
      </c>
      <c r="O66" t="str">
        <f t="shared" ref="O66:O129" si="9">IF(N66&gt;0,E66,F66)</f>
        <v>NO</v>
      </c>
      <c r="P66" t="s">
        <v>72</v>
      </c>
      <c r="Q66">
        <f t="shared" si="6"/>
        <v>1</v>
      </c>
    </row>
    <row r="67" spans="1:17">
      <c r="A67">
        <v>2011</v>
      </c>
      <c r="B67">
        <v>5</v>
      </c>
      <c r="C67" s="7" t="str">
        <f t="shared" si="8"/>
        <v>PHI</v>
      </c>
      <c r="D67" s="2">
        <f t="shared" si="7"/>
        <v>0.254</v>
      </c>
      <c r="E67" t="s">
        <v>76</v>
      </c>
      <c r="F67" t="s">
        <v>56</v>
      </c>
      <c r="H67" s="8">
        <f>VLOOKUP(E67,'DVOA DATA'!$A$1:$AK$35,IF('Solver Model &amp; Output'!$M$3&lt;3,('Solver Model &amp; Output'!$M$3)*2,('Solver Model &amp; Output'!$M$3+1)*2), FALSE)</f>
        <v>0.123</v>
      </c>
      <c r="I67" s="8">
        <f>VLOOKUP(F67,'DVOA DATA'!$A$1:$AK$35,IF('Solver Model &amp; Output'!$M$3&lt;3,('Solver Model &amp; Output'!$M$3)*2,('Solver Model &amp; Output'!$M$3+1)*2), FALSE)</f>
        <v>-2.7E-2</v>
      </c>
      <c r="J67" s="8">
        <f>VLOOKUP(E67,'DVOA DATA'!$A$1:$AK$35,IF('Solver Model &amp; Output'!$M$3&lt;3,(('Solver Model &amp; Output'!$M$3)*2)+1,(('Solver Model &amp; Output'!$M$3+1)*2)+1), FALSE)</f>
        <v>-8.5000000000000006E-2</v>
      </c>
      <c r="K67" s="8">
        <f>VLOOKUP(F67,'DVOA DATA'!$A$1:$AK$35,IF('Solver Model &amp; Output'!$M$3&lt;3,(('Solver Model &amp; Output'!$M$3)*2)+1,(('Solver Model &amp; Output'!$M$3+1)*2)+1), FALSE)</f>
        <v>1.9E-2</v>
      </c>
      <c r="L67" s="42">
        <f t="shared" ref="L67:L130" si="10">H67-J67</f>
        <v>0.20800000000000002</v>
      </c>
      <c r="M67" s="42">
        <f t="shared" ref="M67:M130" si="11">I67-K67</f>
        <v>-4.5999999999999999E-2</v>
      </c>
      <c r="N67">
        <f t="shared" ref="N67:N130" si="12">L67-M67</f>
        <v>0.254</v>
      </c>
      <c r="O67" t="str">
        <f t="shared" si="9"/>
        <v>PHI</v>
      </c>
      <c r="P67" t="s">
        <v>56</v>
      </c>
      <c r="Q67">
        <f t="shared" ref="Q67:Q130" si="13">IF(O67=P67,1,0)</f>
        <v>0</v>
      </c>
    </row>
    <row r="68" spans="1:17">
      <c r="A68">
        <v>2011</v>
      </c>
      <c r="B68">
        <v>5</v>
      </c>
      <c r="C68" s="7" t="str">
        <f t="shared" si="8"/>
        <v>NYG</v>
      </c>
      <c r="D68" s="2">
        <f t="shared" si="7"/>
        <v>0.47100000000000003</v>
      </c>
      <c r="E68" t="s">
        <v>79</v>
      </c>
      <c r="F68" t="s">
        <v>73</v>
      </c>
      <c r="H68" s="8">
        <f>VLOOKUP(E68,'DVOA DATA'!$A$1:$AK$35,IF('Solver Model &amp; Output'!$M$3&lt;3,('Solver Model &amp; Output'!$M$3)*2,('Solver Model &amp; Output'!$M$3+1)*2), FALSE)</f>
        <v>-0.23699999999999999</v>
      </c>
      <c r="I68" s="8">
        <f>VLOOKUP(F68,'DVOA DATA'!$A$1:$AK$35,IF('Solver Model &amp; Output'!$M$3&lt;3,('Solver Model &amp; Output'!$M$3)*2,('Solver Model &amp; Output'!$M$3+1)*2), FALSE)</f>
        <v>5.8999999999999997E-2</v>
      </c>
      <c r="J68" s="8">
        <f>VLOOKUP(E68,'DVOA DATA'!$A$1:$AK$35,IF('Solver Model &amp; Output'!$M$3&lt;3,(('Solver Model &amp; Output'!$M$3)*2)+1,(('Solver Model &amp; Output'!$M$3+1)*2)+1), FALSE)</f>
        <v>-2.4E-2</v>
      </c>
      <c r="K68" s="8">
        <f>VLOOKUP(F68,'DVOA DATA'!$A$1:$AK$35,IF('Solver Model &amp; Output'!$M$3&lt;3,(('Solver Model &amp; Output'!$M$3)*2)+1,(('Solver Model &amp; Output'!$M$3+1)*2)+1), FALSE)</f>
        <v>1E-3</v>
      </c>
      <c r="L68" s="42">
        <f t="shared" si="10"/>
        <v>-0.21299999999999999</v>
      </c>
      <c r="M68" s="42">
        <f t="shared" si="11"/>
        <v>5.7999999999999996E-2</v>
      </c>
      <c r="N68">
        <f t="shared" si="12"/>
        <v>-0.27100000000000002</v>
      </c>
      <c r="O68" t="str">
        <f t="shared" si="9"/>
        <v>NYG</v>
      </c>
      <c r="P68" t="s">
        <v>79</v>
      </c>
      <c r="Q68">
        <f t="shared" si="13"/>
        <v>0</v>
      </c>
    </row>
    <row r="69" spans="1:17">
      <c r="A69">
        <v>2011</v>
      </c>
      <c r="B69">
        <v>5</v>
      </c>
      <c r="C69" s="7" t="str">
        <f t="shared" si="8"/>
        <v>JAC</v>
      </c>
      <c r="D69" s="2">
        <f t="shared" si="7"/>
        <v>0.317</v>
      </c>
      <c r="E69" t="s">
        <v>59</v>
      </c>
      <c r="F69" t="s">
        <v>67</v>
      </c>
      <c r="H69" s="8">
        <f>VLOOKUP(E69,'DVOA DATA'!$A$1:$AK$35,IF('Solver Model &amp; Output'!$M$3&lt;3,('Solver Model &amp; Output'!$M$3)*2,('Solver Model &amp; Output'!$M$3+1)*2), FALSE)</f>
        <v>-6.3E-2</v>
      </c>
      <c r="I69" s="8">
        <f>VLOOKUP(F69,'DVOA DATA'!$A$1:$AK$35,IF('Solver Model &amp; Output'!$M$3&lt;3,('Solver Model &amp; Output'!$M$3)*2,('Solver Model &amp; Output'!$M$3+1)*2), FALSE)</f>
        <v>4.5999999999999999E-2</v>
      </c>
      <c r="J69" s="8">
        <f>VLOOKUP(E69,'DVOA DATA'!$A$1:$AK$35,IF('Solver Model &amp; Output'!$M$3&lt;3,(('Solver Model &amp; Output'!$M$3)*2)+1,(('Solver Model &amp; Output'!$M$3+1)*2)+1), FALSE)</f>
        <v>4.9000000000000002E-2</v>
      </c>
      <c r="K69" s="8">
        <f>VLOOKUP(F69,'DVOA DATA'!$A$1:$AK$35,IF('Solver Model &amp; Output'!$M$3&lt;3,(('Solver Model &amp; Output'!$M$3)*2)+1,(('Solver Model &amp; Output'!$M$3+1)*2)+1), FALSE)</f>
        <v>4.1000000000000002E-2</v>
      </c>
      <c r="L69" s="42">
        <f t="shared" si="10"/>
        <v>-0.112</v>
      </c>
      <c r="M69" s="42">
        <f t="shared" si="11"/>
        <v>4.9999999999999975E-3</v>
      </c>
      <c r="N69">
        <f t="shared" si="12"/>
        <v>-0.11699999999999999</v>
      </c>
      <c r="O69" t="str">
        <f t="shared" si="9"/>
        <v>JAC</v>
      </c>
      <c r="P69" t="s">
        <v>59</v>
      </c>
      <c r="Q69">
        <f t="shared" si="13"/>
        <v>0</v>
      </c>
    </row>
    <row r="70" spans="1:17">
      <c r="A70">
        <v>2011</v>
      </c>
      <c r="B70">
        <v>5</v>
      </c>
      <c r="C70" s="7" t="str">
        <f t="shared" si="8"/>
        <v>IND</v>
      </c>
      <c r="D70" s="2">
        <f t="shared" si="7"/>
        <v>0.33200000000000002</v>
      </c>
      <c r="E70" t="s">
        <v>68</v>
      </c>
      <c r="F70" t="s">
        <v>66</v>
      </c>
      <c r="H70" s="8">
        <f>VLOOKUP(E70,'DVOA DATA'!$A$1:$AK$35,IF('Solver Model &amp; Output'!$M$3&lt;3,('Solver Model &amp; Output'!$M$3)*2,('Solver Model &amp; Output'!$M$3+1)*2), FALSE)</f>
        <v>-4.7E-2</v>
      </c>
      <c r="I70" s="8">
        <f>VLOOKUP(F70,'DVOA DATA'!$A$1:$AK$35,IF('Solver Model &amp; Output'!$M$3&lt;3,('Solver Model &amp; Output'!$M$3)*2,('Solver Model &amp; Output'!$M$3+1)*2), FALSE)</f>
        <v>0.104</v>
      </c>
      <c r="J70" s="8">
        <f>VLOOKUP(E70,'DVOA DATA'!$A$1:$AK$35,IF('Solver Model &amp; Output'!$M$3&lt;3,(('Solver Model &amp; Output'!$M$3)*2)+1,(('Solver Model &amp; Output'!$M$3+1)*2)+1), FALSE)</f>
        <v>7.2999999999999995E-2</v>
      </c>
      <c r="K70" s="8">
        <f>VLOOKUP(F70,'DVOA DATA'!$A$1:$AK$35,IF('Solver Model &amp; Output'!$M$3&lt;3,(('Solver Model &amp; Output'!$M$3)*2)+1,(('Solver Model &amp; Output'!$M$3+1)*2)+1), FALSE)</f>
        <v>9.1999999999999998E-2</v>
      </c>
      <c r="L70" s="42">
        <f t="shared" si="10"/>
        <v>-0.12</v>
      </c>
      <c r="M70" s="42">
        <f t="shared" si="11"/>
        <v>1.1999999999999997E-2</v>
      </c>
      <c r="N70">
        <f t="shared" si="12"/>
        <v>-0.13200000000000001</v>
      </c>
      <c r="O70" t="str">
        <f t="shared" si="9"/>
        <v>IND</v>
      </c>
      <c r="P70" t="s">
        <v>68</v>
      </c>
      <c r="Q70">
        <f t="shared" si="13"/>
        <v>0</v>
      </c>
    </row>
    <row r="71" spans="1:17">
      <c r="A71">
        <v>2011</v>
      </c>
      <c r="B71">
        <v>5</v>
      </c>
      <c r="C71" s="7" t="str">
        <f t="shared" si="8"/>
        <v>PIT</v>
      </c>
      <c r="D71" s="2">
        <f t="shared" ref="D71:D134" si="14">ABS(L71-M71)+IF(C71=F71,0.2,0)</f>
        <v>0.69800000000000006</v>
      </c>
      <c r="E71" t="s">
        <v>83</v>
      </c>
      <c r="F71" t="s">
        <v>77</v>
      </c>
      <c r="H71" s="8">
        <f>VLOOKUP(E71,'DVOA DATA'!$A$1:$AK$35,IF('Solver Model &amp; Output'!$M$3&lt;3,('Solver Model &amp; Output'!$M$3)*2,('Solver Model &amp; Output'!$M$3+1)*2), FALSE)</f>
        <v>-9.9000000000000005E-2</v>
      </c>
      <c r="I71" s="8">
        <f>VLOOKUP(F71,'DVOA DATA'!$A$1:$AK$35,IF('Solver Model &amp; Output'!$M$3&lt;3,('Solver Model &amp; Output'!$M$3)*2,('Solver Model &amp; Output'!$M$3+1)*2), FALSE)</f>
        <v>0.16900000000000001</v>
      </c>
      <c r="J71" s="8">
        <f>VLOOKUP(E71,'DVOA DATA'!$A$1:$AK$35,IF('Solver Model &amp; Output'!$M$3&lt;3,(('Solver Model &amp; Output'!$M$3)*2)+1,(('Solver Model &amp; Output'!$M$3+1)*2)+1), FALSE)</f>
        <v>0.104</v>
      </c>
      <c r="K71" s="8">
        <f>VLOOKUP(F71,'DVOA DATA'!$A$1:$AK$35,IF('Solver Model &amp; Output'!$M$3&lt;3,(('Solver Model &amp; Output'!$M$3)*2)+1,(('Solver Model &amp; Output'!$M$3+1)*2)+1), FALSE)</f>
        <v>-0.126</v>
      </c>
      <c r="L71" s="42">
        <f t="shared" si="10"/>
        <v>-0.20300000000000001</v>
      </c>
      <c r="M71" s="42">
        <f t="shared" si="11"/>
        <v>0.29500000000000004</v>
      </c>
      <c r="N71">
        <f t="shared" si="12"/>
        <v>-0.49800000000000005</v>
      </c>
      <c r="O71" t="str">
        <f t="shared" si="9"/>
        <v>PIT</v>
      </c>
      <c r="P71" t="s">
        <v>77</v>
      </c>
      <c r="Q71">
        <f t="shared" si="13"/>
        <v>1</v>
      </c>
    </row>
    <row r="72" spans="1:17">
      <c r="A72">
        <v>2011</v>
      </c>
      <c r="B72">
        <v>5</v>
      </c>
      <c r="C72" s="7" t="str">
        <f t="shared" si="8"/>
        <v>MIN</v>
      </c>
      <c r="D72" s="2">
        <f t="shared" si="14"/>
        <v>0.32700000000000001</v>
      </c>
      <c r="E72" t="s">
        <v>53</v>
      </c>
      <c r="F72" t="s">
        <v>70</v>
      </c>
      <c r="H72" s="8">
        <f>VLOOKUP(E72,'DVOA DATA'!$A$1:$AK$35,IF('Solver Model &amp; Output'!$M$3&lt;3,('Solver Model &amp; Output'!$M$3)*2,('Solver Model &amp; Output'!$M$3+1)*2), FALSE)</f>
        <v>-4.8000000000000001E-2</v>
      </c>
      <c r="I72" s="8">
        <f>VLOOKUP(F72,'DVOA DATA'!$A$1:$AK$35,IF('Solver Model &amp; Output'!$M$3&lt;3,('Solver Model &amp; Output'!$M$3)*2,('Solver Model &amp; Output'!$M$3+1)*2), FALSE)</f>
        <v>5.7000000000000002E-2</v>
      </c>
      <c r="J72" s="8">
        <f>VLOOKUP(E72,'DVOA DATA'!$A$1:$AK$35,IF('Solver Model &amp; Output'!$M$3&lt;3,(('Solver Model &amp; Output'!$M$3)*2)+1,(('Solver Model &amp; Output'!$M$3+1)*2)+1), FALSE)</f>
        <v>9.1999999999999998E-2</v>
      </c>
      <c r="K72" s="8">
        <f>VLOOKUP(F72,'DVOA DATA'!$A$1:$AK$35,IF('Solver Model &amp; Output'!$M$3&lt;3,(('Solver Model &amp; Output'!$M$3)*2)+1,(('Solver Model &amp; Output'!$M$3+1)*2)+1), FALSE)</f>
        <v>7.0000000000000007E-2</v>
      </c>
      <c r="L72" s="42">
        <f t="shared" si="10"/>
        <v>-0.14000000000000001</v>
      </c>
      <c r="M72" s="42">
        <f t="shared" si="11"/>
        <v>-1.3000000000000005E-2</v>
      </c>
      <c r="N72">
        <f t="shared" si="12"/>
        <v>-0.127</v>
      </c>
      <c r="O72" t="str">
        <f t="shared" si="9"/>
        <v>MIN</v>
      </c>
      <c r="P72" t="s">
        <v>70</v>
      </c>
      <c r="Q72">
        <f t="shared" si="13"/>
        <v>1</v>
      </c>
    </row>
    <row r="73" spans="1:17">
      <c r="A73">
        <v>2011</v>
      </c>
      <c r="B73">
        <v>5</v>
      </c>
      <c r="C73" s="7" t="str">
        <f t="shared" si="8"/>
        <v>HOU</v>
      </c>
      <c r="D73" s="2">
        <f t="shared" si="14"/>
        <v>0.41400000000000003</v>
      </c>
      <c r="E73" t="s">
        <v>75</v>
      </c>
      <c r="F73" t="s">
        <v>65</v>
      </c>
      <c r="H73" s="8">
        <f>VLOOKUP(E73,'DVOA DATA'!$A$1:$AK$35,IF('Solver Model &amp; Output'!$M$3&lt;3,('Solver Model &amp; Output'!$M$3)*2,('Solver Model &amp; Output'!$M$3+1)*2), FALSE)</f>
        <v>-8.6999999999999994E-2</v>
      </c>
      <c r="I73" s="8">
        <f>VLOOKUP(F73,'DVOA DATA'!$A$1:$AK$35,IF('Solver Model &amp; Output'!$M$3&lt;3,('Solver Model &amp; Output'!$M$3)*2,('Solver Model &amp; Output'!$M$3+1)*2), FALSE)</f>
        <v>0.2</v>
      </c>
      <c r="J73" s="8">
        <f>VLOOKUP(E73,'DVOA DATA'!$A$1:$AK$35,IF('Solver Model &amp; Output'!$M$3&lt;3,(('Solver Model &amp; Output'!$M$3)*2)+1,(('Solver Model &amp; Output'!$M$3+1)*2)+1), FALSE)</f>
        <v>6.5000000000000002E-2</v>
      </c>
      <c r="K73" s="8">
        <f>VLOOKUP(F73,'DVOA DATA'!$A$1:$AK$35,IF('Solver Model &amp; Output'!$M$3&lt;3,(('Solver Model &amp; Output'!$M$3)*2)+1,(('Solver Model &amp; Output'!$M$3+1)*2)+1), FALSE)</f>
        <v>0.13800000000000001</v>
      </c>
      <c r="L73" s="42">
        <f t="shared" si="10"/>
        <v>-0.152</v>
      </c>
      <c r="M73" s="42">
        <f t="shared" si="11"/>
        <v>6.2E-2</v>
      </c>
      <c r="N73">
        <f t="shared" si="12"/>
        <v>-0.214</v>
      </c>
      <c r="O73" t="str">
        <f t="shared" si="9"/>
        <v>HOU</v>
      </c>
      <c r="P73" t="s">
        <v>75</v>
      </c>
      <c r="Q73">
        <f t="shared" si="13"/>
        <v>0</v>
      </c>
    </row>
    <row r="74" spans="1:17">
      <c r="A74">
        <v>2011</v>
      </c>
      <c r="B74">
        <v>5</v>
      </c>
      <c r="C74" s="7" t="str">
        <f t="shared" si="8"/>
        <v>SF</v>
      </c>
      <c r="D74" s="2">
        <f t="shared" si="14"/>
        <v>0.20300000000000001</v>
      </c>
      <c r="E74" t="s">
        <v>82</v>
      </c>
      <c r="F74" t="s">
        <v>80</v>
      </c>
      <c r="H74" s="8">
        <f>VLOOKUP(E74,'DVOA DATA'!$A$1:$AK$35,IF('Solver Model &amp; Output'!$M$3&lt;3,('Solver Model &amp; Output'!$M$3)*2,('Solver Model &amp; Output'!$M$3+1)*2), FALSE)</f>
        <v>2.8000000000000001E-2</v>
      </c>
      <c r="I74" s="8">
        <f>VLOOKUP(F74,'DVOA DATA'!$A$1:$AK$35,IF('Solver Model &amp; Output'!$M$3&lt;3,('Solver Model &amp; Output'!$M$3)*2,('Solver Model &amp; Output'!$M$3+1)*2), FALSE)</f>
        <v>-5.8999999999999997E-2</v>
      </c>
      <c r="J74" s="8">
        <f>VLOOKUP(E74,'DVOA DATA'!$A$1:$AK$35,IF('Solver Model &amp; Output'!$M$3&lt;3,(('Solver Model &amp; Output'!$M$3)*2)+1,(('Solver Model &amp; Output'!$M$3+1)*2)+1), FALSE)</f>
        <v>0.104</v>
      </c>
      <c r="K74" s="8">
        <f>VLOOKUP(F74,'DVOA DATA'!$A$1:$AK$35,IF('Solver Model &amp; Output'!$M$3&lt;3,(('Solver Model &amp; Output'!$M$3)*2)+1,(('Solver Model &amp; Output'!$M$3+1)*2)+1), FALSE)</f>
        <v>1.4E-2</v>
      </c>
      <c r="L74" s="42">
        <f t="shared" si="10"/>
        <v>-7.5999999999999998E-2</v>
      </c>
      <c r="M74" s="42">
        <f t="shared" si="11"/>
        <v>-7.2999999999999995E-2</v>
      </c>
      <c r="N74">
        <f t="shared" si="12"/>
        <v>-3.0000000000000027E-3</v>
      </c>
      <c r="O74" t="str">
        <f t="shared" si="9"/>
        <v>SF</v>
      </c>
      <c r="P74" t="s">
        <v>80</v>
      </c>
      <c r="Q74">
        <f t="shared" si="13"/>
        <v>1</v>
      </c>
    </row>
    <row r="75" spans="1:17">
      <c r="A75">
        <v>2011</v>
      </c>
      <c r="B75">
        <v>5</v>
      </c>
      <c r="C75" s="7" t="str">
        <f t="shared" si="8"/>
        <v>NE</v>
      </c>
      <c r="D75" s="2">
        <f t="shared" si="14"/>
        <v>0.29500000000000004</v>
      </c>
      <c r="E75" t="s">
        <v>74</v>
      </c>
      <c r="F75" t="s">
        <v>71</v>
      </c>
      <c r="H75" s="8">
        <f>VLOOKUP(E75,'DVOA DATA'!$A$1:$AK$35,IF('Solver Model &amp; Output'!$M$3&lt;3,('Solver Model &amp; Output'!$M$3)*2,('Solver Model &amp; Output'!$M$3+1)*2), FALSE)</f>
        <v>-2.8000000000000001E-2</v>
      </c>
      <c r="I75" s="8">
        <f>VLOOKUP(F75,'DVOA DATA'!$A$1:$AK$35,IF('Solver Model &amp; Output'!$M$3&lt;3,('Solver Model &amp; Output'!$M$3)*2,('Solver Model &amp; Output'!$M$3+1)*2), FALSE)</f>
        <v>0.309</v>
      </c>
      <c r="J75" s="8">
        <f>VLOOKUP(E75,'DVOA DATA'!$A$1:$AK$35,IF('Solver Model &amp; Output'!$M$3&lt;3,(('Solver Model &amp; Output'!$M$3)*2)+1,(('Solver Model &amp; Output'!$M$3+1)*2)+1), FALSE)</f>
        <v>-0.20499999999999999</v>
      </c>
      <c r="K75" s="8">
        <f>VLOOKUP(F75,'DVOA DATA'!$A$1:$AK$35,IF('Solver Model &amp; Output'!$M$3&lt;3,(('Solver Model &amp; Output'!$M$3)*2)+1,(('Solver Model &amp; Output'!$M$3+1)*2)+1), FALSE)</f>
        <v>3.6999999999999998E-2</v>
      </c>
      <c r="L75" s="42">
        <f t="shared" si="10"/>
        <v>0.17699999999999999</v>
      </c>
      <c r="M75" s="42">
        <f t="shared" si="11"/>
        <v>0.27200000000000002</v>
      </c>
      <c r="N75">
        <f t="shared" si="12"/>
        <v>-9.5000000000000029E-2</v>
      </c>
      <c r="O75" t="str">
        <f t="shared" si="9"/>
        <v>NE</v>
      </c>
      <c r="P75" t="s">
        <v>71</v>
      </c>
      <c r="Q75">
        <f t="shared" si="13"/>
        <v>1</v>
      </c>
    </row>
    <row r="76" spans="1:17">
      <c r="A76">
        <v>2011</v>
      </c>
      <c r="B76">
        <v>5</v>
      </c>
      <c r="C76" s="7" t="str">
        <f t="shared" si="8"/>
        <v>SD</v>
      </c>
      <c r="D76" s="2">
        <f t="shared" si="14"/>
        <v>0.35699999999999998</v>
      </c>
      <c r="E76" t="s">
        <v>78</v>
      </c>
      <c r="F76" t="s">
        <v>62</v>
      </c>
      <c r="H76" s="8">
        <f>VLOOKUP(E76,'DVOA DATA'!$A$1:$AK$35,IF('Solver Model &amp; Output'!$M$3&lt;3,('Solver Model &amp; Output'!$M$3)*2,('Solver Model &amp; Output'!$M$3+1)*2), FALSE)</f>
        <v>0.32600000000000001</v>
      </c>
      <c r="I76" s="8">
        <f>VLOOKUP(F76,'DVOA DATA'!$A$1:$AK$35,IF('Solver Model &amp; Output'!$M$3&lt;3,('Solver Model &amp; Output'!$M$3)*2,('Solver Model &amp; Output'!$M$3+1)*2), FALSE)</f>
        <v>-4.2999999999999997E-2</v>
      </c>
      <c r="J76" s="8">
        <f>VLOOKUP(E76,'DVOA DATA'!$A$1:$AK$35,IF('Solver Model &amp; Output'!$M$3&lt;3,(('Solver Model &amp; Output'!$M$3)*2)+1,(('Solver Model &amp; Output'!$M$3+1)*2)+1), FALSE)</f>
        <v>0.11799999999999999</v>
      </c>
      <c r="K76" s="8">
        <f>VLOOKUP(F76,'DVOA DATA'!$A$1:$AK$35,IF('Solver Model &amp; Output'!$M$3&lt;3,(('Solver Model &amp; Output'!$M$3)*2)+1,(('Solver Model &amp; Output'!$M$3+1)*2)+1), FALSE)</f>
        <v>0.106</v>
      </c>
      <c r="L76" s="42">
        <f t="shared" si="10"/>
        <v>0.20800000000000002</v>
      </c>
      <c r="M76" s="42">
        <f t="shared" si="11"/>
        <v>-0.14899999999999999</v>
      </c>
      <c r="N76">
        <f t="shared" si="12"/>
        <v>0.35699999999999998</v>
      </c>
      <c r="O76" t="str">
        <f t="shared" si="9"/>
        <v>SD</v>
      </c>
      <c r="P76" t="s">
        <v>78</v>
      </c>
      <c r="Q76">
        <f t="shared" si="13"/>
        <v>1</v>
      </c>
    </row>
    <row r="77" spans="1:17">
      <c r="A77">
        <v>2011</v>
      </c>
      <c r="B77">
        <v>5</v>
      </c>
      <c r="C77" s="7" t="str">
        <f t="shared" si="8"/>
        <v>GB</v>
      </c>
      <c r="D77" s="2">
        <f t="shared" si="14"/>
        <v>2.6999999999999996E-2</v>
      </c>
      <c r="E77" t="s">
        <v>64</v>
      </c>
      <c r="F77" t="s">
        <v>54</v>
      </c>
      <c r="H77" s="8">
        <f>VLOOKUP(E77,'DVOA DATA'!$A$1:$AK$35,IF('Solver Model &amp; Output'!$M$3&lt;3,('Solver Model &amp; Output'!$M$3)*2,('Solver Model &amp; Output'!$M$3+1)*2), FALSE)</f>
        <v>9.9000000000000005E-2</v>
      </c>
      <c r="I77" s="8">
        <f>VLOOKUP(F77,'DVOA DATA'!$A$1:$AK$35,IF('Solver Model &amp; Output'!$M$3&lt;3,('Solver Model &amp; Output'!$M$3)*2,('Solver Model &amp; Output'!$M$3+1)*2), FALSE)</f>
        <v>0.13</v>
      </c>
      <c r="J77" s="8">
        <f>VLOOKUP(E77,'DVOA DATA'!$A$1:$AK$35,IF('Solver Model &amp; Output'!$M$3&lt;3,(('Solver Model &amp; Output'!$M$3)*2)+1,(('Solver Model &amp; Output'!$M$3+1)*2)+1), FALSE)</f>
        <v>-2.1999999999999999E-2</v>
      </c>
      <c r="K77" s="8">
        <f>VLOOKUP(F77,'DVOA DATA'!$A$1:$AK$35,IF('Solver Model &amp; Output'!$M$3&lt;3,(('Solver Model &amp; Output'!$M$3)*2)+1,(('Solver Model &amp; Output'!$M$3+1)*2)+1), FALSE)</f>
        <v>3.5999999999999997E-2</v>
      </c>
      <c r="L77" s="42">
        <f t="shared" si="10"/>
        <v>0.121</v>
      </c>
      <c r="M77" s="42">
        <f t="shared" si="11"/>
        <v>9.4E-2</v>
      </c>
      <c r="N77">
        <f t="shared" si="12"/>
        <v>2.6999999999999996E-2</v>
      </c>
      <c r="O77" t="str">
        <f t="shared" si="9"/>
        <v>GB</v>
      </c>
      <c r="P77" t="s">
        <v>64</v>
      </c>
      <c r="Q77">
        <f t="shared" si="13"/>
        <v>1</v>
      </c>
    </row>
    <row r="78" spans="1:17">
      <c r="A78">
        <v>2011</v>
      </c>
      <c r="B78">
        <v>5</v>
      </c>
      <c r="C78" s="7" t="str">
        <f t="shared" si="8"/>
        <v>CHI</v>
      </c>
      <c r="D78" s="2">
        <f t="shared" si="14"/>
        <v>3.7999999999999999E-2</v>
      </c>
      <c r="E78" t="s">
        <v>58</v>
      </c>
      <c r="F78" t="s">
        <v>63</v>
      </c>
      <c r="H78" s="8">
        <f>VLOOKUP(E78,'DVOA DATA'!$A$1:$AK$35,IF('Solver Model &amp; Output'!$M$3&lt;3,('Solver Model &amp; Output'!$M$3)*2,('Solver Model &amp; Output'!$M$3+1)*2), FALSE)</f>
        <v>-0.06</v>
      </c>
      <c r="I78" s="8">
        <f>VLOOKUP(F78,'DVOA DATA'!$A$1:$AK$35,IF('Solver Model &amp; Output'!$M$3&lt;3,('Solver Model &amp; Output'!$M$3)*2,('Solver Model &amp; Output'!$M$3+1)*2), FALSE)</f>
        <v>5.2999999999999999E-2</v>
      </c>
      <c r="J78" s="8">
        <f>VLOOKUP(E78,'DVOA DATA'!$A$1:$AK$35,IF('Solver Model &amp; Output'!$M$3&lt;3,(('Solver Model &amp; Output'!$M$3)*2)+1,(('Solver Model &amp; Output'!$M$3+1)*2)+1), FALSE)</f>
        <v>-8.5999999999999993E-2</v>
      </c>
      <c r="K78" s="8">
        <f>VLOOKUP(F78,'DVOA DATA'!$A$1:$AK$35,IF('Solver Model &amp; Output'!$M$3&lt;3,(('Solver Model &amp; Output'!$M$3)*2)+1,(('Solver Model &amp; Output'!$M$3+1)*2)+1), FALSE)</f>
        <v>6.5000000000000002E-2</v>
      </c>
      <c r="L78" s="42">
        <f t="shared" si="10"/>
        <v>2.5999999999999995E-2</v>
      </c>
      <c r="M78" s="42">
        <f t="shared" si="11"/>
        <v>-1.2000000000000004E-2</v>
      </c>
      <c r="N78">
        <f t="shared" si="12"/>
        <v>3.7999999999999999E-2</v>
      </c>
      <c r="O78" t="str">
        <f t="shared" si="9"/>
        <v>CHI</v>
      </c>
      <c r="P78" t="s">
        <v>63</v>
      </c>
      <c r="Q78">
        <f t="shared" si="13"/>
        <v>0</v>
      </c>
    </row>
    <row r="79" spans="1:17">
      <c r="A79">
        <v>2011</v>
      </c>
      <c r="B79">
        <v>6</v>
      </c>
      <c r="C79" s="7" t="str">
        <f t="shared" si="8"/>
        <v>ATL</v>
      </c>
      <c r="D79" s="2">
        <f t="shared" si="14"/>
        <v>0.46400000000000002</v>
      </c>
      <c r="E79" t="s">
        <v>57</v>
      </c>
      <c r="F79" t="s">
        <v>54</v>
      </c>
      <c r="H79" s="8">
        <f>VLOOKUP(E79,'DVOA DATA'!$A$1:$AK$35,IF('Solver Model &amp; Output'!$M$3&lt;3,('Solver Model &amp; Output'!$M$3)*2,('Solver Model &amp; Output'!$M$3+1)*2), FALSE)</f>
        <v>-0.14099999999999999</v>
      </c>
      <c r="I79" s="8">
        <f>VLOOKUP(F79,'DVOA DATA'!$A$1:$AK$35,IF('Solver Model &amp; Output'!$M$3&lt;3,('Solver Model &amp; Output'!$M$3)*2,('Solver Model &amp; Output'!$M$3+1)*2), FALSE)</f>
        <v>0.13</v>
      </c>
      <c r="J79" s="8">
        <f>VLOOKUP(E79,'DVOA DATA'!$A$1:$AK$35,IF('Solver Model &amp; Output'!$M$3&lt;3,(('Solver Model &amp; Output'!$M$3)*2)+1,(('Solver Model &amp; Output'!$M$3+1)*2)+1), FALSE)</f>
        <v>2.9000000000000001E-2</v>
      </c>
      <c r="K79" s="8">
        <f>VLOOKUP(F79,'DVOA DATA'!$A$1:$AK$35,IF('Solver Model &amp; Output'!$M$3&lt;3,(('Solver Model &amp; Output'!$M$3)*2)+1,(('Solver Model &amp; Output'!$M$3+1)*2)+1), FALSE)</f>
        <v>3.5999999999999997E-2</v>
      </c>
      <c r="L79" s="42">
        <f t="shared" si="10"/>
        <v>-0.16999999999999998</v>
      </c>
      <c r="M79" s="42">
        <f t="shared" si="11"/>
        <v>9.4E-2</v>
      </c>
      <c r="N79">
        <f t="shared" si="12"/>
        <v>-0.26400000000000001</v>
      </c>
      <c r="O79" t="str">
        <f t="shared" si="9"/>
        <v>ATL</v>
      </c>
      <c r="P79" t="s">
        <v>54</v>
      </c>
      <c r="Q79">
        <f t="shared" si="13"/>
        <v>1</v>
      </c>
    </row>
    <row r="80" spans="1:17">
      <c r="A80">
        <v>2011</v>
      </c>
      <c r="B80">
        <v>6</v>
      </c>
      <c r="C80" s="7" t="str">
        <f t="shared" si="8"/>
        <v>DET</v>
      </c>
      <c r="D80" s="2">
        <f t="shared" si="14"/>
        <v>0.26100000000000001</v>
      </c>
      <c r="E80" t="s">
        <v>80</v>
      </c>
      <c r="F80" t="s">
        <v>63</v>
      </c>
      <c r="H80" s="8">
        <f>VLOOKUP(E80,'DVOA DATA'!$A$1:$AK$35,IF('Solver Model &amp; Output'!$M$3&lt;3,('Solver Model &amp; Output'!$M$3)*2,('Solver Model &amp; Output'!$M$3+1)*2), FALSE)</f>
        <v>-5.8999999999999997E-2</v>
      </c>
      <c r="I80" s="8">
        <f>VLOOKUP(F80,'DVOA DATA'!$A$1:$AK$35,IF('Solver Model &amp; Output'!$M$3&lt;3,('Solver Model &amp; Output'!$M$3)*2,('Solver Model &amp; Output'!$M$3+1)*2), FALSE)</f>
        <v>5.2999999999999999E-2</v>
      </c>
      <c r="J80" s="8">
        <f>VLOOKUP(E80,'DVOA DATA'!$A$1:$AK$35,IF('Solver Model &amp; Output'!$M$3&lt;3,(('Solver Model &amp; Output'!$M$3)*2)+1,(('Solver Model &amp; Output'!$M$3+1)*2)+1), FALSE)</f>
        <v>1.4E-2</v>
      </c>
      <c r="K80" s="8">
        <f>VLOOKUP(F80,'DVOA DATA'!$A$1:$AK$35,IF('Solver Model &amp; Output'!$M$3&lt;3,(('Solver Model &amp; Output'!$M$3)*2)+1,(('Solver Model &amp; Output'!$M$3+1)*2)+1), FALSE)</f>
        <v>6.5000000000000002E-2</v>
      </c>
      <c r="L80" s="42">
        <f t="shared" si="10"/>
        <v>-7.2999999999999995E-2</v>
      </c>
      <c r="M80" s="42">
        <f t="shared" si="11"/>
        <v>-1.2000000000000004E-2</v>
      </c>
      <c r="N80">
        <f t="shared" si="12"/>
        <v>-6.0999999999999992E-2</v>
      </c>
      <c r="O80" t="str">
        <f t="shared" si="9"/>
        <v>DET</v>
      </c>
      <c r="P80" t="s">
        <v>80</v>
      </c>
      <c r="Q80">
        <f t="shared" si="13"/>
        <v>0</v>
      </c>
    </row>
    <row r="81" spans="1:17">
      <c r="A81">
        <v>2011</v>
      </c>
      <c r="B81">
        <v>6</v>
      </c>
      <c r="C81" s="7" t="str">
        <f t="shared" si="8"/>
        <v>IND</v>
      </c>
      <c r="D81" s="2">
        <f t="shared" si="14"/>
        <v>0.124</v>
      </c>
      <c r="E81" t="s">
        <v>66</v>
      </c>
      <c r="F81" t="s">
        <v>59</v>
      </c>
      <c r="H81" s="8">
        <f>VLOOKUP(E81,'DVOA DATA'!$A$1:$AK$35,IF('Solver Model &amp; Output'!$M$3&lt;3,('Solver Model &amp; Output'!$M$3)*2,('Solver Model &amp; Output'!$M$3+1)*2), FALSE)</f>
        <v>0.104</v>
      </c>
      <c r="I81" s="8">
        <f>VLOOKUP(F81,'DVOA DATA'!$A$1:$AK$35,IF('Solver Model &amp; Output'!$M$3&lt;3,('Solver Model &amp; Output'!$M$3)*2,('Solver Model &amp; Output'!$M$3+1)*2), FALSE)</f>
        <v>-6.3E-2</v>
      </c>
      <c r="J81" s="8">
        <f>VLOOKUP(E81,'DVOA DATA'!$A$1:$AK$35,IF('Solver Model &amp; Output'!$M$3&lt;3,(('Solver Model &amp; Output'!$M$3)*2)+1,(('Solver Model &amp; Output'!$M$3+1)*2)+1), FALSE)</f>
        <v>9.1999999999999998E-2</v>
      </c>
      <c r="K81" s="8">
        <f>VLOOKUP(F81,'DVOA DATA'!$A$1:$AK$35,IF('Solver Model &amp; Output'!$M$3&lt;3,(('Solver Model &amp; Output'!$M$3)*2)+1,(('Solver Model &amp; Output'!$M$3+1)*2)+1), FALSE)</f>
        <v>4.9000000000000002E-2</v>
      </c>
      <c r="L81" s="42">
        <f t="shared" si="10"/>
        <v>1.1999999999999997E-2</v>
      </c>
      <c r="M81" s="42">
        <f t="shared" si="11"/>
        <v>-0.112</v>
      </c>
      <c r="N81">
        <f t="shared" si="12"/>
        <v>0.124</v>
      </c>
      <c r="O81" t="str">
        <f t="shared" si="9"/>
        <v>IND</v>
      </c>
      <c r="P81" t="s">
        <v>59</v>
      </c>
      <c r="Q81">
        <f t="shared" si="13"/>
        <v>0</v>
      </c>
    </row>
    <row r="82" spans="1:17">
      <c r="A82">
        <v>2011</v>
      </c>
      <c r="B82">
        <v>6</v>
      </c>
      <c r="C82" s="7" t="str">
        <f t="shared" si="8"/>
        <v>PHI</v>
      </c>
      <c r="D82" s="2">
        <f t="shared" si="14"/>
        <v>0.27900000000000003</v>
      </c>
      <c r="E82" t="s">
        <v>76</v>
      </c>
      <c r="F82" t="s">
        <v>84</v>
      </c>
      <c r="H82" s="8">
        <f>VLOOKUP(E82,'DVOA DATA'!$A$1:$AK$35,IF('Solver Model &amp; Output'!$M$3&lt;3,('Solver Model &amp; Output'!$M$3)*2,('Solver Model &amp; Output'!$M$3+1)*2), FALSE)</f>
        <v>0.123</v>
      </c>
      <c r="I82" s="8">
        <f>VLOOKUP(F82,'DVOA DATA'!$A$1:$AK$35,IF('Solver Model &amp; Output'!$M$3&lt;3,('Solver Model &amp; Output'!$M$3)*2,('Solver Model &amp; Output'!$M$3+1)*2), FALSE)</f>
        <v>-5.6000000000000001E-2</v>
      </c>
      <c r="J82" s="8">
        <f>VLOOKUP(E82,'DVOA DATA'!$A$1:$AK$35,IF('Solver Model &amp; Output'!$M$3&lt;3,(('Solver Model &amp; Output'!$M$3)*2)+1,(('Solver Model &amp; Output'!$M$3+1)*2)+1), FALSE)</f>
        <v>-8.5000000000000006E-2</v>
      </c>
      <c r="K82" s="8">
        <f>VLOOKUP(F82,'DVOA DATA'!$A$1:$AK$35,IF('Solver Model &amp; Output'!$M$3&lt;3,(('Solver Model &amp; Output'!$M$3)*2)+1,(('Solver Model &amp; Output'!$M$3+1)*2)+1), FALSE)</f>
        <v>1.4999999999999999E-2</v>
      </c>
      <c r="L82" s="42">
        <f t="shared" si="10"/>
        <v>0.20800000000000002</v>
      </c>
      <c r="M82" s="42">
        <f t="shared" si="11"/>
        <v>-7.1000000000000008E-2</v>
      </c>
      <c r="N82">
        <f t="shared" si="12"/>
        <v>0.27900000000000003</v>
      </c>
      <c r="O82" t="str">
        <f t="shared" si="9"/>
        <v>PHI</v>
      </c>
      <c r="P82" t="s">
        <v>76</v>
      </c>
      <c r="Q82">
        <f t="shared" si="13"/>
        <v>1</v>
      </c>
    </row>
    <row r="83" spans="1:17">
      <c r="A83">
        <v>2011</v>
      </c>
      <c r="B83">
        <v>6</v>
      </c>
      <c r="C83" s="7" t="str">
        <f t="shared" si="8"/>
        <v>GB</v>
      </c>
      <c r="D83" s="2">
        <f t="shared" si="14"/>
        <v>0.432</v>
      </c>
      <c r="E83" t="s">
        <v>81</v>
      </c>
      <c r="F83" t="s">
        <v>64</v>
      </c>
      <c r="H83" s="8">
        <f>VLOOKUP(E83,'DVOA DATA'!$A$1:$AK$35,IF('Solver Model &amp; Output'!$M$3&lt;3,('Solver Model &amp; Output'!$M$3)*2,('Solver Model &amp; Output'!$M$3+1)*2), FALSE)</f>
        <v>-0.14799999999999999</v>
      </c>
      <c r="I83" s="8">
        <f>VLOOKUP(F83,'DVOA DATA'!$A$1:$AK$35,IF('Solver Model &amp; Output'!$M$3&lt;3,('Solver Model &amp; Output'!$M$3)*2,('Solver Model &amp; Output'!$M$3+1)*2), FALSE)</f>
        <v>9.9000000000000005E-2</v>
      </c>
      <c r="J83" s="8">
        <f>VLOOKUP(E83,'DVOA DATA'!$A$1:$AK$35,IF('Solver Model &amp; Output'!$M$3&lt;3,(('Solver Model &amp; Output'!$M$3)*2)+1,(('Solver Model &amp; Output'!$M$3+1)*2)+1), FALSE)</f>
        <v>-3.6999999999999998E-2</v>
      </c>
      <c r="K83" s="8">
        <f>VLOOKUP(F83,'DVOA DATA'!$A$1:$AK$35,IF('Solver Model &amp; Output'!$M$3&lt;3,(('Solver Model &amp; Output'!$M$3)*2)+1,(('Solver Model &amp; Output'!$M$3+1)*2)+1), FALSE)</f>
        <v>-2.1999999999999999E-2</v>
      </c>
      <c r="L83" s="42">
        <f t="shared" si="10"/>
        <v>-0.11099999999999999</v>
      </c>
      <c r="M83" s="42">
        <f t="shared" si="11"/>
        <v>0.121</v>
      </c>
      <c r="N83">
        <f t="shared" si="12"/>
        <v>-0.23199999999999998</v>
      </c>
      <c r="O83" t="str">
        <f t="shared" si="9"/>
        <v>GB</v>
      </c>
      <c r="P83" t="s">
        <v>64</v>
      </c>
      <c r="Q83">
        <f t="shared" si="13"/>
        <v>1</v>
      </c>
    </row>
    <row r="84" spans="1:17">
      <c r="A84">
        <v>2011</v>
      </c>
      <c r="B84">
        <v>6</v>
      </c>
      <c r="C84" s="7" t="str">
        <f t="shared" si="8"/>
        <v>PIT</v>
      </c>
      <c r="D84" s="2">
        <f t="shared" si="14"/>
        <v>0.49000000000000005</v>
      </c>
      <c r="E84" t="s">
        <v>67</v>
      </c>
      <c r="F84" t="s">
        <v>77</v>
      </c>
      <c r="H84" s="8">
        <f>VLOOKUP(E84,'DVOA DATA'!$A$1:$AK$35,IF('Solver Model &amp; Output'!$M$3&lt;3,('Solver Model &amp; Output'!$M$3)*2,('Solver Model &amp; Output'!$M$3+1)*2), FALSE)</f>
        <v>4.5999999999999999E-2</v>
      </c>
      <c r="I84" s="8">
        <f>VLOOKUP(F84,'DVOA DATA'!$A$1:$AK$35,IF('Solver Model &amp; Output'!$M$3&lt;3,('Solver Model &amp; Output'!$M$3)*2,('Solver Model &amp; Output'!$M$3+1)*2), FALSE)</f>
        <v>0.16900000000000001</v>
      </c>
      <c r="J84" s="8">
        <f>VLOOKUP(E84,'DVOA DATA'!$A$1:$AK$35,IF('Solver Model &amp; Output'!$M$3&lt;3,(('Solver Model &amp; Output'!$M$3)*2)+1,(('Solver Model &amp; Output'!$M$3+1)*2)+1), FALSE)</f>
        <v>4.1000000000000002E-2</v>
      </c>
      <c r="K84" s="8">
        <f>VLOOKUP(F84,'DVOA DATA'!$A$1:$AK$35,IF('Solver Model &amp; Output'!$M$3&lt;3,(('Solver Model &amp; Output'!$M$3)*2)+1,(('Solver Model &amp; Output'!$M$3+1)*2)+1), FALSE)</f>
        <v>-0.126</v>
      </c>
      <c r="L84" s="42">
        <f t="shared" si="10"/>
        <v>4.9999999999999975E-3</v>
      </c>
      <c r="M84" s="42">
        <f t="shared" si="11"/>
        <v>0.29500000000000004</v>
      </c>
      <c r="N84">
        <f t="shared" si="12"/>
        <v>-0.29000000000000004</v>
      </c>
      <c r="O84" t="str">
        <f t="shared" si="9"/>
        <v>PIT</v>
      </c>
      <c r="P84" t="s">
        <v>77</v>
      </c>
      <c r="Q84">
        <f t="shared" si="13"/>
        <v>1</v>
      </c>
    </row>
    <row r="85" spans="1:17">
      <c r="A85">
        <v>2011</v>
      </c>
      <c r="B85">
        <v>6</v>
      </c>
      <c r="C85" s="7" t="str">
        <f t="shared" si="8"/>
        <v>NYG</v>
      </c>
      <c r="D85" s="2">
        <f t="shared" si="14"/>
        <v>0.30399999999999999</v>
      </c>
      <c r="E85" t="s">
        <v>56</v>
      </c>
      <c r="F85" t="s">
        <v>73</v>
      </c>
      <c r="H85" s="8">
        <f>VLOOKUP(E85,'DVOA DATA'!$A$1:$AK$35,IF('Solver Model &amp; Output'!$M$3&lt;3,('Solver Model &amp; Output'!$M$3)*2,('Solver Model &amp; Output'!$M$3+1)*2), FALSE)</f>
        <v>-2.7E-2</v>
      </c>
      <c r="I85" s="8">
        <f>VLOOKUP(F85,'DVOA DATA'!$A$1:$AK$35,IF('Solver Model &amp; Output'!$M$3&lt;3,('Solver Model &amp; Output'!$M$3)*2,('Solver Model &amp; Output'!$M$3+1)*2), FALSE)</f>
        <v>5.8999999999999997E-2</v>
      </c>
      <c r="J85" s="8">
        <f>VLOOKUP(E85,'DVOA DATA'!$A$1:$AK$35,IF('Solver Model &amp; Output'!$M$3&lt;3,(('Solver Model &amp; Output'!$M$3)*2)+1,(('Solver Model &amp; Output'!$M$3+1)*2)+1), FALSE)</f>
        <v>1.9E-2</v>
      </c>
      <c r="K85" s="8">
        <f>VLOOKUP(F85,'DVOA DATA'!$A$1:$AK$35,IF('Solver Model &amp; Output'!$M$3&lt;3,(('Solver Model &amp; Output'!$M$3)*2)+1,(('Solver Model &amp; Output'!$M$3+1)*2)+1), FALSE)</f>
        <v>1E-3</v>
      </c>
      <c r="L85" s="42">
        <f t="shared" si="10"/>
        <v>-4.5999999999999999E-2</v>
      </c>
      <c r="M85" s="42">
        <f t="shared" si="11"/>
        <v>5.7999999999999996E-2</v>
      </c>
      <c r="N85">
        <f t="shared" si="12"/>
        <v>-0.104</v>
      </c>
      <c r="O85" t="str">
        <f t="shared" si="9"/>
        <v>NYG</v>
      </c>
      <c r="P85" t="s">
        <v>73</v>
      </c>
      <c r="Q85">
        <f t="shared" si="13"/>
        <v>1</v>
      </c>
    </row>
    <row r="86" spans="1:17">
      <c r="A86">
        <v>2011</v>
      </c>
      <c r="B86">
        <v>6</v>
      </c>
      <c r="C86" s="7" t="str">
        <f t="shared" si="8"/>
        <v>CLE</v>
      </c>
      <c r="D86" s="2">
        <f t="shared" si="14"/>
        <v>7.3999999999999996E-2</v>
      </c>
      <c r="E86" t="s">
        <v>60</v>
      </c>
      <c r="F86" t="s">
        <v>75</v>
      </c>
      <c r="H86" s="8">
        <f>VLOOKUP(E86,'DVOA DATA'!$A$1:$AK$35,IF('Solver Model &amp; Output'!$M$3&lt;3,('Solver Model &amp; Output'!$M$3)*2,('Solver Model &amp; Output'!$M$3+1)*2), FALSE)</f>
        <v>-0.03</v>
      </c>
      <c r="I86" s="8">
        <f>VLOOKUP(F86,'DVOA DATA'!$A$1:$AK$35,IF('Solver Model &amp; Output'!$M$3&lt;3,('Solver Model &amp; Output'!$M$3)*2,('Solver Model &amp; Output'!$M$3+1)*2), FALSE)</f>
        <v>-8.6999999999999994E-2</v>
      </c>
      <c r="J86" s="8">
        <f>VLOOKUP(E86,'DVOA DATA'!$A$1:$AK$35,IF('Solver Model &amp; Output'!$M$3&lt;3,(('Solver Model &amp; Output'!$M$3)*2)+1,(('Solver Model &amp; Output'!$M$3+1)*2)+1), FALSE)</f>
        <v>4.8000000000000001E-2</v>
      </c>
      <c r="K86" s="8">
        <f>VLOOKUP(F86,'DVOA DATA'!$A$1:$AK$35,IF('Solver Model &amp; Output'!$M$3&lt;3,(('Solver Model &amp; Output'!$M$3)*2)+1,(('Solver Model &amp; Output'!$M$3+1)*2)+1), FALSE)</f>
        <v>6.5000000000000002E-2</v>
      </c>
      <c r="L86" s="42">
        <f t="shared" si="10"/>
        <v>-7.8E-2</v>
      </c>
      <c r="M86" s="42">
        <f t="shared" si="11"/>
        <v>-0.152</v>
      </c>
      <c r="N86">
        <f t="shared" si="12"/>
        <v>7.3999999999999996E-2</v>
      </c>
      <c r="O86" t="str">
        <f t="shared" si="9"/>
        <v>CLE</v>
      </c>
      <c r="P86" t="s">
        <v>75</v>
      </c>
      <c r="Q86">
        <f t="shared" si="13"/>
        <v>0</v>
      </c>
    </row>
    <row r="87" spans="1:17">
      <c r="A87">
        <v>2011</v>
      </c>
      <c r="B87">
        <v>6</v>
      </c>
      <c r="C87" s="7" t="str">
        <f t="shared" si="8"/>
        <v>BAL</v>
      </c>
      <c r="D87" s="2">
        <f t="shared" si="14"/>
        <v>0.24200000000000002</v>
      </c>
      <c r="E87" t="s">
        <v>65</v>
      </c>
      <c r="F87" t="s">
        <v>55</v>
      </c>
      <c r="H87" s="8">
        <f>VLOOKUP(E87,'DVOA DATA'!$A$1:$AK$35,IF('Solver Model &amp; Output'!$M$3&lt;3,('Solver Model &amp; Output'!$M$3)*2,('Solver Model &amp; Output'!$M$3+1)*2), FALSE)</f>
        <v>0.2</v>
      </c>
      <c r="I87" s="8">
        <f>VLOOKUP(F87,'DVOA DATA'!$A$1:$AK$35,IF('Solver Model &amp; Output'!$M$3&lt;3,('Solver Model &amp; Output'!$M$3)*2,('Solver Model &amp; Output'!$M$3+1)*2), FALSE)</f>
        <v>0.114</v>
      </c>
      <c r="J87" s="8">
        <f>VLOOKUP(E87,'DVOA DATA'!$A$1:$AK$35,IF('Solver Model &amp; Output'!$M$3&lt;3,(('Solver Model &amp; Output'!$M$3)*2)+1,(('Solver Model &amp; Output'!$M$3+1)*2)+1), FALSE)</f>
        <v>0.13800000000000001</v>
      </c>
      <c r="K87" s="8">
        <f>VLOOKUP(F87,'DVOA DATA'!$A$1:$AK$35,IF('Solver Model &amp; Output'!$M$3&lt;3,(('Solver Model &amp; Output'!$M$3)*2)+1,(('Solver Model &amp; Output'!$M$3+1)*2)+1), FALSE)</f>
        <v>0.01</v>
      </c>
      <c r="L87" s="42">
        <f t="shared" si="10"/>
        <v>6.2E-2</v>
      </c>
      <c r="M87" s="42">
        <f t="shared" si="11"/>
        <v>0.10400000000000001</v>
      </c>
      <c r="N87">
        <f t="shared" si="12"/>
        <v>-4.200000000000001E-2</v>
      </c>
      <c r="O87" t="str">
        <f t="shared" si="9"/>
        <v>BAL</v>
      </c>
      <c r="P87" t="s">
        <v>55</v>
      </c>
      <c r="Q87">
        <f t="shared" si="13"/>
        <v>1</v>
      </c>
    </row>
    <row r="88" spans="1:17">
      <c r="A88">
        <v>2011</v>
      </c>
      <c r="B88">
        <v>6</v>
      </c>
      <c r="C88" s="7" t="str">
        <f t="shared" si="8"/>
        <v>NO</v>
      </c>
      <c r="D88" s="2">
        <f t="shared" si="14"/>
        <v>0.16</v>
      </c>
      <c r="E88" t="s">
        <v>72</v>
      </c>
      <c r="F88" t="s">
        <v>82</v>
      </c>
      <c r="H88" s="8">
        <f>VLOOKUP(E88,'DVOA DATA'!$A$1:$AK$35,IF('Solver Model &amp; Output'!$M$3&lt;3,('Solver Model &amp; Output'!$M$3)*2,('Solver Model &amp; Output'!$M$3+1)*2), FALSE)</f>
        <v>0.19600000000000001</v>
      </c>
      <c r="I88" s="8">
        <f>VLOOKUP(F88,'DVOA DATA'!$A$1:$AK$35,IF('Solver Model &amp; Output'!$M$3&lt;3,('Solver Model &amp; Output'!$M$3)*2,('Solver Model &amp; Output'!$M$3+1)*2), FALSE)</f>
        <v>2.8000000000000001E-2</v>
      </c>
      <c r="J88" s="8">
        <f>VLOOKUP(E88,'DVOA DATA'!$A$1:$AK$35,IF('Solver Model &amp; Output'!$M$3&lt;3,(('Solver Model &amp; Output'!$M$3)*2)+1,(('Solver Model &amp; Output'!$M$3+1)*2)+1), FALSE)</f>
        <v>0.112</v>
      </c>
      <c r="K88" s="8">
        <f>VLOOKUP(F88,'DVOA DATA'!$A$1:$AK$35,IF('Solver Model &amp; Output'!$M$3&lt;3,(('Solver Model &amp; Output'!$M$3)*2)+1,(('Solver Model &amp; Output'!$M$3+1)*2)+1), FALSE)</f>
        <v>0.104</v>
      </c>
      <c r="L88" s="42">
        <f t="shared" si="10"/>
        <v>8.4000000000000005E-2</v>
      </c>
      <c r="M88" s="42">
        <f t="shared" si="11"/>
        <v>-7.5999999999999998E-2</v>
      </c>
      <c r="N88">
        <f t="shared" si="12"/>
        <v>0.16</v>
      </c>
      <c r="O88" t="str">
        <f t="shared" si="9"/>
        <v>NO</v>
      </c>
      <c r="P88" t="s">
        <v>82</v>
      </c>
      <c r="Q88">
        <f t="shared" si="13"/>
        <v>0</v>
      </c>
    </row>
    <row r="89" spans="1:17">
      <c r="A89">
        <v>2011</v>
      </c>
      <c r="B89">
        <v>6</v>
      </c>
      <c r="C89" s="7" t="str">
        <f t="shared" si="8"/>
        <v>NE</v>
      </c>
      <c r="D89" s="2">
        <f t="shared" si="14"/>
        <v>0.54500000000000004</v>
      </c>
      <c r="E89" t="s">
        <v>61</v>
      </c>
      <c r="F89" t="s">
        <v>71</v>
      </c>
      <c r="H89" s="8">
        <f>VLOOKUP(E89,'DVOA DATA'!$A$1:$AK$35,IF('Solver Model &amp; Output'!$M$3&lt;3,('Solver Model &amp; Output'!$M$3)*2,('Solver Model &amp; Output'!$M$3+1)*2), FALSE)</f>
        <v>1.6E-2</v>
      </c>
      <c r="I89" s="8">
        <f>VLOOKUP(F89,'DVOA DATA'!$A$1:$AK$35,IF('Solver Model &amp; Output'!$M$3&lt;3,('Solver Model &amp; Output'!$M$3)*2,('Solver Model &amp; Output'!$M$3+1)*2), FALSE)</f>
        <v>0.309</v>
      </c>
      <c r="J89" s="8">
        <f>VLOOKUP(E89,'DVOA DATA'!$A$1:$AK$35,IF('Solver Model &amp; Output'!$M$3&lt;3,(('Solver Model &amp; Output'!$M$3)*2)+1,(('Solver Model &amp; Output'!$M$3+1)*2)+1), FALSE)</f>
        <v>8.8999999999999996E-2</v>
      </c>
      <c r="K89" s="8">
        <f>VLOOKUP(F89,'DVOA DATA'!$A$1:$AK$35,IF('Solver Model &amp; Output'!$M$3&lt;3,(('Solver Model &amp; Output'!$M$3)*2)+1,(('Solver Model &amp; Output'!$M$3+1)*2)+1), FALSE)</f>
        <v>3.6999999999999998E-2</v>
      </c>
      <c r="L89" s="42">
        <f t="shared" si="10"/>
        <v>-7.2999999999999995E-2</v>
      </c>
      <c r="M89" s="42">
        <f t="shared" si="11"/>
        <v>0.27200000000000002</v>
      </c>
      <c r="N89">
        <f t="shared" si="12"/>
        <v>-0.34500000000000003</v>
      </c>
      <c r="O89" t="str">
        <f t="shared" si="9"/>
        <v>NE</v>
      </c>
      <c r="P89" t="s">
        <v>71</v>
      </c>
      <c r="Q89">
        <f t="shared" si="13"/>
        <v>1</v>
      </c>
    </row>
    <row r="90" spans="1:17">
      <c r="A90">
        <v>2011</v>
      </c>
      <c r="B90">
        <v>6</v>
      </c>
      <c r="C90" s="7" t="str">
        <f t="shared" si="8"/>
        <v>CHI</v>
      </c>
      <c r="D90" s="2">
        <f t="shared" si="14"/>
        <v>0.23900000000000002</v>
      </c>
      <c r="E90" t="s">
        <v>70</v>
      </c>
      <c r="F90" t="s">
        <v>58</v>
      </c>
      <c r="H90" s="8">
        <f>VLOOKUP(E90,'DVOA DATA'!$A$1:$AK$35,IF('Solver Model &amp; Output'!$M$3&lt;3,('Solver Model &amp; Output'!$M$3)*2,('Solver Model &amp; Output'!$M$3+1)*2), FALSE)</f>
        <v>5.7000000000000002E-2</v>
      </c>
      <c r="I90" s="8">
        <f>VLOOKUP(F90,'DVOA DATA'!$A$1:$AK$35,IF('Solver Model &amp; Output'!$M$3&lt;3,('Solver Model &amp; Output'!$M$3)*2,('Solver Model &amp; Output'!$M$3+1)*2), FALSE)</f>
        <v>-0.06</v>
      </c>
      <c r="J90" s="8">
        <f>VLOOKUP(E90,'DVOA DATA'!$A$1:$AK$35,IF('Solver Model &amp; Output'!$M$3&lt;3,(('Solver Model &amp; Output'!$M$3)*2)+1,(('Solver Model &amp; Output'!$M$3+1)*2)+1), FALSE)</f>
        <v>7.0000000000000007E-2</v>
      </c>
      <c r="K90" s="8">
        <f>VLOOKUP(F90,'DVOA DATA'!$A$1:$AK$35,IF('Solver Model &amp; Output'!$M$3&lt;3,(('Solver Model &amp; Output'!$M$3)*2)+1,(('Solver Model &amp; Output'!$M$3+1)*2)+1), FALSE)</f>
        <v>-8.5999999999999993E-2</v>
      </c>
      <c r="L90" s="42">
        <f t="shared" si="10"/>
        <v>-1.3000000000000005E-2</v>
      </c>
      <c r="M90" s="42">
        <f t="shared" si="11"/>
        <v>2.5999999999999995E-2</v>
      </c>
      <c r="N90">
        <f t="shared" si="12"/>
        <v>-3.9E-2</v>
      </c>
      <c r="O90" t="str">
        <f t="shared" si="9"/>
        <v>CHI</v>
      </c>
      <c r="P90" t="s">
        <v>58</v>
      </c>
      <c r="Q90">
        <f t="shared" si="13"/>
        <v>1</v>
      </c>
    </row>
    <row r="91" spans="1:17">
      <c r="A91">
        <v>2011</v>
      </c>
      <c r="B91">
        <v>6</v>
      </c>
      <c r="C91" s="7" t="str">
        <f t="shared" si="8"/>
        <v>NYJ</v>
      </c>
      <c r="D91" s="2">
        <f t="shared" si="14"/>
        <v>0.28900000000000003</v>
      </c>
      <c r="E91" t="s">
        <v>69</v>
      </c>
      <c r="F91" t="s">
        <v>74</v>
      </c>
      <c r="H91" s="8">
        <f>VLOOKUP(E91,'DVOA DATA'!$A$1:$AK$35,IF('Solver Model &amp; Output'!$M$3&lt;3,('Solver Model &amp; Output'!$M$3)*2,('Solver Model &amp; Output'!$M$3+1)*2), FALSE)</f>
        <v>0.106</v>
      </c>
      <c r="I91" s="8">
        <f>VLOOKUP(F91,'DVOA DATA'!$A$1:$AK$35,IF('Solver Model &amp; Output'!$M$3&lt;3,('Solver Model &amp; Output'!$M$3)*2,('Solver Model &amp; Output'!$M$3+1)*2), FALSE)</f>
        <v>-2.8000000000000001E-2</v>
      </c>
      <c r="J91" s="8">
        <f>VLOOKUP(E91,'DVOA DATA'!$A$1:$AK$35,IF('Solver Model &amp; Output'!$M$3&lt;3,(('Solver Model &amp; Output'!$M$3)*2)+1,(('Solver Model &amp; Output'!$M$3+1)*2)+1), FALSE)</f>
        <v>1.7999999999999999E-2</v>
      </c>
      <c r="K91" s="8">
        <f>VLOOKUP(F91,'DVOA DATA'!$A$1:$AK$35,IF('Solver Model &amp; Output'!$M$3&lt;3,(('Solver Model &amp; Output'!$M$3)*2)+1,(('Solver Model &amp; Output'!$M$3+1)*2)+1), FALSE)</f>
        <v>-0.20499999999999999</v>
      </c>
      <c r="L91" s="42">
        <f t="shared" si="10"/>
        <v>8.7999999999999995E-2</v>
      </c>
      <c r="M91" s="42">
        <f t="shared" si="11"/>
        <v>0.17699999999999999</v>
      </c>
      <c r="N91">
        <f t="shared" si="12"/>
        <v>-8.8999999999999996E-2</v>
      </c>
      <c r="O91" t="str">
        <f t="shared" si="9"/>
        <v>NYJ</v>
      </c>
      <c r="P91" t="s">
        <v>74</v>
      </c>
      <c r="Q91">
        <f t="shared" si="13"/>
        <v>1</v>
      </c>
    </row>
    <row r="92" spans="1:17">
      <c r="A92">
        <v>2011</v>
      </c>
      <c r="B92">
        <v>7</v>
      </c>
      <c r="C92" s="7" t="str">
        <f t="shared" si="8"/>
        <v>SD</v>
      </c>
      <c r="D92" s="2">
        <f t="shared" si="14"/>
        <v>3.1000000000000028E-2</v>
      </c>
      <c r="E92" t="s">
        <v>78</v>
      </c>
      <c r="F92" t="s">
        <v>74</v>
      </c>
      <c r="H92" s="8">
        <f>VLOOKUP(E92,'DVOA DATA'!$A$1:$AK$35,IF('Solver Model &amp; Output'!$M$3&lt;3,('Solver Model &amp; Output'!$M$3)*2,('Solver Model &amp; Output'!$M$3+1)*2), FALSE)</f>
        <v>0.32600000000000001</v>
      </c>
      <c r="I92" s="8">
        <f>VLOOKUP(F92,'DVOA DATA'!$A$1:$AK$35,IF('Solver Model &amp; Output'!$M$3&lt;3,('Solver Model &amp; Output'!$M$3)*2,('Solver Model &amp; Output'!$M$3+1)*2), FALSE)</f>
        <v>-2.8000000000000001E-2</v>
      </c>
      <c r="J92" s="8">
        <f>VLOOKUP(E92,'DVOA DATA'!$A$1:$AK$35,IF('Solver Model &amp; Output'!$M$3&lt;3,(('Solver Model &amp; Output'!$M$3)*2)+1,(('Solver Model &amp; Output'!$M$3+1)*2)+1), FALSE)</f>
        <v>0.11799999999999999</v>
      </c>
      <c r="K92" s="8">
        <f>VLOOKUP(F92,'DVOA DATA'!$A$1:$AK$35,IF('Solver Model &amp; Output'!$M$3&lt;3,(('Solver Model &amp; Output'!$M$3)*2)+1,(('Solver Model &amp; Output'!$M$3+1)*2)+1), FALSE)</f>
        <v>-0.20499999999999999</v>
      </c>
      <c r="L92" s="42">
        <f t="shared" si="10"/>
        <v>0.20800000000000002</v>
      </c>
      <c r="M92" s="42">
        <f t="shared" si="11"/>
        <v>0.17699999999999999</v>
      </c>
      <c r="N92">
        <f t="shared" si="12"/>
        <v>3.1000000000000028E-2</v>
      </c>
      <c r="O92" t="str">
        <f t="shared" si="9"/>
        <v>SD</v>
      </c>
      <c r="P92" t="s">
        <v>74</v>
      </c>
      <c r="Q92">
        <f t="shared" si="13"/>
        <v>0</v>
      </c>
    </row>
    <row r="93" spans="1:17">
      <c r="A93">
        <v>2011</v>
      </c>
      <c r="B93">
        <v>7</v>
      </c>
      <c r="C93" s="7" t="str">
        <f t="shared" si="8"/>
        <v>CLE</v>
      </c>
      <c r="D93" s="2">
        <f t="shared" si="14"/>
        <v>0.33500000000000002</v>
      </c>
      <c r="E93" t="s">
        <v>79</v>
      </c>
      <c r="F93" t="s">
        <v>60</v>
      </c>
      <c r="H93" s="8">
        <f>VLOOKUP(E93,'DVOA DATA'!$A$1:$AK$35,IF('Solver Model &amp; Output'!$M$3&lt;3,('Solver Model &amp; Output'!$M$3)*2,('Solver Model &amp; Output'!$M$3+1)*2), FALSE)</f>
        <v>-0.23699999999999999</v>
      </c>
      <c r="I93" s="8">
        <f>VLOOKUP(F93,'DVOA DATA'!$A$1:$AK$35,IF('Solver Model &amp; Output'!$M$3&lt;3,('Solver Model &amp; Output'!$M$3)*2,('Solver Model &amp; Output'!$M$3+1)*2), FALSE)</f>
        <v>-0.03</v>
      </c>
      <c r="J93" s="8">
        <f>VLOOKUP(E93,'DVOA DATA'!$A$1:$AK$35,IF('Solver Model &amp; Output'!$M$3&lt;3,(('Solver Model &amp; Output'!$M$3)*2)+1,(('Solver Model &amp; Output'!$M$3+1)*2)+1), FALSE)</f>
        <v>-2.4E-2</v>
      </c>
      <c r="K93" s="8">
        <f>VLOOKUP(F93,'DVOA DATA'!$A$1:$AK$35,IF('Solver Model &amp; Output'!$M$3&lt;3,(('Solver Model &amp; Output'!$M$3)*2)+1,(('Solver Model &amp; Output'!$M$3+1)*2)+1), FALSE)</f>
        <v>4.8000000000000001E-2</v>
      </c>
      <c r="L93" s="42">
        <f t="shared" si="10"/>
        <v>-0.21299999999999999</v>
      </c>
      <c r="M93" s="42">
        <f t="shared" si="11"/>
        <v>-7.8E-2</v>
      </c>
      <c r="N93">
        <f t="shared" si="12"/>
        <v>-0.13500000000000001</v>
      </c>
      <c r="O93" t="str">
        <f t="shared" si="9"/>
        <v>CLE</v>
      </c>
      <c r="P93" t="s">
        <v>60</v>
      </c>
      <c r="Q93">
        <f t="shared" si="13"/>
        <v>1</v>
      </c>
    </row>
    <row r="94" spans="1:17">
      <c r="A94">
        <v>2011</v>
      </c>
      <c r="B94">
        <v>7</v>
      </c>
      <c r="C94" s="7" t="str">
        <f t="shared" si="8"/>
        <v>ATL</v>
      </c>
      <c r="D94" s="2">
        <f t="shared" si="14"/>
        <v>0.10600000000000001</v>
      </c>
      <c r="E94" t="s">
        <v>54</v>
      </c>
      <c r="F94" t="s">
        <v>63</v>
      </c>
      <c r="H94" s="8">
        <f>VLOOKUP(E94,'DVOA DATA'!$A$1:$AK$35,IF('Solver Model &amp; Output'!$M$3&lt;3,('Solver Model &amp; Output'!$M$3)*2,('Solver Model &amp; Output'!$M$3+1)*2), FALSE)</f>
        <v>0.13</v>
      </c>
      <c r="I94" s="8">
        <f>VLOOKUP(F94,'DVOA DATA'!$A$1:$AK$35,IF('Solver Model &amp; Output'!$M$3&lt;3,('Solver Model &amp; Output'!$M$3)*2,('Solver Model &amp; Output'!$M$3+1)*2), FALSE)</f>
        <v>5.2999999999999999E-2</v>
      </c>
      <c r="J94" s="8">
        <f>VLOOKUP(E94,'DVOA DATA'!$A$1:$AK$35,IF('Solver Model &amp; Output'!$M$3&lt;3,(('Solver Model &amp; Output'!$M$3)*2)+1,(('Solver Model &amp; Output'!$M$3+1)*2)+1), FALSE)</f>
        <v>3.5999999999999997E-2</v>
      </c>
      <c r="K94" s="8">
        <f>VLOOKUP(F94,'DVOA DATA'!$A$1:$AK$35,IF('Solver Model &amp; Output'!$M$3&lt;3,(('Solver Model &amp; Output'!$M$3)*2)+1,(('Solver Model &amp; Output'!$M$3+1)*2)+1), FALSE)</f>
        <v>6.5000000000000002E-2</v>
      </c>
      <c r="L94" s="42">
        <f t="shared" si="10"/>
        <v>9.4E-2</v>
      </c>
      <c r="M94" s="42">
        <f t="shared" si="11"/>
        <v>-1.2000000000000004E-2</v>
      </c>
      <c r="N94">
        <f t="shared" si="12"/>
        <v>0.10600000000000001</v>
      </c>
      <c r="O94" t="str">
        <f t="shared" si="9"/>
        <v>ATL</v>
      </c>
      <c r="P94" t="s">
        <v>54</v>
      </c>
      <c r="Q94">
        <f t="shared" si="13"/>
        <v>1</v>
      </c>
    </row>
    <row r="95" spans="1:17">
      <c r="A95">
        <v>2011</v>
      </c>
      <c r="B95">
        <v>7</v>
      </c>
      <c r="C95" s="7" t="str">
        <f t="shared" si="8"/>
        <v>WAS</v>
      </c>
      <c r="D95" s="2">
        <f t="shared" si="14"/>
        <v>9.8999999999999977E-2</v>
      </c>
      <c r="E95" t="s">
        <v>84</v>
      </c>
      <c r="F95" t="s">
        <v>57</v>
      </c>
      <c r="H95" s="8">
        <f>VLOOKUP(E95,'DVOA DATA'!$A$1:$AK$35,IF('Solver Model &amp; Output'!$M$3&lt;3,('Solver Model &amp; Output'!$M$3)*2,('Solver Model &amp; Output'!$M$3+1)*2), FALSE)</f>
        <v>-5.6000000000000001E-2</v>
      </c>
      <c r="I95" s="8">
        <f>VLOOKUP(F95,'DVOA DATA'!$A$1:$AK$35,IF('Solver Model &amp; Output'!$M$3&lt;3,('Solver Model &amp; Output'!$M$3)*2,('Solver Model &amp; Output'!$M$3+1)*2), FALSE)</f>
        <v>-0.14099999999999999</v>
      </c>
      <c r="J95" s="8">
        <f>VLOOKUP(E95,'DVOA DATA'!$A$1:$AK$35,IF('Solver Model &amp; Output'!$M$3&lt;3,(('Solver Model &amp; Output'!$M$3)*2)+1,(('Solver Model &amp; Output'!$M$3+1)*2)+1), FALSE)</f>
        <v>1.4999999999999999E-2</v>
      </c>
      <c r="K95" s="8">
        <f>VLOOKUP(F95,'DVOA DATA'!$A$1:$AK$35,IF('Solver Model &amp; Output'!$M$3&lt;3,(('Solver Model &amp; Output'!$M$3)*2)+1,(('Solver Model &amp; Output'!$M$3+1)*2)+1), FALSE)</f>
        <v>2.9000000000000001E-2</v>
      </c>
      <c r="L95" s="42">
        <f t="shared" si="10"/>
        <v>-7.1000000000000008E-2</v>
      </c>
      <c r="M95" s="42">
        <f t="shared" si="11"/>
        <v>-0.16999999999999998</v>
      </c>
      <c r="N95">
        <f t="shared" si="12"/>
        <v>9.8999999999999977E-2</v>
      </c>
      <c r="O95" t="str">
        <f t="shared" si="9"/>
        <v>WAS</v>
      </c>
      <c r="P95" t="s">
        <v>57</v>
      </c>
      <c r="Q95">
        <f t="shared" si="13"/>
        <v>0</v>
      </c>
    </row>
    <row r="96" spans="1:17">
      <c r="A96">
        <v>2011</v>
      </c>
      <c r="B96">
        <v>7</v>
      </c>
      <c r="C96" s="7" t="str">
        <f t="shared" si="8"/>
        <v>CHI</v>
      </c>
      <c r="D96" s="2">
        <f t="shared" si="14"/>
        <v>0.10199999999999999</v>
      </c>
      <c r="E96" t="s">
        <v>58</v>
      </c>
      <c r="F96" t="s">
        <v>82</v>
      </c>
      <c r="H96" s="8">
        <f>VLOOKUP(E96,'DVOA DATA'!$A$1:$AK$35,IF('Solver Model &amp; Output'!$M$3&lt;3,('Solver Model &amp; Output'!$M$3)*2,('Solver Model &amp; Output'!$M$3+1)*2), FALSE)</f>
        <v>-0.06</v>
      </c>
      <c r="I96" s="8">
        <f>VLOOKUP(F96,'DVOA DATA'!$A$1:$AK$35,IF('Solver Model &amp; Output'!$M$3&lt;3,('Solver Model &amp; Output'!$M$3)*2,('Solver Model &amp; Output'!$M$3+1)*2), FALSE)</f>
        <v>2.8000000000000001E-2</v>
      </c>
      <c r="J96" s="8">
        <f>VLOOKUP(E96,'DVOA DATA'!$A$1:$AK$35,IF('Solver Model &amp; Output'!$M$3&lt;3,(('Solver Model &amp; Output'!$M$3)*2)+1,(('Solver Model &amp; Output'!$M$3+1)*2)+1), FALSE)</f>
        <v>-8.5999999999999993E-2</v>
      </c>
      <c r="K96" s="8">
        <f>VLOOKUP(F96,'DVOA DATA'!$A$1:$AK$35,IF('Solver Model &amp; Output'!$M$3&lt;3,(('Solver Model &amp; Output'!$M$3)*2)+1,(('Solver Model &amp; Output'!$M$3+1)*2)+1), FALSE)</f>
        <v>0.104</v>
      </c>
      <c r="L96" s="42">
        <f t="shared" si="10"/>
        <v>2.5999999999999995E-2</v>
      </c>
      <c r="M96" s="42">
        <f t="shared" si="11"/>
        <v>-7.5999999999999998E-2</v>
      </c>
      <c r="N96">
        <f t="shared" si="12"/>
        <v>0.10199999999999999</v>
      </c>
      <c r="O96" t="str">
        <f t="shared" si="9"/>
        <v>CHI</v>
      </c>
      <c r="P96" t="s">
        <v>58</v>
      </c>
      <c r="Q96">
        <f t="shared" si="13"/>
        <v>1</v>
      </c>
    </row>
    <row r="97" spans="1:17">
      <c r="A97">
        <v>2011</v>
      </c>
      <c r="B97">
        <v>7</v>
      </c>
      <c r="C97" s="7" t="str">
        <f t="shared" si="8"/>
        <v>MIA</v>
      </c>
      <c r="D97" s="2">
        <f t="shared" si="14"/>
        <v>0.437</v>
      </c>
      <c r="E97" t="s">
        <v>62</v>
      </c>
      <c r="F97" t="s">
        <v>69</v>
      </c>
      <c r="H97" s="8">
        <f>VLOOKUP(E97,'DVOA DATA'!$A$1:$AK$35,IF('Solver Model &amp; Output'!$M$3&lt;3,('Solver Model &amp; Output'!$M$3)*2,('Solver Model &amp; Output'!$M$3+1)*2), FALSE)</f>
        <v>-4.2999999999999997E-2</v>
      </c>
      <c r="I97" s="8">
        <f>VLOOKUP(F97,'DVOA DATA'!$A$1:$AK$35,IF('Solver Model &amp; Output'!$M$3&lt;3,('Solver Model &amp; Output'!$M$3)*2,('Solver Model &amp; Output'!$M$3+1)*2), FALSE)</f>
        <v>0.106</v>
      </c>
      <c r="J97" s="8">
        <f>VLOOKUP(E97,'DVOA DATA'!$A$1:$AK$35,IF('Solver Model &amp; Output'!$M$3&lt;3,(('Solver Model &amp; Output'!$M$3)*2)+1,(('Solver Model &amp; Output'!$M$3+1)*2)+1), FALSE)</f>
        <v>0.106</v>
      </c>
      <c r="K97" s="8">
        <f>VLOOKUP(F97,'DVOA DATA'!$A$1:$AK$35,IF('Solver Model &amp; Output'!$M$3&lt;3,(('Solver Model &amp; Output'!$M$3)*2)+1,(('Solver Model &amp; Output'!$M$3+1)*2)+1), FALSE)</f>
        <v>1.7999999999999999E-2</v>
      </c>
      <c r="L97" s="42">
        <f t="shared" si="10"/>
        <v>-0.14899999999999999</v>
      </c>
      <c r="M97" s="42">
        <f t="shared" si="11"/>
        <v>8.7999999999999995E-2</v>
      </c>
      <c r="N97">
        <f t="shared" si="12"/>
        <v>-0.23699999999999999</v>
      </c>
      <c r="O97" t="str">
        <f t="shared" si="9"/>
        <v>MIA</v>
      </c>
      <c r="P97" t="s">
        <v>62</v>
      </c>
      <c r="Q97">
        <f t="shared" si="13"/>
        <v>0</v>
      </c>
    </row>
    <row r="98" spans="1:17">
      <c r="A98">
        <v>2011</v>
      </c>
      <c r="B98">
        <v>7</v>
      </c>
      <c r="C98" s="7" t="str">
        <f t="shared" si="8"/>
        <v>HOU</v>
      </c>
      <c r="D98" s="2">
        <f t="shared" si="14"/>
        <v>0.26500000000000001</v>
      </c>
      <c r="E98" t="s">
        <v>65</v>
      </c>
      <c r="F98" t="s">
        <v>83</v>
      </c>
      <c r="H98" s="8">
        <f>VLOOKUP(E98,'DVOA DATA'!$A$1:$AK$35,IF('Solver Model &amp; Output'!$M$3&lt;3,('Solver Model &amp; Output'!$M$3)*2,('Solver Model &amp; Output'!$M$3+1)*2), FALSE)</f>
        <v>0.2</v>
      </c>
      <c r="I98" s="8">
        <f>VLOOKUP(F98,'DVOA DATA'!$A$1:$AK$35,IF('Solver Model &amp; Output'!$M$3&lt;3,('Solver Model &amp; Output'!$M$3)*2,('Solver Model &amp; Output'!$M$3+1)*2), FALSE)</f>
        <v>-9.9000000000000005E-2</v>
      </c>
      <c r="J98" s="8">
        <f>VLOOKUP(E98,'DVOA DATA'!$A$1:$AK$35,IF('Solver Model &amp; Output'!$M$3&lt;3,(('Solver Model &amp; Output'!$M$3)*2)+1,(('Solver Model &amp; Output'!$M$3+1)*2)+1), FALSE)</f>
        <v>0.13800000000000001</v>
      </c>
      <c r="K98" s="8">
        <f>VLOOKUP(F98,'DVOA DATA'!$A$1:$AK$35,IF('Solver Model &amp; Output'!$M$3&lt;3,(('Solver Model &amp; Output'!$M$3)*2)+1,(('Solver Model &amp; Output'!$M$3+1)*2)+1), FALSE)</f>
        <v>0.104</v>
      </c>
      <c r="L98" s="42">
        <f t="shared" si="10"/>
        <v>6.2E-2</v>
      </c>
      <c r="M98" s="42">
        <f t="shared" si="11"/>
        <v>-0.20300000000000001</v>
      </c>
      <c r="N98">
        <f t="shared" si="12"/>
        <v>0.26500000000000001</v>
      </c>
      <c r="O98" t="str">
        <f t="shared" si="9"/>
        <v>HOU</v>
      </c>
      <c r="P98" t="s">
        <v>65</v>
      </c>
      <c r="Q98">
        <f t="shared" si="13"/>
        <v>1</v>
      </c>
    </row>
    <row r="99" spans="1:17">
      <c r="A99">
        <v>2011</v>
      </c>
      <c r="B99">
        <v>7</v>
      </c>
      <c r="C99" s="7" t="str">
        <f t="shared" si="8"/>
        <v>PIT</v>
      </c>
      <c r="D99" s="2">
        <f t="shared" si="14"/>
        <v>0.43500000000000005</v>
      </c>
      <c r="E99" t="s">
        <v>77</v>
      </c>
      <c r="F99" t="s">
        <v>53</v>
      </c>
      <c r="H99" s="8">
        <f>VLOOKUP(E99,'DVOA DATA'!$A$1:$AK$35,IF('Solver Model &amp; Output'!$M$3&lt;3,('Solver Model &amp; Output'!$M$3)*2,('Solver Model &amp; Output'!$M$3+1)*2), FALSE)</f>
        <v>0.16900000000000001</v>
      </c>
      <c r="I99" s="8">
        <f>VLOOKUP(F99,'DVOA DATA'!$A$1:$AK$35,IF('Solver Model &amp; Output'!$M$3&lt;3,('Solver Model &amp; Output'!$M$3)*2,('Solver Model &amp; Output'!$M$3+1)*2), FALSE)</f>
        <v>-4.8000000000000001E-2</v>
      </c>
      <c r="J99" s="8">
        <f>VLOOKUP(E99,'DVOA DATA'!$A$1:$AK$35,IF('Solver Model &amp; Output'!$M$3&lt;3,(('Solver Model &amp; Output'!$M$3)*2)+1,(('Solver Model &amp; Output'!$M$3+1)*2)+1), FALSE)</f>
        <v>-0.126</v>
      </c>
      <c r="K99" s="8">
        <f>VLOOKUP(F99,'DVOA DATA'!$A$1:$AK$35,IF('Solver Model &amp; Output'!$M$3&lt;3,(('Solver Model &amp; Output'!$M$3)*2)+1,(('Solver Model &amp; Output'!$M$3+1)*2)+1), FALSE)</f>
        <v>9.1999999999999998E-2</v>
      </c>
      <c r="L99" s="42">
        <f t="shared" si="10"/>
        <v>0.29500000000000004</v>
      </c>
      <c r="M99" s="42">
        <f t="shared" si="11"/>
        <v>-0.14000000000000001</v>
      </c>
      <c r="N99">
        <f t="shared" si="12"/>
        <v>0.43500000000000005</v>
      </c>
      <c r="O99" t="str">
        <f t="shared" si="9"/>
        <v>PIT</v>
      </c>
      <c r="P99" t="s">
        <v>77</v>
      </c>
      <c r="Q99">
        <f t="shared" si="13"/>
        <v>1</v>
      </c>
    </row>
    <row r="100" spans="1:17">
      <c r="A100">
        <v>2011</v>
      </c>
      <c r="B100">
        <v>7</v>
      </c>
      <c r="C100" s="7" t="str">
        <f t="shared" si="8"/>
        <v>KC</v>
      </c>
      <c r="D100" s="2">
        <f t="shared" si="14"/>
        <v>3.2000000000000001E-2</v>
      </c>
      <c r="E100" t="s">
        <v>68</v>
      </c>
      <c r="F100" t="s">
        <v>75</v>
      </c>
      <c r="H100" s="8">
        <f>VLOOKUP(E100,'DVOA DATA'!$A$1:$AK$35,IF('Solver Model &amp; Output'!$M$3&lt;3,('Solver Model &amp; Output'!$M$3)*2,('Solver Model &amp; Output'!$M$3+1)*2), FALSE)</f>
        <v>-4.7E-2</v>
      </c>
      <c r="I100" s="8">
        <f>VLOOKUP(F100,'DVOA DATA'!$A$1:$AK$35,IF('Solver Model &amp; Output'!$M$3&lt;3,('Solver Model &amp; Output'!$M$3)*2,('Solver Model &amp; Output'!$M$3+1)*2), FALSE)</f>
        <v>-8.6999999999999994E-2</v>
      </c>
      <c r="J100" s="8">
        <f>VLOOKUP(E100,'DVOA DATA'!$A$1:$AK$35,IF('Solver Model &amp; Output'!$M$3&lt;3,(('Solver Model &amp; Output'!$M$3)*2)+1,(('Solver Model &amp; Output'!$M$3+1)*2)+1), FALSE)</f>
        <v>7.2999999999999995E-2</v>
      </c>
      <c r="K100" s="8">
        <f>VLOOKUP(F100,'DVOA DATA'!$A$1:$AK$35,IF('Solver Model &amp; Output'!$M$3&lt;3,(('Solver Model &amp; Output'!$M$3)*2)+1,(('Solver Model &amp; Output'!$M$3+1)*2)+1), FALSE)</f>
        <v>6.5000000000000002E-2</v>
      </c>
      <c r="L100" s="42">
        <f t="shared" si="10"/>
        <v>-0.12</v>
      </c>
      <c r="M100" s="42">
        <f t="shared" si="11"/>
        <v>-0.152</v>
      </c>
      <c r="N100">
        <f t="shared" si="12"/>
        <v>3.2000000000000001E-2</v>
      </c>
      <c r="O100" t="str">
        <f t="shared" si="9"/>
        <v>KC</v>
      </c>
      <c r="P100" t="s">
        <v>68</v>
      </c>
      <c r="Q100">
        <f t="shared" si="13"/>
        <v>1</v>
      </c>
    </row>
    <row r="101" spans="1:17">
      <c r="A101">
        <v>2011</v>
      </c>
      <c r="B101">
        <v>7</v>
      </c>
      <c r="C101" s="7" t="str">
        <f t="shared" si="8"/>
        <v>GB</v>
      </c>
      <c r="D101" s="2">
        <f t="shared" si="14"/>
        <v>0.13400000000000001</v>
      </c>
      <c r="E101" t="s">
        <v>64</v>
      </c>
      <c r="F101" t="s">
        <v>70</v>
      </c>
      <c r="H101" s="8">
        <f>VLOOKUP(E101,'DVOA DATA'!$A$1:$AK$35,IF('Solver Model &amp; Output'!$M$3&lt;3,('Solver Model &amp; Output'!$M$3)*2,('Solver Model &amp; Output'!$M$3+1)*2), FALSE)</f>
        <v>9.9000000000000005E-2</v>
      </c>
      <c r="I101" s="8">
        <f>VLOOKUP(F101,'DVOA DATA'!$A$1:$AK$35,IF('Solver Model &amp; Output'!$M$3&lt;3,('Solver Model &amp; Output'!$M$3)*2,('Solver Model &amp; Output'!$M$3+1)*2), FALSE)</f>
        <v>5.7000000000000002E-2</v>
      </c>
      <c r="J101" s="8">
        <f>VLOOKUP(E101,'DVOA DATA'!$A$1:$AK$35,IF('Solver Model &amp; Output'!$M$3&lt;3,(('Solver Model &amp; Output'!$M$3)*2)+1,(('Solver Model &amp; Output'!$M$3+1)*2)+1), FALSE)</f>
        <v>-2.1999999999999999E-2</v>
      </c>
      <c r="K101" s="8">
        <f>VLOOKUP(F101,'DVOA DATA'!$A$1:$AK$35,IF('Solver Model &amp; Output'!$M$3&lt;3,(('Solver Model &amp; Output'!$M$3)*2)+1,(('Solver Model &amp; Output'!$M$3+1)*2)+1), FALSE)</f>
        <v>7.0000000000000007E-2</v>
      </c>
      <c r="L101" s="42">
        <f t="shared" si="10"/>
        <v>0.121</v>
      </c>
      <c r="M101" s="42">
        <f t="shared" si="11"/>
        <v>-1.3000000000000005E-2</v>
      </c>
      <c r="N101">
        <f t="shared" si="12"/>
        <v>0.13400000000000001</v>
      </c>
      <c r="O101" t="str">
        <f t="shared" si="9"/>
        <v>GB</v>
      </c>
      <c r="P101" t="s">
        <v>64</v>
      </c>
      <c r="Q101">
        <f t="shared" si="13"/>
        <v>1</v>
      </c>
    </row>
    <row r="102" spans="1:17">
      <c r="A102">
        <v>2011</v>
      </c>
      <c r="B102">
        <v>7</v>
      </c>
      <c r="C102" s="7" t="str">
        <f t="shared" si="8"/>
        <v>DAL</v>
      </c>
      <c r="D102" s="2">
        <f t="shared" si="14"/>
        <v>0.23799999999999999</v>
      </c>
      <c r="E102" t="s">
        <v>81</v>
      </c>
      <c r="F102" t="s">
        <v>61</v>
      </c>
      <c r="H102" s="8">
        <f>VLOOKUP(E102,'DVOA DATA'!$A$1:$AK$35,IF('Solver Model &amp; Output'!$M$3&lt;3,('Solver Model &amp; Output'!$M$3)*2,('Solver Model &amp; Output'!$M$3+1)*2), FALSE)</f>
        <v>-0.14799999999999999</v>
      </c>
      <c r="I102" s="8">
        <f>VLOOKUP(F102,'DVOA DATA'!$A$1:$AK$35,IF('Solver Model &amp; Output'!$M$3&lt;3,('Solver Model &amp; Output'!$M$3)*2,('Solver Model &amp; Output'!$M$3+1)*2), FALSE)</f>
        <v>1.6E-2</v>
      </c>
      <c r="J102" s="8">
        <f>VLOOKUP(E102,'DVOA DATA'!$A$1:$AK$35,IF('Solver Model &amp; Output'!$M$3&lt;3,(('Solver Model &amp; Output'!$M$3)*2)+1,(('Solver Model &amp; Output'!$M$3+1)*2)+1), FALSE)</f>
        <v>-3.6999999999999998E-2</v>
      </c>
      <c r="K102" s="8">
        <f>VLOOKUP(F102,'DVOA DATA'!$A$1:$AK$35,IF('Solver Model &amp; Output'!$M$3&lt;3,(('Solver Model &amp; Output'!$M$3)*2)+1,(('Solver Model &amp; Output'!$M$3+1)*2)+1), FALSE)</f>
        <v>8.8999999999999996E-2</v>
      </c>
      <c r="L102" s="42">
        <f t="shared" si="10"/>
        <v>-0.11099999999999999</v>
      </c>
      <c r="M102" s="42">
        <f t="shared" si="11"/>
        <v>-7.2999999999999995E-2</v>
      </c>
      <c r="N102">
        <f t="shared" si="12"/>
        <v>-3.7999999999999992E-2</v>
      </c>
      <c r="O102" t="str">
        <f t="shared" si="9"/>
        <v>DAL</v>
      </c>
      <c r="P102" t="s">
        <v>61</v>
      </c>
      <c r="Q102">
        <f t="shared" si="13"/>
        <v>1</v>
      </c>
    </row>
    <row r="103" spans="1:17">
      <c r="A103">
        <v>2011</v>
      </c>
      <c r="B103">
        <v>7</v>
      </c>
      <c r="C103" s="7" t="str">
        <f t="shared" si="8"/>
        <v>NO</v>
      </c>
      <c r="D103" s="2">
        <f t="shared" si="14"/>
        <v>0.27200000000000002</v>
      </c>
      <c r="E103" t="s">
        <v>66</v>
      </c>
      <c r="F103" t="s">
        <v>72</v>
      </c>
      <c r="H103" s="8">
        <f>VLOOKUP(E103,'DVOA DATA'!$A$1:$AK$35,IF('Solver Model &amp; Output'!$M$3&lt;3,('Solver Model &amp; Output'!$M$3)*2,('Solver Model &amp; Output'!$M$3+1)*2), FALSE)</f>
        <v>0.104</v>
      </c>
      <c r="I103" s="8">
        <f>VLOOKUP(F103,'DVOA DATA'!$A$1:$AK$35,IF('Solver Model &amp; Output'!$M$3&lt;3,('Solver Model &amp; Output'!$M$3)*2,('Solver Model &amp; Output'!$M$3+1)*2), FALSE)</f>
        <v>0.19600000000000001</v>
      </c>
      <c r="J103" s="8">
        <f>VLOOKUP(E103,'DVOA DATA'!$A$1:$AK$35,IF('Solver Model &amp; Output'!$M$3&lt;3,(('Solver Model &amp; Output'!$M$3)*2)+1,(('Solver Model &amp; Output'!$M$3+1)*2)+1), FALSE)</f>
        <v>9.1999999999999998E-2</v>
      </c>
      <c r="K103" s="8">
        <f>VLOOKUP(F103,'DVOA DATA'!$A$1:$AK$35,IF('Solver Model &amp; Output'!$M$3&lt;3,(('Solver Model &amp; Output'!$M$3)*2)+1,(('Solver Model &amp; Output'!$M$3+1)*2)+1), FALSE)</f>
        <v>0.112</v>
      </c>
      <c r="L103" s="42">
        <f t="shared" si="10"/>
        <v>1.1999999999999997E-2</v>
      </c>
      <c r="M103" s="42">
        <f t="shared" si="11"/>
        <v>8.4000000000000005E-2</v>
      </c>
      <c r="N103">
        <f t="shared" si="12"/>
        <v>-7.2000000000000008E-2</v>
      </c>
      <c r="O103" t="str">
        <f t="shared" si="9"/>
        <v>NO</v>
      </c>
      <c r="P103" t="s">
        <v>72</v>
      </c>
      <c r="Q103">
        <f t="shared" si="13"/>
        <v>1</v>
      </c>
    </row>
    <row r="104" spans="1:17">
      <c r="A104">
        <v>2011</v>
      </c>
      <c r="B104">
        <v>7</v>
      </c>
      <c r="C104" s="7" t="str">
        <f t="shared" si="8"/>
        <v>BAL</v>
      </c>
      <c r="D104" s="2">
        <f t="shared" si="14"/>
        <v>9.9000000000000005E-2</v>
      </c>
      <c r="E104" t="s">
        <v>55</v>
      </c>
      <c r="F104" t="s">
        <v>67</v>
      </c>
      <c r="H104" s="8">
        <f>VLOOKUP(E104,'DVOA DATA'!$A$1:$AK$35,IF('Solver Model &amp; Output'!$M$3&lt;3,('Solver Model &amp; Output'!$M$3)*2,('Solver Model &amp; Output'!$M$3+1)*2), FALSE)</f>
        <v>0.114</v>
      </c>
      <c r="I104" s="8">
        <f>VLOOKUP(F104,'DVOA DATA'!$A$1:$AK$35,IF('Solver Model &amp; Output'!$M$3&lt;3,('Solver Model &amp; Output'!$M$3)*2,('Solver Model &amp; Output'!$M$3+1)*2), FALSE)</f>
        <v>4.5999999999999999E-2</v>
      </c>
      <c r="J104" s="8">
        <f>VLOOKUP(E104,'DVOA DATA'!$A$1:$AK$35,IF('Solver Model &amp; Output'!$M$3&lt;3,(('Solver Model &amp; Output'!$M$3)*2)+1,(('Solver Model &amp; Output'!$M$3+1)*2)+1), FALSE)</f>
        <v>0.01</v>
      </c>
      <c r="K104" s="8">
        <f>VLOOKUP(F104,'DVOA DATA'!$A$1:$AK$35,IF('Solver Model &amp; Output'!$M$3&lt;3,(('Solver Model &amp; Output'!$M$3)*2)+1,(('Solver Model &amp; Output'!$M$3+1)*2)+1), FALSE)</f>
        <v>4.1000000000000002E-2</v>
      </c>
      <c r="L104" s="42">
        <f t="shared" si="10"/>
        <v>0.10400000000000001</v>
      </c>
      <c r="M104" s="42">
        <f t="shared" si="11"/>
        <v>4.9999999999999975E-3</v>
      </c>
      <c r="N104">
        <f t="shared" si="12"/>
        <v>9.9000000000000005E-2</v>
      </c>
      <c r="O104" t="str">
        <f t="shared" si="9"/>
        <v>BAL</v>
      </c>
      <c r="P104" t="s">
        <v>67</v>
      </c>
      <c r="Q104">
        <f t="shared" si="13"/>
        <v>0</v>
      </c>
    </row>
    <row r="105" spans="1:17">
      <c r="A105">
        <v>2011</v>
      </c>
      <c r="B105">
        <v>8</v>
      </c>
      <c r="C105" s="7" t="str">
        <f t="shared" si="8"/>
        <v>NO</v>
      </c>
      <c r="D105" s="2">
        <f t="shared" si="14"/>
        <v>0.19500000000000001</v>
      </c>
      <c r="E105" t="s">
        <v>72</v>
      </c>
      <c r="F105" t="s">
        <v>81</v>
      </c>
      <c r="H105" s="8">
        <f>VLOOKUP(E105,'DVOA DATA'!$A$1:$AK$35,IF('Solver Model &amp; Output'!$M$3&lt;3,('Solver Model &amp; Output'!$M$3)*2,('Solver Model &amp; Output'!$M$3+1)*2), FALSE)</f>
        <v>0.19600000000000001</v>
      </c>
      <c r="I105" s="8">
        <f>VLOOKUP(F105,'DVOA DATA'!$A$1:$AK$35,IF('Solver Model &amp; Output'!$M$3&lt;3,('Solver Model &amp; Output'!$M$3)*2,('Solver Model &amp; Output'!$M$3+1)*2), FALSE)</f>
        <v>-0.14799999999999999</v>
      </c>
      <c r="J105" s="8">
        <f>VLOOKUP(E105,'DVOA DATA'!$A$1:$AK$35,IF('Solver Model &amp; Output'!$M$3&lt;3,(('Solver Model &amp; Output'!$M$3)*2)+1,(('Solver Model &amp; Output'!$M$3+1)*2)+1), FALSE)</f>
        <v>0.112</v>
      </c>
      <c r="K105" s="8">
        <f>VLOOKUP(F105,'DVOA DATA'!$A$1:$AK$35,IF('Solver Model &amp; Output'!$M$3&lt;3,(('Solver Model &amp; Output'!$M$3)*2)+1,(('Solver Model &amp; Output'!$M$3+1)*2)+1), FALSE)</f>
        <v>-3.6999999999999998E-2</v>
      </c>
      <c r="L105" s="42">
        <f t="shared" si="10"/>
        <v>8.4000000000000005E-2</v>
      </c>
      <c r="M105" s="42">
        <f t="shared" si="11"/>
        <v>-0.11099999999999999</v>
      </c>
      <c r="N105">
        <f t="shared" si="12"/>
        <v>0.19500000000000001</v>
      </c>
      <c r="O105" t="str">
        <f t="shared" si="9"/>
        <v>NO</v>
      </c>
      <c r="P105" t="s">
        <v>81</v>
      </c>
      <c r="Q105">
        <f t="shared" si="13"/>
        <v>0</v>
      </c>
    </row>
    <row r="106" spans="1:17">
      <c r="A106">
        <v>2011</v>
      </c>
      <c r="B106">
        <v>8</v>
      </c>
      <c r="C106" s="7" t="str">
        <f t="shared" si="8"/>
        <v>MIA</v>
      </c>
      <c r="D106" s="2">
        <f t="shared" si="14"/>
        <v>0.03</v>
      </c>
      <c r="E106" t="s">
        <v>69</v>
      </c>
      <c r="F106" t="s">
        <v>73</v>
      </c>
      <c r="H106" s="8">
        <f>VLOOKUP(E106,'DVOA DATA'!$A$1:$AK$35,IF('Solver Model &amp; Output'!$M$3&lt;3,('Solver Model &amp; Output'!$M$3)*2,('Solver Model &amp; Output'!$M$3+1)*2), FALSE)</f>
        <v>0.106</v>
      </c>
      <c r="I106" s="8">
        <f>VLOOKUP(F106,'DVOA DATA'!$A$1:$AK$35,IF('Solver Model &amp; Output'!$M$3&lt;3,('Solver Model &amp; Output'!$M$3)*2,('Solver Model &amp; Output'!$M$3+1)*2), FALSE)</f>
        <v>5.8999999999999997E-2</v>
      </c>
      <c r="J106" s="8">
        <f>VLOOKUP(E106,'DVOA DATA'!$A$1:$AK$35,IF('Solver Model &amp; Output'!$M$3&lt;3,(('Solver Model &amp; Output'!$M$3)*2)+1,(('Solver Model &amp; Output'!$M$3+1)*2)+1), FALSE)</f>
        <v>1.7999999999999999E-2</v>
      </c>
      <c r="K106" s="8">
        <f>VLOOKUP(F106,'DVOA DATA'!$A$1:$AK$35,IF('Solver Model &amp; Output'!$M$3&lt;3,(('Solver Model &amp; Output'!$M$3)*2)+1,(('Solver Model &amp; Output'!$M$3+1)*2)+1), FALSE)</f>
        <v>1E-3</v>
      </c>
      <c r="L106" s="42">
        <f t="shared" si="10"/>
        <v>8.7999999999999995E-2</v>
      </c>
      <c r="M106" s="42">
        <f t="shared" si="11"/>
        <v>5.7999999999999996E-2</v>
      </c>
      <c r="N106">
        <f t="shared" si="12"/>
        <v>0.03</v>
      </c>
      <c r="O106" t="str">
        <f t="shared" si="9"/>
        <v>MIA</v>
      </c>
      <c r="P106" t="s">
        <v>73</v>
      </c>
      <c r="Q106">
        <f t="shared" si="13"/>
        <v>0</v>
      </c>
    </row>
    <row r="107" spans="1:17">
      <c r="A107">
        <v>2011</v>
      </c>
      <c r="B107">
        <v>8</v>
      </c>
      <c r="C107" s="7" t="str">
        <f t="shared" si="8"/>
        <v>BAL</v>
      </c>
      <c r="D107" s="2">
        <f t="shared" si="14"/>
        <v>0.44400000000000006</v>
      </c>
      <c r="E107" t="s">
        <v>53</v>
      </c>
      <c r="F107" t="s">
        <v>55</v>
      </c>
      <c r="H107" s="8">
        <f>VLOOKUP(E107,'DVOA DATA'!$A$1:$AK$35,IF('Solver Model &amp; Output'!$M$3&lt;3,('Solver Model &amp; Output'!$M$3)*2,('Solver Model &amp; Output'!$M$3+1)*2), FALSE)</f>
        <v>-4.8000000000000001E-2</v>
      </c>
      <c r="I107" s="8">
        <f>VLOOKUP(F107,'DVOA DATA'!$A$1:$AK$35,IF('Solver Model &amp; Output'!$M$3&lt;3,('Solver Model &amp; Output'!$M$3)*2,('Solver Model &amp; Output'!$M$3+1)*2), FALSE)</f>
        <v>0.114</v>
      </c>
      <c r="J107" s="8">
        <f>VLOOKUP(E107,'DVOA DATA'!$A$1:$AK$35,IF('Solver Model &amp; Output'!$M$3&lt;3,(('Solver Model &amp; Output'!$M$3)*2)+1,(('Solver Model &amp; Output'!$M$3+1)*2)+1), FALSE)</f>
        <v>9.1999999999999998E-2</v>
      </c>
      <c r="K107" s="8">
        <f>VLOOKUP(F107,'DVOA DATA'!$A$1:$AK$35,IF('Solver Model &amp; Output'!$M$3&lt;3,(('Solver Model &amp; Output'!$M$3)*2)+1,(('Solver Model &amp; Output'!$M$3+1)*2)+1), FALSE)</f>
        <v>0.01</v>
      </c>
      <c r="L107" s="42">
        <f t="shared" si="10"/>
        <v>-0.14000000000000001</v>
      </c>
      <c r="M107" s="42">
        <f t="shared" si="11"/>
        <v>0.10400000000000001</v>
      </c>
      <c r="N107">
        <f t="shared" si="12"/>
        <v>-0.24400000000000002</v>
      </c>
      <c r="O107" t="str">
        <f t="shared" si="9"/>
        <v>BAL</v>
      </c>
      <c r="P107" t="s">
        <v>55</v>
      </c>
      <c r="Q107">
        <f t="shared" si="13"/>
        <v>1</v>
      </c>
    </row>
    <row r="108" spans="1:17">
      <c r="A108">
        <v>2011</v>
      </c>
      <c r="B108">
        <v>8</v>
      </c>
      <c r="C108" s="7" t="str">
        <f t="shared" si="8"/>
        <v>MIN</v>
      </c>
      <c r="D108" s="2">
        <f t="shared" si="14"/>
        <v>0.15699999999999997</v>
      </c>
      <c r="E108" t="s">
        <v>70</v>
      </c>
      <c r="F108" t="s">
        <v>57</v>
      </c>
      <c r="H108" s="8">
        <f>VLOOKUP(E108,'DVOA DATA'!$A$1:$AK$35,IF('Solver Model &amp; Output'!$M$3&lt;3,('Solver Model &amp; Output'!$M$3)*2,('Solver Model &amp; Output'!$M$3+1)*2), FALSE)</f>
        <v>5.7000000000000002E-2</v>
      </c>
      <c r="I108" s="8">
        <f>VLOOKUP(F108,'DVOA DATA'!$A$1:$AK$35,IF('Solver Model &amp; Output'!$M$3&lt;3,('Solver Model &amp; Output'!$M$3)*2,('Solver Model &amp; Output'!$M$3+1)*2), FALSE)</f>
        <v>-0.14099999999999999</v>
      </c>
      <c r="J108" s="8">
        <f>VLOOKUP(E108,'DVOA DATA'!$A$1:$AK$35,IF('Solver Model &amp; Output'!$M$3&lt;3,(('Solver Model &amp; Output'!$M$3)*2)+1,(('Solver Model &amp; Output'!$M$3+1)*2)+1), FALSE)</f>
        <v>7.0000000000000007E-2</v>
      </c>
      <c r="K108" s="8">
        <f>VLOOKUP(F108,'DVOA DATA'!$A$1:$AK$35,IF('Solver Model &amp; Output'!$M$3&lt;3,(('Solver Model &amp; Output'!$M$3)*2)+1,(('Solver Model &amp; Output'!$M$3+1)*2)+1), FALSE)</f>
        <v>2.9000000000000001E-2</v>
      </c>
      <c r="L108" s="42">
        <f t="shared" si="10"/>
        <v>-1.3000000000000005E-2</v>
      </c>
      <c r="M108" s="42">
        <f t="shared" si="11"/>
        <v>-0.16999999999999998</v>
      </c>
      <c r="N108">
        <f t="shared" si="12"/>
        <v>0.15699999999999997</v>
      </c>
      <c r="O108" t="str">
        <f t="shared" si="9"/>
        <v>MIN</v>
      </c>
      <c r="P108" t="s">
        <v>70</v>
      </c>
      <c r="Q108">
        <f t="shared" si="13"/>
        <v>1</v>
      </c>
    </row>
    <row r="109" spans="1:17">
      <c r="A109">
        <v>2011</v>
      </c>
      <c r="B109">
        <v>8</v>
      </c>
      <c r="C109" s="7" t="str">
        <f t="shared" si="8"/>
        <v>IND</v>
      </c>
      <c r="D109" s="2">
        <f t="shared" si="14"/>
        <v>0.21500000000000002</v>
      </c>
      <c r="E109" t="s">
        <v>66</v>
      </c>
      <c r="F109" t="s">
        <v>83</v>
      </c>
      <c r="H109" s="8">
        <f>VLOOKUP(E109,'DVOA DATA'!$A$1:$AK$35,IF('Solver Model &amp; Output'!$M$3&lt;3,('Solver Model &amp; Output'!$M$3)*2,('Solver Model &amp; Output'!$M$3+1)*2), FALSE)</f>
        <v>0.104</v>
      </c>
      <c r="I109" s="8">
        <f>VLOOKUP(F109,'DVOA DATA'!$A$1:$AK$35,IF('Solver Model &amp; Output'!$M$3&lt;3,('Solver Model &amp; Output'!$M$3)*2,('Solver Model &amp; Output'!$M$3+1)*2), FALSE)</f>
        <v>-9.9000000000000005E-2</v>
      </c>
      <c r="J109" s="8">
        <f>VLOOKUP(E109,'DVOA DATA'!$A$1:$AK$35,IF('Solver Model &amp; Output'!$M$3&lt;3,(('Solver Model &amp; Output'!$M$3)*2)+1,(('Solver Model &amp; Output'!$M$3+1)*2)+1), FALSE)</f>
        <v>9.1999999999999998E-2</v>
      </c>
      <c r="K109" s="8">
        <f>VLOOKUP(F109,'DVOA DATA'!$A$1:$AK$35,IF('Solver Model &amp; Output'!$M$3&lt;3,(('Solver Model &amp; Output'!$M$3)*2)+1,(('Solver Model &amp; Output'!$M$3+1)*2)+1), FALSE)</f>
        <v>0.104</v>
      </c>
      <c r="L109" s="42">
        <f t="shared" si="10"/>
        <v>1.1999999999999997E-2</v>
      </c>
      <c r="M109" s="42">
        <f t="shared" si="11"/>
        <v>-0.20300000000000001</v>
      </c>
      <c r="N109">
        <f t="shared" si="12"/>
        <v>0.21500000000000002</v>
      </c>
      <c r="O109" t="str">
        <f t="shared" si="9"/>
        <v>IND</v>
      </c>
      <c r="P109" t="s">
        <v>83</v>
      </c>
      <c r="Q109">
        <f t="shared" si="13"/>
        <v>0</v>
      </c>
    </row>
    <row r="110" spans="1:17">
      <c r="A110">
        <v>2011</v>
      </c>
      <c r="B110">
        <v>8</v>
      </c>
      <c r="C110" s="7" t="str">
        <f t="shared" si="8"/>
        <v>HOU</v>
      </c>
      <c r="D110" s="2">
        <f t="shared" si="14"/>
        <v>0.25700000000000001</v>
      </c>
      <c r="E110" t="s">
        <v>67</v>
      </c>
      <c r="F110" t="s">
        <v>65</v>
      </c>
      <c r="H110" s="8">
        <f>VLOOKUP(E110,'DVOA DATA'!$A$1:$AK$35,IF('Solver Model &amp; Output'!$M$3&lt;3,('Solver Model &amp; Output'!$M$3)*2,('Solver Model &amp; Output'!$M$3+1)*2), FALSE)</f>
        <v>4.5999999999999999E-2</v>
      </c>
      <c r="I110" s="8">
        <f>VLOOKUP(F110,'DVOA DATA'!$A$1:$AK$35,IF('Solver Model &amp; Output'!$M$3&lt;3,('Solver Model &amp; Output'!$M$3)*2,('Solver Model &amp; Output'!$M$3+1)*2), FALSE)</f>
        <v>0.2</v>
      </c>
      <c r="J110" s="8">
        <f>VLOOKUP(E110,'DVOA DATA'!$A$1:$AK$35,IF('Solver Model &amp; Output'!$M$3&lt;3,(('Solver Model &amp; Output'!$M$3)*2)+1,(('Solver Model &amp; Output'!$M$3+1)*2)+1), FALSE)</f>
        <v>4.1000000000000002E-2</v>
      </c>
      <c r="K110" s="8">
        <f>VLOOKUP(F110,'DVOA DATA'!$A$1:$AK$35,IF('Solver Model &amp; Output'!$M$3&lt;3,(('Solver Model &amp; Output'!$M$3)*2)+1,(('Solver Model &amp; Output'!$M$3+1)*2)+1), FALSE)</f>
        <v>0.13800000000000001</v>
      </c>
      <c r="L110" s="42">
        <f t="shared" si="10"/>
        <v>4.9999999999999975E-3</v>
      </c>
      <c r="M110" s="42">
        <f t="shared" si="11"/>
        <v>6.2E-2</v>
      </c>
      <c r="N110">
        <f t="shared" si="12"/>
        <v>-5.7000000000000002E-2</v>
      </c>
      <c r="O110" t="str">
        <f t="shared" si="9"/>
        <v>HOU</v>
      </c>
      <c r="P110" t="s">
        <v>65</v>
      </c>
      <c r="Q110">
        <f t="shared" si="13"/>
        <v>1</v>
      </c>
    </row>
    <row r="111" spans="1:17">
      <c r="A111">
        <v>2011</v>
      </c>
      <c r="B111">
        <v>8</v>
      </c>
      <c r="C111" s="7" t="str">
        <f t="shared" si="8"/>
        <v>DET</v>
      </c>
      <c r="D111" s="2">
        <f t="shared" si="14"/>
        <v>0.13699999999999998</v>
      </c>
      <c r="E111" t="s">
        <v>63</v>
      </c>
      <c r="F111" t="s">
        <v>62</v>
      </c>
      <c r="H111" s="8">
        <f>VLOOKUP(E111,'DVOA DATA'!$A$1:$AK$35,IF('Solver Model &amp; Output'!$M$3&lt;3,('Solver Model &amp; Output'!$M$3)*2,('Solver Model &amp; Output'!$M$3+1)*2), FALSE)</f>
        <v>5.2999999999999999E-2</v>
      </c>
      <c r="I111" s="8">
        <f>VLOOKUP(F111,'DVOA DATA'!$A$1:$AK$35,IF('Solver Model &amp; Output'!$M$3&lt;3,('Solver Model &amp; Output'!$M$3)*2,('Solver Model &amp; Output'!$M$3+1)*2), FALSE)</f>
        <v>-4.2999999999999997E-2</v>
      </c>
      <c r="J111" s="8">
        <f>VLOOKUP(E111,'DVOA DATA'!$A$1:$AK$35,IF('Solver Model &amp; Output'!$M$3&lt;3,(('Solver Model &amp; Output'!$M$3)*2)+1,(('Solver Model &amp; Output'!$M$3+1)*2)+1), FALSE)</f>
        <v>6.5000000000000002E-2</v>
      </c>
      <c r="K111" s="8">
        <f>VLOOKUP(F111,'DVOA DATA'!$A$1:$AK$35,IF('Solver Model &amp; Output'!$M$3&lt;3,(('Solver Model &amp; Output'!$M$3)*2)+1,(('Solver Model &amp; Output'!$M$3+1)*2)+1), FALSE)</f>
        <v>0.106</v>
      </c>
      <c r="L111" s="42">
        <f t="shared" si="10"/>
        <v>-1.2000000000000004E-2</v>
      </c>
      <c r="M111" s="42">
        <f t="shared" si="11"/>
        <v>-0.14899999999999999</v>
      </c>
      <c r="N111">
        <f t="shared" si="12"/>
        <v>0.13699999999999998</v>
      </c>
      <c r="O111" t="str">
        <f t="shared" si="9"/>
        <v>DET</v>
      </c>
      <c r="P111" t="s">
        <v>63</v>
      </c>
      <c r="Q111">
        <f t="shared" si="13"/>
        <v>1</v>
      </c>
    </row>
    <row r="112" spans="1:17">
      <c r="A112">
        <v>2011</v>
      </c>
      <c r="B112">
        <v>8</v>
      </c>
      <c r="C112" s="7" t="str">
        <f t="shared" si="8"/>
        <v>BUF</v>
      </c>
      <c r="D112" s="2">
        <f t="shared" si="14"/>
        <v>0.22500000000000003</v>
      </c>
      <c r="E112" t="s">
        <v>84</v>
      </c>
      <c r="F112" t="s">
        <v>56</v>
      </c>
      <c r="H112" s="8">
        <f>VLOOKUP(E112,'DVOA DATA'!$A$1:$AK$35,IF('Solver Model &amp; Output'!$M$3&lt;3,('Solver Model &amp; Output'!$M$3)*2,('Solver Model &amp; Output'!$M$3+1)*2), FALSE)</f>
        <v>-5.6000000000000001E-2</v>
      </c>
      <c r="I112" s="8">
        <f>VLOOKUP(F112,'DVOA DATA'!$A$1:$AK$35,IF('Solver Model &amp; Output'!$M$3&lt;3,('Solver Model &amp; Output'!$M$3)*2,('Solver Model &amp; Output'!$M$3+1)*2), FALSE)</f>
        <v>-2.7E-2</v>
      </c>
      <c r="J112" s="8">
        <f>VLOOKUP(E112,'DVOA DATA'!$A$1:$AK$35,IF('Solver Model &amp; Output'!$M$3&lt;3,(('Solver Model &amp; Output'!$M$3)*2)+1,(('Solver Model &amp; Output'!$M$3+1)*2)+1), FALSE)</f>
        <v>1.4999999999999999E-2</v>
      </c>
      <c r="K112" s="8">
        <f>VLOOKUP(F112,'DVOA DATA'!$A$1:$AK$35,IF('Solver Model &amp; Output'!$M$3&lt;3,(('Solver Model &amp; Output'!$M$3)*2)+1,(('Solver Model &amp; Output'!$M$3+1)*2)+1), FALSE)</f>
        <v>1.9E-2</v>
      </c>
      <c r="L112" s="42">
        <f t="shared" si="10"/>
        <v>-7.1000000000000008E-2</v>
      </c>
      <c r="M112" s="42">
        <f t="shared" si="11"/>
        <v>-4.5999999999999999E-2</v>
      </c>
      <c r="N112">
        <f t="shared" si="12"/>
        <v>-2.5000000000000008E-2</v>
      </c>
      <c r="O112" t="str">
        <f t="shared" si="9"/>
        <v>BUF</v>
      </c>
      <c r="P112" t="s">
        <v>56</v>
      </c>
      <c r="Q112">
        <f t="shared" si="13"/>
        <v>1</v>
      </c>
    </row>
    <row r="113" spans="1:17">
      <c r="A113">
        <v>2011</v>
      </c>
      <c r="B113">
        <v>8</v>
      </c>
      <c r="C113" s="7" t="str">
        <f t="shared" si="8"/>
        <v>CIN</v>
      </c>
      <c r="D113" s="2">
        <f t="shared" si="14"/>
        <v>0.10099999999999999</v>
      </c>
      <c r="E113" t="s">
        <v>59</v>
      </c>
      <c r="F113" t="s">
        <v>79</v>
      </c>
      <c r="H113" s="8">
        <f>VLOOKUP(E113,'DVOA DATA'!$A$1:$AK$35,IF('Solver Model &amp; Output'!$M$3&lt;3,('Solver Model &amp; Output'!$M$3)*2,('Solver Model &amp; Output'!$M$3+1)*2), FALSE)</f>
        <v>-6.3E-2</v>
      </c>
      <c r="I113" s="8">
        <f>VLOOKUP(F113,'DVOA DATA'!$A$1:$AK$35,IF('Solver Model &amp; Output'!$M$3&lt;3,('Solver Model &amp; Output'!$M$3)*2,('Solver Model &amp; Output'!$M$3+1)*2), FALSE)</f>
        <v>-0.23699999999999999</v>
      </c>
      <c r="J113" s="8">
        <f>VLOOKUP(E113,'DVOA DATA'!$A$1:$AK$35,IF('Solver Model &amp; Output'!$M$3&lt;3,(('Solver Model &amp; Output'!$M$3)*2)+1,(('Solver Model &amp; Output'!$M$3+1)*2)+1), FALSE)</f>
        <v>4.9000000000000002E-2</v>
      </c>
      <c r="K113" s="8">
        <f>VLOOKUP(F113,'DVOA DATA'!$A$1:$AK$35,IF('Solver Model &amp; Output'!$M$3&lt;3,(('Solver Model &amp; Output'!$M$3)*2)+1,(('Solver Model &amp; Output'!$M$3+1)*2)+1), FALSE)</f>
        <v>-2.4E-2</v>
      </c>
      <c r="L113" s="42">
        <f t="shared" si="10"/>
        <v>-0.112</v>
      </c>
      <c r="M113" s="42">
        <f t="shared" si="11"/>
        <v>-0.21299999999999999</v>
      </c>
      <c r="N113">
        <f t="shared" si="12"/>
        <v>0.10099999999999999</v>
      </c>
      <c r="O113" t="str">
        <f t="shared" si="9"/>
        <v>CIN</v>
      </c>
      <c r="P113" t="s">
        <v>59</v>
      </c>
      <c r="Q113">
        <f t="shared" si="13"/>
        <v>1</v>
      </c>
    </row>
    <row r="114" spans="1:17">
      <c r="A114">
        <v>2011</v>
      </c>
      <c r="B114">
        <v>8</v>
      </c>
      <c r="C114" s="7" t="str">
        <f t="shared" si="8"/>
        <v>SF</v>
      </c>
      <c r="D114" s="2">
        <f t="shared" si="14"/>
        <v>0.20500000000000002</v>
      </c>
      <c r="E114" t="s">
        <v>60</v>
      </c>
      <c r="F114" t="s">
        <v>80</v>
      </c>
      <c r="H114" s="8">
        <f>VLOOKUP(E114,'DVOA DATA'!$A$1:$AK$35,IF('Solver Model &amp; Output'!$M$3&lt;3,('Solver Model &amp; Output'!$M$3)*2,('Solver Model &amp; Output'!$M$3+1)*2), FALSE)</f>
        <v>-0.03</v>
      </c>
      <c r="I114" s="8">
        <f>VLOOKUP(F114,'DVOA DATA'!$A$1:$AK$35,IF('Solver Model &amp; Output'!$M$3&lt;3,('Solver Model &amp; Output'!$M$3)*2,('Solver Model &amp; Output'!$M$3+1)*2), FALSE)</f>
        <v>-5.8999999999999997E-2</v>
      </c>
      <c r="J114" s="8">
        <f>VLOOKUP(E114,'DVOA DATA'!$A$1:$AK$35,IF('Solver Model &amp; Output'!$M$3&lt;3,(('Solver Model &amp; Output'!$M$3)*2)+1,(('Solver Model &amp; Output'!$M$3+1)*2)+1), FALSE)</f>
        <v>4.8000000000000001E-2</v>
      </c>
      <c r="K114" s="8">
        <f>VLOOKUP(F114,'DVOA DATA'!$A$1:$AK$35,IF('Solver Model &amp; Output'!$M$3&lt;3,(('Solver Model &amp; Output'!$M$3)*2)+1,(('Solver Model &amp; Output'!$M$3+1)*2)+1), FALSE)</f>
        <v>1.4E-2</v>
      </c>
      <c r="L114" s="42">
        <f t="shared" si="10"/>
        <v>-7.8E-2</v>
      </c>
      <c r="M114" s="42">
        <f t="shared" si="11"/>
        <v>-7.2999999999999995E-2</v>
      </c>
      <c r="N114">
        <f t="shared" si="12"/>
        <v>-5.0000000000000044E-3</v>
      </c>
      <c r="O114" t="str">
        <f t="shared" si="9"/>
        <v>SF</v>
      </c>
      <c r="P114" t="s">
        <v>80</v>
      </c>
      <c r="Q114">
        <f t="shared" si="13"/>
        <v>1</v>
      </c>
    </row>
    <row r="115" spans="1:17">
      <c r="A115">
        <v>2011</v>
      </c>
      <c r="B115">
        <v>8</v>
      </c>
      <c r="C115" s="7" t="str">
        <f t="shared" si="8"/>
        <v>PIT</v>
      </c>
      <c r="D115" s="2">
        <f t="shared" si="14"/>
        <v>0.22300000000000003</v>
      </c>
      <c r="E115" t="s">
        <v>71</v>
      </c>
      <c r="F115" t="s">
        <v>77</v>
      </c>
      <c r="H115" s="8">
        <f>VLOOKUP(E115,'DVOA DATA'!$A$1:$AK$35,IF('Solver Model &amp; Output'!$M$3&lt;3,('Solver Model &amp; Output'!$M$3)*2,('Solver Model &amp; Output'!$M$3+1)*2), FALSE)</f>
        <v>0.309</v>
      </c>
      <c r="I115" s="8">
        <f>VLOOKUP(F115,'DVOA DATA'!$A$1:$AK$35,IF('Solver Model &amp; Output'!$M$3&lt;3,('Solver Model &amp; Output'!$M$3)*2,('Solver Model &amp; Output'!$M$3+1)*2), FALSE)</f>
        <v>0.16900000000000001</v>
      </c>
      <c r="J115" s="8">
        <f>VLOOKUP(E115,'DVOA DATA'!$A$1:$AK$35,IF('Solver Model &amp; Output'!$M$3&lt;3,(('Solver Model &amp; Output'!$M$3)*2)+1,(('Solver Model &amp; Output'!$M$3+1)*2)+1), FALSE)</f>
        <v>3.6999999999999998E-2</v>
      </c>
      <c r="K115" s="8">
        <f>VLOOKUP(F115,'DVOA DATA'!$A$1:$AK$35,IF('Solver Model &amp; Output'!$M$3&lt;3,(('Solver Model &amp; Output'!$M$3)*2)+1,(('Solver Model &amp; Output'!$M$3+1)*2)+1), FALSE)</f>
        <v>-0.126</v>
      </c>
      <c r="L115" s="42">
        <f t="shared" si="10"/>
        <v>0.27200000000000002</v>
      </c>
      <c r="M115" s="42">
        <f t="shared" si="11"/>
        <v>0.29500000000000004</v>
      </c>
      <c r="N115">
        <f t="shared" si="12"/>
        <v>-2.300000000000002E-2</v>
      </c>
      <c r="O115" t="str">
        <f t="shared" si="9"/>
        <v>PIT</v>
      </c>
      <c r="P115" t="s">
        <v>77</v>
      </c>
      <c r="Q115">
        <f t="shared" si="13"/>
        <v>1</v>
      </c>
    </row>
    <row r="116" spans="1:17">
      <c r="A116">
        <v>2011</v>
      </c>
      <c r="B116">
        <v>8</v>
      </c>
      <c r="C116" s="7" t="str">
        <f t="shared" si="8"/>
        <v>PHI</v>
      </c>
      <c r="D116" s="2">
        <f t="shared" si="14"/>
        <v>0.48100000000000004</v>
      </c>
      <c r="E116" t="s">
        <v>61</v>
      </c>
      <c r="F116" t="s">
        <v>76</v>
      </c>
      <c r="H116" s="8">
        <f>VLOOKUP(E116,'DVOA DATA'!$A$1:$AK$35,IF('Solver Model &amp; Output'!$M$3&lt;3,('Solver Model &amp; Output'!$M$3)*2,('Solver Model &amp; Output'!$M$3+1)*2), FALSE)</f>
        <v>1.6E-2</v>
      </c>
      <c r="I116" s="8">
        <f>VLOOKUP(F116,'DVOA DATA'!$A$1:$AK$35,IF('Solver Model &amp; Output'!$M$3&lt;3,('Solver Model &amp; Output'!$M$3)*2,('Solver Model &amp; Output'!$M$3+1)*2), FALSE)</f>
        <v>0.123</v>
      </c>
      <c r="J116" s="8">
        <f>VLOOKUP(E116,'DVOA DATA'!$A$1:$AK$35,IF('Solver Model &amp; Output'!$M$3&lt;3,(('Solver Model &amp; Output'!$M$3)*2)+1,(('Solver Model &amp; Output'!$M$3+1)*2)+1), FALSE)</f>
        <v>8.8999999999999996E-2</v>
      </c>
      <c r="K116" s="8">
        <f>VLOOKUP(F116,'DVOA DATA'!$A$1:$AK$35,IF('Solver Model &amp; Output'!$M$3&lt;3,(('Solver Model &amp; Output'!$M$3)*2)+1,(('Solver Model &amp; Output'!$M$3+1)*2)+1), FALSE)</f>
        <v>-8.5000000000000006E-2</v>
      </c>
      <c r="L116" s="42">
        <f t="shared" si="10"/>
        <v>-7.2999999999999995E-2</v>
      </c>
      <c r="M116" s="42">
        <f t="shared" si="11"/>
        <v>0.20800000000000002</v>
      </c>
      <c r="N116">
        <f t="shared" si="12"/>
        <v>-0.28100000000000003</v>
      </c>
      <c r="O116" t="str">
        <f t="shared" si="9"/>
        <v>PHI</v>
      </c>
      <c r="P116" t="s">
        <v>76</v>
      </c>
      <c r="Q116">
        <f t="shared" si="13"/>
        <v>1</v>
      </c>
    </row>
    <row r="117" spans="1:17">
      <c r="A117">
        <v>2011</v>
      </c>
      <c r="B117">
        <v>8</v>
      </c>
      <c r="C117" s="7" t="str">
        <f t="shared" si="8"/>
        <v>SD</v>
      </c>
      <c r="D117" s="2">
        <f t="shared" si="14"/>
        <v>0.32800000000000001</v>
      </c>
      <c r="E117" t="s">
        <v>78</v>
      </c>
      <c r="F117" t="s">
        <v>68</v>
      </c>
      <c r="H117" s="8">
        <f>VLOOKUP(E117,'DVOA DATA'!$A$1:$AK$35,IF('Solver Model &amp; Output'!$M$3&lt;3,('Solver Model &amp; Output'!$M$3)*2,('Solver Model &amp; Output'!$M$3+1)*2), FALSE)</f>
        <v>0.32600000000000001</v>
      </c>
      <c r="I117" s="8">
        <f>VLOOKUP(F117,'DVOA DATA'!$A$1:$AK$35,IF('Solver Model &amp; Output'!$M$3&lt;3,('Solver Model &amp; Output'!$M$3)*2,('Solver Model &amp; Output'!$M$3+1)*2), FALSE)</f>
        <v>-4.7E-2</v>
      </c>
      <c r="J117" s="8">
        <f>VLOOKUP(E117,'DVOA DATA'!$A$1:$AK$35,IF('Solver Model &amp; Output'!$M$3&lt;3,(('Solver Model &amp; Output'!$M$3)*2)+1,(('Solver Model &amp; Output'!$M$3+1)*2)+1), FALSE)</f>
        <v>0.11799999999999999</v>
      </c>
      <c r="K117" s="8">
        <f>VLOOKUP(F117,'DVOA DATA'!$A$1:$AK$35,IF('Solver Model &amp; Output'!$M$3&lt;3,(('Solver Model &amp; Output'!$M$3)*2)+1,(('Solver Model &amp; Output'!$M$3+1)*2)+1), FALSE)</f>
        <v>7.2999999999999995E-2</v>
      </c>
      <c r="L117" s="42">
        <f t="shared" si="10"/>
        <v>0.20800000000000002</v>
      </c>
      <c r="M117" s="42">
        <f t="shared" si="11"/>
        <v>-0.12</v>
      </c>
      <c r="N117">
        <f t="shared" si="12"/>
        <v>0.32800000000000001</v>
      </c>
      <c r="O117" t="str">
        <f t="shared" si="9"/>
        <v>SD</v>
      </c>
      <c r="P117" t="s">
        <v>68</v>
      </c>
      <c r="Q117">
        <f t="shared" si="13"/>
        <v>0</v>
      </c>
    </row>
    <row r="118" spans="1:17">
      <c r="A118">
        <v>2011</v>
      </c>
      <c r="B118">
        <v>9</v>
      </c>
      <c r="C118" s="7" t="str">
        <f t="shared" si="8"/>
        <v>MIA</v>
      </c>
      <c r="D118" s="2">
        <f t="shared" si="14"/>
        <v>0.20799999999999999</v>
      </c>
      <c r="E118" t="s">
        <v>69</v>
      </c>
      <c r="F118" t="s">
        <v>68</v>
      </c>
      <c r="H118" s="8">
        <f>VLOOKUP(E118,'DVOA DATA'!$A$1:$AK$35,IF('Solver Model &amp; Output'!$M$3&lt;3,('Solver Model &amp; Output'!$M$3)*2,('Solver Model &amp; Output'!$M$3+1)*2), FALSE)</f>
        <v>0.106</v>
      </c>
      <c r="I118" s="8">
        <f>VLOOKUP(F118,'DVOA DATA'!$A$1:$AK$35,IF('Solver Model &amp; Output'!$M$3&lt;3,('Solver Model &amp; Output'!$M$3)*2,('Solver Model &amp; Output'!$M$3+1)*2), FALSE)</f>
        <v>-4.7E-2</v>
      </c>
      <c r="J118" s="8">
        <f>VLOOKUP(E118,'DVOA DATA'!$A$1:$AK$35,IF('Solver Model &amp; Output'!$M$3&lt;3,(('Solver Model &amp; Output'!$M$3)*2)+1,(('Solver Model &amp; Output'!$M$3+1)*2)+1), FALSE)</f>
        <v>1.7999999999999999E-2</v>
      </c>
      <c r="K118" s="8">
        <f>VLOOKUP(F118,'DVOA DATA'!$A$1:$AK$35,IF('Solver Model &amp; Output'!$M$3&lt;3,(('Solver Model &amp; Output'!$M$3)*2)+1,(('Solver Model &amp; Output'!$M$3+1)*2)+1), FALSE)</f>
        <v>7.2999999999999995E-2</v>
      </c>
      <c r="L118" s="42">
        <f t="shared" si="10"/>
        <v>8.7999999999999995E-2</v>
      </c>
      <c r="M118" s="42">
        <f t="shared" si="11"/>
        <v>-0.12</v>
      </c>
      <c r="N118">
        <f t="shared" si="12"/>
        <v>0.20799999999999999</v>
      </c>
      <c r="O118" t="str">
        <f t="shared" si="9"/>
        <v>MIA</v>
      </c>
      <c r="P118" t="s">
        <v>69</v>
      </c>
      <c r="Q118">
        <f t="shared" si="13"/>
        <v>1</v>
      </c>
    </row>
    <row r="119" spans="1:17">
      <c r="A119">
        <v>2011</v>
      </c>
      <c r="B119">
        <v>9</v>
      </c>
      <c r="C119" s="7" t="str">
        <f t="shared" si="8"/>
        <v>NO</v>
      </c>
      <c r="D119" s="2">
        <f t="shared" si="14"/>
        <v>0.36</v>
      </c>
      <c r="E119" t="s">
        <v>82</v>
      </c>
      <c r="F119" t="s">
        <v>72</v>
      </c>
      <c r="H119" s="8">
        <f>VLOOKUP(E119,'DVOA DATA'!$A$1:$AK$35,IF('Solver Model &amp; Output'!$M$3&lt;3,('Solver Model &amp; Output'!$M$3)*2,('Solver Model &amp; Output'!$M$3+1)*2), FALSE)</f>
        <v>2.8000000000000001E-2</v>
      </c>
      <c r="I119" s="8">
        <f>VLOOKUP(F119,'DVOA DATA'!$A$1:$AK$35,IF('Solver Model &amp; Output'!$M$3&lt;3,('Solver Model &amp; Output'!$M$3)*2,('Solver Model &amp; Output'!$M$3+1)*2), FALSE)</f>
        <v>0.19600000000000001</v>
      </c>
      <c r="J119" s="8">
        <f>VLOOKUP(E119,'DVOA DATA'!$A$1:$AK$35,IF('Solver Model &amp; Output'!$M$3&lt;3,(('Solver Model &amp; Output'!$M$3)*2)+1,(('Solver Model &amp; Output'!$M$3+1)*2)+1), FALSE)</f>
        <v>0.104</v>
      </c>
      <c r="K119" s="8">
        <f>VLOOKUP(F119,'DVOA DATA'!$A$1:$AK$35,IF('Solver Model &amp; Output'!$M$3&lt;3,(('Solver Model &amp; Output'!$M$3)*2)+1,(('Solver Model &amp; Output'!$M$3+1)*2)+1), FALSE)</f>
        <v>0.112</v>
      </c>
      <c r="L119" s="42">
        <f t="shared" si="10"/>
        <v>-7.5999999999999998E-2</v>
      </c>
      <c r="M119" s="42">
        <f t="shared" si="11"/>
        <v>8.4000000000000005E-2</v>
      </c>
      <c r="N119">
        <f t="shared" si="12"/>
        <v>-0.16</v>
      </c>
      <c r="O119" t="str">
        <f t="shared" si="9"/>
        <v>NO</v>
      </c>
      <c r="P119" t="s">
        <v>72</v>
      </c>
      <c r="Q119">
        <f t="shared" si="13"/>
        <v>1</v>
      </c>
    </row>
    <row r="120" spans="1:17">
      <c r="A120">
        <v>2011</v>
      </c>
      <c r="B120">
        <v>9</v>
      </c>
      <c r="C120" s="7" t="str">
        <f t="shared" si="8"/>
        <v>ATL</v>
      </c>
      <c r="D120" s="2">
        <f t="shared" si="14"/>
        <v>8.2000000000000003E-2</v>
      </c>
      <c r="E120" t="s">
        <v>54</v>
      </c>
      <c r="F120" t="s">
        <v>66</v>
      </c>
      <c r="H120" s="8">
        <f>VLOOKUP(E120,'DVOA DATA'!$A$1:$AK$35,IF('Solver Model &amp; Output'!$M$3&lt;3,('Solver Model &amp; Output'!$M$3)*2,('Solver Model &amp; Output'!$M$3+1)*2), FALSE)</f>
        <v>0.13</v>
      </c>
      <c r="I120" s="8">
        <f>VLOOKUP(F120,'DVOA DATA'!$A$1:$AK$35,IF('Solver Model &amp; Output'!$M$3&lt;3,('Solver Model &amp; Output'!$M$3)*2,('Solver Model &amp; Output'!$M$3+1)*2), FALSE)</f>
        <v>0.104</v>
      </c>
      <c r="J120" s="8">
        <f>VLOOKUP(E120,'DVOA DATA'!$A$1:$AK$35,IF('Solver Model &amp; Output'!$M$3&lt;3,(('Solver Model &amp; Output'!$M$3)*2)+1,(('Solver Model &amp; Output'!$M$3+1)*2)+1), FALSE)</f>
        <v>3.5999999999999997E-2</v>
      </c>
      <c r="K120" s="8">
        <f>VLOOKUP(F120,'DVOA DATA'!$A$1:$AK$35,IF('Solver Model &amp; Output'!$M$3&lt;3,(('Solver Model &amp; Output'!$M$3)*2)+1,(('Solver Model &amp; Output'!$M$3+1)*2)+1), FALSE)</f>
        <v>9.1999999999999998E-2</v>
      </c>
      <c r="L120" s="42">
        <f t="shared" si="10"/>
        <v>9.4E-2</v>
      </c>
      <c r="M120" s="42">
        <f t="shared" si="11"/>
        <v>1.1999999999999997E-2</v>
      </c>
      <c r="N120">
        <f t="shared" si="12"/>
        <v>8.2000000000000003E-2</v>
      </c>
      <c r="O120" t="str">
        <f t="shared" si="9"/>
        <v>ATL</v>
      </c>
      <c r="P120" t="s">
        <v>54</v>
      </c>
      <c r="Q120">
        <f t="shared" si="13"/>
        <v>1</v>
      </c>
    </row>
    <row r="121" spans="1:17">
      <c r="A121">
        <v>2011</v>
      </c>
      <c r="B121">
        <v>9</v>
      </c>
      <c r="C121" s="7" t="str">
        <f t="shared" si="8"/>
        <v>HOU</v>
      </c>
      <c r="D121" s="2">
        <f t="shared" si="14"/>
        <v>0.34</v>
      </c>
      <c r="E121" t="s">
        <v>60</v>
      </c>
      <c r="F121" t="s">
        <v>65</v>
      </c>
      <c r="H121" s="8">
        <f>VLOOKUP(E121,'DVOA DATA'!$A$1:$AK$35,IF('Solver Model &amp; Output'!$M$3&lt;3,('Solver Model &amp; Output'!$M$3)*2,('Solver Model &amp; Output'!$M$3+1)*2), FALSE)</f>
        <v>-0.03</v>
      </c>
      <c r="I121" s="8">
        <f>VLOOKUP(F121,'DVOA DATA'!$A$1:$AK$35,IF('Solver Model &amp; Output'!$M$3&lt;3,('Solver Model &amp; Output'!$M$3)*2,('Solver Model &amp; Output'!$M$3+1)*2), FALSE)</f>
        <v>0.2</v>
      </c>
      <c r="J121" s="8">
        <f>VLOOKUP(E121,'DVOA DATA'!$A$1:$AK$35,IF('Solver Model &amp; Output'!$M$3&lt;3,(('Solver Model &amp; Output'!$M$3)*2)+1,(('Solver Model &amp; Output'!$M$3+1)*2)+1), FALSE)</f>
        <v>4.8000000000000001E-2</v>
      </c>
      <c r="K121" s="8">
        <f>VLOOKUP(F121,'DVOA DATA'!$A$1:$AK$35,IF('Solver Model &amp; Output'!$M$3&lt;3,(('Solver Model &amp; Output'!$M$3)*2)+1,(('Solver Model &amp; Output'!$M$3+1)*2)+1), FALSE)</f>
        <v>0.13800000000000001</v>
      </c>
      <c r="L121" s="42">
        <f t="shared" si="10"/>
        <v>-7.8E-2</v>
      </c>
      <c r="M121" s="42">
        <f t="shared" si="11"/>
        <v>6.2E-2</v>
      </c>
      <c r="N121">
        <f t="shared" si="12"/>
        <v>-0.14000000000000001</v>
      </c>
      <c r="O121" t="str">
        <f t="shared" si="9"/>
        <v>HOU</v>
      </c>
      <c r="P121" t="s">
        <v>65</v>
      </c>
      <c r="Q121">
        <f t="shared" si="13"/>
        <v>1</v>
      </c>
    </row>
    <row r="122" spans="1:17">
      <c r="A122">
        <v>2011</v>
      </c>
      <c r="B122">
        <v>9</v>
      </c>
      <c r="C122" s="7" t="str">
        <f t="shared" si="8"/>
        <v>NYJ</v>
      </c>
      <c r="D122" s="2">
        <f t="shared" si="14"/>
        <v>0.22299999999999998</v>
      </c>
      <c r="E122" t="s">
        <v>74</v>
      </c>
      <c r="F122" t="s">
        <v>56</v>
      </c>
      <c r="H122" s="8">
        <f>VLOOKUP(E122,'DVOA DATA'!$A$1:$AK$35,IF('Solver Model &amp; Output'!$M$3&lt;3,('Solver Model &amp; Output'!$M$3)*2,('Solver Model &amp; Output'!$M$3+1)*2), FALSE)</f>
        <v>-2.8000000000000001E-2</v>
      </c>
      <c r="I122" s="8">
        <f>VLOOKUP(F122,'DVOA DATA'!$A$1:$AK$35,IF('Solver Model &amp; Output'!$M$3&lt;3,('Solver Model &amp; Output'!$M$3)*2,('Solver Model &amp; Output'!$M$3+1)*2), FALSE)</f>
        <v>-2.7E-2</v>
      </c>
      <c r="J122" s="8">
        <f>VLOOKUP(E122,'DVOA DATA'!$A$1:$AK$35,IF('Solver Model &amp; Output'!$M$3&lt;3,(('Solver Model &amp; Output'!$M$3)*2)+1,(('Solver Model &amp; Output'!$M$3+1)*2)+1), FALSE)</f>
        <v>-0.20499999999999999</v>
      </c>
      <c r="K122" s="8">
        <f>VLOOKUP(F122,'DVOA DATA'!$A$1:$AK$35,IF('Solver Model &amp; Output'!$M$3&lt;3,(('Solver Model &amp; Output'!$M$3)*2)+1,(('Solver Model &amp; Output'!$M$3+1)*2)+1), FALSE)</f>
        <v>1.9E-2</v>
      </c>
      <c r="L122" s="42">
        <f t="shared" si="10"/>
        <v>0.17699999999999999</v>
      </c>
      <c r="M122" s="42">
        <f t="shared" si="11"/>
        <v>-4.5999999999999999E-2</v>
      </c>
      <c r="N122">
        <f t="shared" si="12"/>
        <v>0.22299999999999998</v>
      </c>
      <c r="O122" t="str">
        <f t="shared" si="9"/>
        <v>NYJ</v>
      </c>
      <c r="P122" t="s">
        <v>74</v>
      </c>
      <c r="Q122">
        <f t="shared" si="13"/>
        <v>1</v>
      </c>
    </row>
    <row r="123" spans="1:17">
      <c r="A123">
        <v>2011</v>
      </c>
      <c r="B123">
        <v>9</v>
      </c>
      <c r="C123" s="7" t="str">
        <f t="shared" si="8"/>
        <v>WAS</v>
      </c>
      <c r="D123" s="2">
        <f t="shared" si="14"/>
        <v>0.20200000000000001</v>
      </c>
      <c r="E123" t="s">
        <v>80</v>
      </c>
      <c r="F123" t="s">
        <v>84</v>
      </c>
      <c r="H123" s="8">
        <f>VLOOKUP(E123,'DVOA DATA'!$A$1:$AK$35,IF('Solver Model &amp; Output'!$M$3&lt;3,('Solver Model &amp; Output'!$M$3)*2,('Solver Model &amp; Output'!$M$3+1)*2), FALSE)</f>
        <v>-5.8999999999999997E-2</v>
      </c>
      <c r="I123" s="8">
        <f>VLOOKUP(F123,'DVOA DATA'!$A$1:$AK$35,IF('Solver Model &amp; Output'!$M$3&lt;3,('Solver Model &amp; Output'!$M$3)*2,('Solver Model &amp; Output'!$M$3+1)*2), FALSE)</f>
        <v>-5.6000000000000001E-2</v>
      </c>
      <c r="J123" s="8">
        <f>VLOOKUP(E123,'DVOA DATA'!$A$1:$AK$35,IF('Solver Model &amp; Output'!$M$3&lt;3,(('Solver Model &amp; Output'!$M$3)*2)+1,(('Solver Model &amp; Output'!$M$3+1)*2)+1), FALSE)</f>
        <v>1.4E-2</v>
      </c>
      <c r="K123" s="8">
        <f>VLOOKUP(F123,'DVOA DATA'!$A$1:$AK$35,IF('Solver Model &amp; Output'!$M$3&lt;3,(('Solver Model &amp; Output'!$M$3)*2)+1,(('Solver Model &amp; Output'!$M$3+1)*2)+1), FALSE)</f>
        <v>1.4999999999999999E-2</v>
      </c>
      <c r="L123" s="42">
        <f t="shared" si="10"/>
        <v>-7.2999999999999995E-2</v>
      </c>
      <c r="M123" s="42">
        <f t="shared" si="11"/>
        <v>-7.1000000000000008E-2</v>
      </c>
      <c r="N123">
        <f t="shared" si="12"/>
        <v>-1.9999999999999879E-3</v>
      </c>
      <c r="O123" t="str">
        <f t="shared" si="9"/>
        <v>WAS</v>
      </c>
      <c r="P123" t="s">
        <v>80</v>
      </c>
      <c r="Q123">
        <f t="shared" si="13"/>
        <v>0</v>
      </c>
    </row>
    <row r="124" spans="1:17">
      <c r="A124">
        <v>2011</v>
      </c>
      <c r="B124">
        <v>9</v>
      </c>
      <c r="C124" s="7" t="str">
        <f t="shared" si="8"/>
        <v>DAL</v>
      </c>
      <c r="D124" s="2">
        <f t="shared" si="14"/>
        <v>0.34</v>
      </c>
      <c r="E124" t="s">
        <v>79</v>
      </c>
      <c r="F124" t="s">
        <v>61</v>
      </c>
      <c r="H124" s="8">
        <f>VLOOKUP(E124,'DVOA DATA'!$A$1:$AK$35,IF('Solver Model &amp; Output'!$M$3&lt;3,('Solver Model &amp; Output'!$M$3)*2,('Solver Model &amp; Output'!$M$3+1)*2), FALSE)</f>
        <v>-0.23699999999999999</v>
      </c>
      <c r="I124" s="8">
        <f>VLOOKUP(F124,'DVOA DATA'!$A$1:$AK$35,IF('Solver Model &amp; Output'!$M$3&lt;3,('Solver Model &amp; Output'!$M$3)*2,('Solver Model &amp; Output'!$M$3+1)*2), FALSE)</f>
        <v>1.6E-2</v>
      </c>
      <c r="J124" s="8">
        <f>VLOOKUP(E124,'DVOA DATA'!$A$1:$AK$35,IF('Solver Model &amp; Output'!$M$3&lt;3,(('Solver Model &amp; Output'!$M$3)*2)+1,(('Solver Model &amp; Output'!$M$3+1)*2)+1), FALSE)</f>
        <v>-2.4E-2</v>
      </c>
      <c r="K124" s="8">
        <f>VLOOKUP(F124,'DVOA DATA'!$A$1:$AK$35,IF('Solver Model &amp; Output'!$M$3&lt;3,(('Solver Model &amp; Output'!$M$3)*2)+1,(('Solver Model &amp; Output'!$M$3+1)*2)+1), FALSE)</f>
        <v>8.8999999999999996E-2</v>
      </c>
      <c r="L124" s="42">
        <f t="shared" si="10"/>
        <v>-0.21299999999999999</v>
      </c>
      <c r="M124" s="42">
        <f t="shared" si="11"/>
        <v>-7.2999999999999995E-2</v>
      </c>
      <c r="N124">
        <f t="shared" si="12"/>
        <v>-0.14000000000000001</v>
      </c>
      <c r="O124" t="str">
        <f t="shared" si="9"/>
        <v>DAL</v>
      </c>
      <c r="P124" t="s">
        <v>61</v>
      </c>
      <c r="Q124">
        <f t="shared" si="13"/>
        <v>1</v>
      </c>
    </row>
    <row r="125" spans="1:17">
      <c r="A125">
        <v>2011</v>
      </c>
      <c r="B125">
        <v>9</v>
      </c>
      <c r="C125" s="7" t="str">
        <f t="shared" si="8"/>
        <v>CIN</v>
      </c>
      <c r="D125" s="2">
        <f t="shared" si="14"/>
        <v>9.1000000000000011E-2</v>
      </c>
      <c r="E125" t="s">
        <v>59</v>
      </c>
      <c r="F125" t="s">
        <v>83</v>
      </c>
      <c r="H125" s="8">
        <f>VLOOKUP(E125,'DVOA DATA'!$A$1:$AK$35,IF('Solver Model &amp; Output'!$M$3&lt;3,('Solver Model &amp; Output'!$M$3)*2,('Solver Model &amp; Output'!$M$3+1)*2), FALSE)</f>
        <v>-6.3E-2</v>
      </c>
      <c r="I125" s="8">
        <f>VLOOKUP(F125,'DVOA DATA'!$A$1:$AK$35,IF('Solver Model &amp; Output'!$M$3&lt;3,('Solver Model &amp; Output'!$M$3)*2,('Solver Model &amp; Output'!$M$3+1)*2), FALSE)</f>
        <v>-9.9000000000000005E-2</v>
      </c>
      <c r="J125" s="8">
        <f>VLOOKUP(E125,'DVOA DATA'!$A$1:$AK$35,IF('Solver Model &amp; Output'!$M$3&lt;3,(('Solver Model &amp; Output'!$M$3)*2)+1,(('Solver Model &amp; Output'!$M$3+1)*2)+1), FALSE)</f>
        <v>4.9000000000000002E-2</v>
      </c>
      <c r="K125" s="8">
        <f>VLOOKUP(F125,'DVOA DATA'!$A$1:$AK$35,IF('Solver Model &amp; Output'!$M$3&lt;3,(('Solver Model &amp; Output'!$M$3)*2)+1,(('Solver Model &amp; Output'!$M$3+1)*2)+1), FALSE)</f>
        <v>0.104</v>
      </c>
      <c r="L125" s="42">
        <f t="shared" si="10"/>
        <v>-0.112</v>
      </c>
      <c r="M125" s="42">
        <f t="shared" si="11"/>
        <v>-0.20300000000000001</v>
      </c>
      <c r="N125">
        <f t="shared" si="12"/>
        <v>9.1000000000000011E-2</v>
      </c>
      <c r="O125" t="str">
        <f t="shared" si="9"/>
        <v>CIN</v>
      </c>
      <c r="P125" t="s">
        <v>59</v>
      </c>
      <c r="Q125">
        <f t="shared" si="13"/>
        <v>1</v>
      </c>
    </row>
    <row r="126" spans="1:17">
      <c r="A126">
        <v>2011</v>
      </c>
      <c r="B126">
        <v>9</v>
      </c>
      <c r="C126" s="7" t="str">
        <f t="shared" si="8"/>
        <v>DEN</v>
      </c>
      <c r="D126" s="2">
        <f t="shared" si="14"/>
        <v>3.0000000000000027E-3</v>
      </c>
      <c r="E126" t="s">
        <v>62</v>
      </c>
      <c r="F126" t="s">
        <v>75</v>
      </c>
      <c r="H126" s="8">
        <f>VLOOKUP(E126,'DVOA DATA'!$A$1:$AK$35,IF('Solver Model &amp; Output'!$M$3&lt;3,('Solver Model &amp; Output'!$M$3)*2,('Solver Model &amp; Output'!$M$3+1)*2), FALSE)</f>
        <v>-4.2999999999999997E-2</v>
      </c>
      <c r="I126" s="8">
        <f>VLOOKUP(F126,'DVOA DATA'!$A$1:$AK$35,IF('Solver Model &amp; Output'!$M$3&lt;3,('Solver Model &amp; Output'!$M$3)*2,('Solver Model &amp; Output'!$M$3+1)*2), FALSE)</f>
        <v>-8.6999999999999994E-2</v>
      </c>
      <c r="J126" s="8">
        <f>VLOOKUP(E126,'DVOA DATA'!$A$1:$AK$35,IF('Solver Model &amp; Output'!$M$3&lt;3,(('Solver Model &amp; Output'!$M$3)*2)+1,(('Solver Model &amp; Output'!$M$3+1)*2)+1), FALSE)</f>
        <v>0.106</v>
      </c>
      <c r="K126" s="8">
        <f>VLOOKUP(F126,'DVOA DATA'!$A$1:$AK$35,IF('Solver Model &amp; Output'!$M$3&lt;3,(('Solver Model &amp; Output'!$M$3)*2)+1,(('Solver Model &amp; Output'!$M$3+1)*2)+1), FALSE)</f>
        <v>6.5000000000000002E-2</v>
      </c>
      <c r="L126" s="42">
        <f t="shared" si="10"/>
        <v>-0.14899999999999999</v>
      </c>
      <c r="M126" s="42">
        <f t="shared" si="11"/>
        <v>-0.152</v>
      </c>
      <c r="N126">
        <f t="shared" si="12"/>
        <v>3.0000000000000027E-3</v>
      </c>
      <c r="O126" t="str">
        <f t="shared" si="9"/>
        <v>DEN</v>
      </c>
      <c r="P126" t="s">
        <v>62</v>
      </c>
      <c r="Q126">
        <f t="shared" si="13"/>
        <v>1</v>
      </c>
    </row>
    <row r="127" spans="1:17">
      <c r="A127">
        <v>2011</v>
      </c>
      <c r="B127">
        <v>9</v>
      </c>
      <c r="C127" s="7" t="str">
        <f t="shared" si="8"/>
        <v>NE</v>
      </c>
      <c r="D127" s="2">
        <f t="shared" si="14"/>
        <v>0.41400000000000003</v>
      </c>
      <c r="E127" t="s">
        <v>73</v>
      </c>
      <c r="F127" t="s">
        <v>71</v>
      </c>
      <c r="H127" s="8">
        <f>VLOOKUP(E127,'DVOA DATA'!$A$1:$AK$35,IF('Solver Model &amp; Output'!$M$3&lt;3,('Solver Model &amp; Output'!$M$3)*2,('Solver Model &amp; Output'!$M$3+1)*2), FALSE)</f>
        <v>5.8999999999999997E-2</v>
      </c>
      <c r="I127" s="8">
        <f>VLOOKUP(F127,'DVOA DATA'!$A$1:$AK$35,IF('Solver Model &amp; Output'!$M$3&lt;3,('Solver Model &amp; Output'!$M$3)*2,('Solver Model &amp; Output'!$M$3+1)*2), FALSE)</f>
        <v>0.309</v>
      </c>
      <c r="J127" s="8">
        <f>VLOOKUP(E127,'DVOA DATA'!$A$1:$AK$35,IF('Solver Model &amp; Output'!$M$3&lt;3,(('Solver Model &amp; Output'!$M$3)*2)+1,(('Solver Model &amp; Output'!$M$3+1)*2)+1), FALSE)</f>
        <v>1E-3</v>
      </c>
      <c r="K127" s="8">
        <f>VLOOKUP(F127,'DVOA DATA'!$A$1:$AK$35,IF('Solver Model &amp; Output'!$M$3&lt;3,(('Solver Model &amp; Output'!$M$3)*2)+1,(('Solver Model &amp; Output'!$M$3+1)*2)+1), FALSE)</f>
        <v>3.6999999999999998E-2</v>
      </c>
      <c r="L127" s="42">
        <f t="shared" si="10"/>
        <v>5.7999999999999996E-2</v>
      </c>
      <c r="M127" s="42">
        <f t="shared" si="11"/>
        <v>0.27200000000000002</v>
      </c>
      <c r="N127">
        <f t="shared" si="12"/>
        <v>-0.21400000000000002</v>
      </c>
      <c r="O127" t="str">
        <f t="shared" si="9"/>
        <v>NE</v>
      </c>
      <c r="P127" t="s">
        <v>73</v>
      </c>
      <c r="Q127">
        <f t="shared" si="13"/>
        <v>0</v>
      </c>
    </row>
    <row r="128" spans="1:17">
      <c r="A128">
        <v>2011</v>
      </c>
      <c r="B128">
        <v>9</v>
      </c>
      <c r="C128" s="7" t="str">
        <f t="shared" si="8"/>
        <v>STL</v>
      </c>
      <c r="D128" s="2">
        <f t="shared" si="14"/>
        <v>2.9000000000000026E-2</v>
      </c>
      <c r="E128" t="s">
        <v>81</v>
      </c>
      <c r="F128" t="s">
        <v>53</v>
      </c>
      <c r="H128" s="8">
        <f>VLOOKUP(E128,'DVOA DATA'!$A$1:$AK$35,IF('Solver Model &amp; Output'!$M$3&lt;3,('Solver Model &amp; Output'!$M$3)*2,('Solver Model &amp; Output'!$M$3+1)*2), FALSE)</f>
        <v>-0.14799999999999999</v>
      </c>
      <c r="I128" s="8">
        <f>VLOOKUP(F128,'DVOA DATA'!$A$1:$AK$35,IF('Solver Model &amp; Output'!$M$3&lt;3,('Solver Model &amp; Output'!$M$3)*2,('Solver Model &amp; Output'!$M$3+1)*2), FALSE)</f>
        <v>-4.8000000000000001E-2</v>
      </c>
      <c r="J128" s="8">
        <f>VLOOKUP(E128,'DVOA DATA'!$A$1:$AK$35,IF('Solver Model &amp; Output'!$M$3&lt;3,(('Solver Model &amp; Output'!$M$3)*2)+1,(('Solver Model &amp; Output'!$M$3+1)*2)+1), FALSE)</f>
        <v>-3.6999999999999998E-2</v>
      </c>
      <c r="K128" s="8">
        <f>VLOOKUP(F128,'DVOA DATA'!$A$1:$AK$35,IF('Solver Model &amp; Output'!$M$3&lt;3,(('Solver Model &amp; Output'!$M$3)*2)+1,(('Solver Model &amp; Output'!$M$3+1)*2)+1), FALSE)</f>
        <v>9.1999999999999998E-2</v>
      </c>
      <c r="L128" s="42">
        <f t="shared" si="10"/>
        <v>-0.11099999999999999</v>
      </c>
      <c r="M128" s="42">
        <f t="shared" si="11"/>
        <v>-0.14000000000000001</v>
      </c>
      <c r="N128">
        <f t="shared" si="12"/>
        <v>2.9000000000000026E-2</v>
      </c>
      <c r="O128" t="str">
        <f t="shared" si="9"/>
        <v>STL</v>
      </c>
      <c r="P128" t="s">
        <v>53</v>
      </c>
      <c r="Q128">
        <f t="shared" si="13"/>
        <v>0</v>
      </c>
    </row>
    <row r="129" spans="1:17">
      <c r="A129">
        <v>2011</v>
      </c>
      <c r="B129">
        <v>9</v>
      </c>
      <c r="C129" s="7" t="str">
        <f t="shared" si="8"/>
        <v>SD</v>
      </c>
      <c r="D129" s="2">
        <f t="shared" si="14"/>
        <v>0.28700000000000003</v>
      </c>
      <c r="E129" t="s">
        <v>64</v>
      </c>
      <c r="F129" t="s">
        <v>78</v>
      </c>
      <c r="H129" s="8">
        <f>VLOOKUP(E129,'DVOA DATA'!$A$1:$AK$35,IF('Solver Model &amp; Output'!$M$3&lt;3,('Solver Model &amp; Output'!$M$3)*2,('Solver Model &amp; Output'!$M$3+1)*2), FALSE)</f>
        <v>9.9000000000000005E-2</v>
      </c>
      <c r="I129" s="8">
        <f>VLOOKUP(F129,'DVOA DATA'!$A$1:$AK$35,IF('Solver Model &amp; Output'!$M$3&lt;3,('Solver Model &amp; Output'!$M$3)*2,('Solver Model &amp; Output'!$M$3+1)*2), FALSE)</f>
        <v>0.32600000000000001</v>
      </c>
      <c r="J129" s="8">
        <f>VLOOKUP(E129,'DVOA DATA'!$A$1:$AK$35,IF('Solver Model &amp; Output'!$M$3&lt;3,(('Solver Model &amp; Output'!$M$3)*2)+1,(('Solver Model &amp; Output'!$M$3+1)*2)+1), FALSE)</f>
        <v>-2.1999999999999999E-2</v>
      </c>
      <c r="K129" s="8">
        <f>VLOOKUP(F129,'DVOA DATA'!$A$1:$AK$35,IF('Solver Model &amp; Output'!$M$3&lt;3,(('Solver Model &amp; Output'!$M$3)*2)+1,(('Solver Model &amp; Output'!$M$3+1)*2)+1), FALSE)</f>
        <v>0.11799999999999999</v>
      </c>
      <c r="L129" s="42">
        <f t="shared" si="10"/>
        <v>0.121</v>
      </c>
      <c r="M129" s="42">
        <f t="shared" si="11"/>
        <v>0.20800000000000002</v>
      </c>
      <c r="N129">
        <f t="shared" si="12"/>
        <v>-8.7000000000000022E-2</v>
      </c>
      <c r="O129" t="str">
        <f t="shared" si="9"/>
        <v>SD</v>
      </c>
      <c r="P129" t="s">
        <v>64</v>
      </c>
      <c r="Q129">
        <f t="shared" si="13"/>
        <v>0</v>
      </c>
    </row>
    <row r="130" spans="1:17">
      <c r="A130">
        <v>2011</v>
      </c>
      <c r="B130">
        <v>9</v>
      </c>
      <c r="C130" s="7" t="str">
        <f t="shared" ref="C130:C193" si="15">IF(N130&gt;0,E130,F130)</f>
        <v>PIT</v>
      </c>
      <c r="D130" s="2">
        <f t="shared" si="14"/>
        <v>0.39100000000000001</v>
      </c>
      <c r="E130" t="s">
        <v>55</v>
      </c>
      <c r="F130" t="s">
        <v>77</v>
      </c>
      <c r="H130" s="8">
        <f>VLOOKUP(E130,'DVOA DATA'!$A$1:$AK$35,IF('Solver Model &amp; Output'!$M$3&lt;3,('Solver Model &amp; Output'!$M$3)*2,('Solver Model &amp; Output'!$M$3+1)*2), FALSE)</f>
        <v>0.114</v>
      </c>
      <c r="I130" s="8">
        <f>VLOOKUP(F130,'DVOA DATA'!$A$1:$AK$35,IF('Solver Model &amp; Output'!$M$3&lt;3,('Solver Model &amp; Output'!$M$3)*2,('Solver Model &amp; Output'!$M$3+1)*2), FALSE)</f>
        <v>0.16900000000000001</v>
      </c>
      <c r="J130" s="8">
        <f>VLOOKUP(E130,'DVOA DATA'!$A$1:$AK$35,IF('Solver Model &amp; Output'!$M$3&lt;3,(('Solver Model &amp; Output'!$M$3)*2)+1,(('Solver Model &amp; Output'!$M$3+1)*2)+1), FALSE)</f>
        <v>0.01</v>
      </c>
      <c r="K130" s="8">
        <f>VLOOKUP(F130,'DVOA DATA'!$A$1:$AK$35,IF('Solver Model &amp; Output'!$M$3&lt;3,(('Solver Model &amp; Output'!$M$3)*2)+1,(('Solver Model &amp; Output'!$M$3+1)*2)+1), FALSE)</f>
        <v>-0.126</v>
      </c>
      <c r="L130" s="42">
        <f t="shared" si="10"/>
        <v>0.10400000000000001</v>
      </c>
      <c r="M130" s="42">
        <f t="shared" si="11"/>
        <v>0.29500000000000004</v>
      </c>
      <c r="N130">
        <f t="shared" si="12"/>
        <v>-0.19100000000000003</v>
      </c>
      <c r="O130" t="str">
        <f t="shared" ref="O130:O193" si="16">IF(N130&gt;0,E130,F130)</f>
        <v>PIT</v>
      </c>
      <c r="P130" t="s">
        <v>55</v>
      </c>
      <c r="Q130">
        <f t="shared" si="13"/>
        <v>0</v>
      </c>
    </row>
    <row r="131" spans="1:17">
      <c r="A131">
        <v>2011</v>
      </c>
      <c r="B131">
        <v>9</v>
      </c>
      <c r="C131" s="7" t="str">
        <f t="shared" si="15"/>
        <v>PHI</v>
      </c>
      <c r="D131" s="2">
        <f t="shared" si="14"/>
        <v>0.38200000000000001</v>
      </c>
      <c r="E131" t="s">
        <v>58</v>
      </c>
      <c r="F131" t="s">
        <v>76</v>
      </c>
      <c r="H131" s="8">
        <f>VLOOKUP(E131,'DVOA DATA'!$A$1:$AK$35,IF('Solver Model &amp; Output'!$M$3&lt;3,('Solver Model &amp; Output'!$M$3)*2,('Solver Model &amp; Output'!$M$3+1)*2), FALSE)</f>
        <v>-0.06</v>
      </c>
      <c r="I131" s="8">
        <f>VLOOKUP(F131,'DVOA DATA'!$A$1:$AK$35,IF('Solver Model &amp; Output'!$M$3&lt;3,('Solver Model &amp; Output'!$M$3)*2,('Solver Model &amp; Output'!$M$3+1)*2), FALSE)</f>
        <v>0.123</v>
      </c>
      <c r="J131" s="8">
        <f>VLOOKUP(E131,'DVOA DATA'!$A$1:$AK$35,IF('Solver Model &amp; Output'!$M$3&lt;3,(('Solver Model &amp; Output'!$M$3)*2)+1,(('Solver Model &amp; Output'!$M$3+1)*2)+1), FALSE)</f>
        <v>-8.5999999999999993E-2</v>
      </c>
      <c r="K131" s="8">
        <f>VLOOKUP(F131,'DVOA DATA'!$A$1:$AK$35,IF('Solver Model &amp; Output'!$M$3&lt;3,(('Solver Model &amp; Output'!$M$3)*2)+1,(('Solver Model &amp; Output'!$M$3+1)*2)+1), FALSE)</f>
        <v>-8.5000000000000006E-2</v>
      </c>
      <c r="L131" s="42">
        <f t="shared" ref="L131:L194" si="17">H131-J131</f>
        <v>2.5999999999999995E-2</v>
      </c>
      <c r="M131" s="42">
        <f t="shared" ref="M131:M194" si="18">I131-K131</f>
        <v>0.20800000000000002</v>
      </c>
      <c r="N131">
        <f t="shared" ref="N131:N194" si="19">L131-M131</f>
        <v>-0.18200000000000002</v>
      </c>
      <c r="O131" t="str">
        <f t="shared" si="16"/>
        <v>PHI</v>
      </c>
      <c r="P131" t="s">
        <v>58</v>
      </c>
      <c r="Q131">
        <f t="shared" ref="Q131:Q178" si="20">IF(O131=P131,1,0)</f>
        <v>0</v>
      </c>
    </row>
    <row r="132" spans="1:17">
      <c r="A132">
        <v>2011</v>
      </c>
      <c r="B132">
        <v>10</v>
      </c>
      <c r="C132" s="7" t="str">
        <f t="shared" si="15"/>
        <v>SD</v>
      </c>
      <c r="D132" s="2">
        <f t="shared" si="14"/>
        <v>0.56000000000000005</v>
      </c>
      <c r="E132" t="s">
        <v>75</v>
      </c>
      <c r="F132" t="s">
        <v>78</v>
      </c>
      <c r="H132" s="8">
        <f>VLOOKUP(E132,'DVOA DATA'!$A$1:$AK$35,IF('Solver Model &amp; Output'!$M$3&lt;3,('Solver Model &amp; Output'!$M$3)*2,('Solver Model &amp; Output'!$M$3+1)*2), FALSE)</f>
        <v>-8.6999999999999994E-2</v>
      </c>
      <c r="I132" s="8">
        <f>VLOOKUP(F132,'DVOA DATA'!$A$1:$AK$35,IF('Solver Model &amp; Output'!$M$3&lt;3,('Solver Model &amp; Output'!$M$3)*2,('Solver Model &amp; Output'!$M$3+1)*2), FALSE)</f>
        <v>0.32600000000000001</v>
      </c>
      <c r="J132" s="8">
        <f>VLOOKUP(E132,'DVOA DATA'!$A$1:$AK$35,IF('Solver Model &amp; Output'!$M$3&lt;3,(('Solver Model &amp; Output'!$M$3)*2)+1,(('Solver Model &amp; Output'!$M$3+1)*2)+1), FALSE)</f>
        <v>6.5000000000000002E-2</v>
      </c>
      <c r="K132" s="8">
        <f>VLOOKUP(F132,'DVOA DATA'!$A$1:$AK$35,IF('Solver Model &amp; Output'!$M$3&lt;3,(('Solver Model &amp; Output'!$M$3)*2)+1,(('Solver Model &amp; Output'!$M$3+1)*2)+1), FALSE)</f>
        <v>0.11799999999999999</v>
      </c>
      <c r="L132" s="42">
        <f t="shared" si="17"/>
        <v>-0.152</v>
      </c>
      <c r="M132" s="42">
        <f t="shared" si="18"/>
        <v>0.20800000000000002</v>
      </c>
      <c r="N132">
        <f t="shared" si="19"/>
        <v>-0.36</v>
      </c>
      <c r="O132" t="str">
        <f t="shared" si="16"/>
        <v>SD</v>
      </c>
      <c r="P132" t="s">
        <v>75</v>
      </c>
      <c r="Q132">
        <f t="shared" si="20"/>
        <v>0</v>
      </c>
    </row>
    <row r="133" spans="1:17">
      <c r="A133">
        <v>2011</v>
      </c>
      <c r="B133">
        <v>10</v>
      </c>
      <c r="C133" s="7" t="str">
        <f t="shared" si="15"/>
        <v>CHI</v>
      </c>
      <c r="D133" s="2">
        <f t="shared" si="14"/>
        <v>0.23800000000000002</v>
      </c>
      <c r="E133" t="s">
        <v>63</v>
      </c>
      <c r="F133" t="s">
        <v>58</v>
      </c>
      <c r="H133" s="8">
        <f>VLOOKUP(E133,'DVOA DATA'!$A$1:$AK$35,IF('Solver Model &amp; Output'!$M$3&lt;3,('Solver Model &amp; Output'!$M$3)*2,('Solver Model &amp; Output'!$M$3+1)*2), FALSE)</f>
        <v>5.2999999999999999E-2</v>
      </c>
      <c r="I133" s="8">
        <f>VLOOKUP(F133,'DVOA DATA'!$A$1:$AK$35,IF('Solver Model &amp; Output'!$M$3&lt;3,('Solver Model &amp; Output'!$M$3)*2,('Solver Model &amp; Output'!$M$3+1)*2), FALSE)</f>
        <v>-0.06</v>
      </c>
      <c r="J133" s="8">
        <f>VLOOKUP(E133,'DVOA DATA'!$A$1:$AK$35,IF('Solver Model &amp; Output'!$M$3&lt;3,(('Solver Model &amp; Output'!$M$3)*2)+1,(('Solver Model &amp; Output'!$M$3+1)*2)+1), FALSE)</f>
        <v>6.5000000000000002E-2</v>
      </c>
      <c r="K133" s="8">
        <f>VLOOKUP(F133,'DVOA DATA'!$A$1:$AK$35,IF('Solver Model &amp; Output'!$M$3&lt;3,(('Solver Model &amp; Output'!$M$3)*2)+1,(('Solver Model &amp; Output'!$M$3+1)*2)+1), FALSE)</f>
        <v>-8.5999999999999993E-2</v>
      </c>
      <c r="L133" s="42">
        <f t="shared" si="17"/>
        <v>-1.2000000000000004E-2</v>
      </c>
      <c r="M133" s="42">
        <f t="shared" si="18"/>
        <v>2.5999999999999995E-2</v>
      </c>
      <c r="N133">
        <f t="shared" si="19"/>
        <v>-3.7999999999999999E-2</v>
      </c>
      <c r="O133" t="str">
        <f t="shared" si="16"/>
        <v>CHI</v>
      </c>
      <c r="P133" t="s">
        <v>58</v>
      </c>
      <c r="Q133">
        <f t="shared" si="20"/>
        <v>1</v>
      </c>
    </row>
    <row r="134" spans="1:17">
      <c r="A134">
        <v>2011</v>
      </c>
      <c r="B134">
        <v>10</v>
      </c>
      <c r="C134" s="7" t="str">
        <f t="shared" si="15"/>
        <v>IND</v>
      </c>
      <c r="D134" s="2">
        <f t="shared" si="14"/>
        <v>0.20700000000000002</v>
      </c>
      <c r="E134" t="s">
        <v>67</v>
      </c>
      <c r="F134" t="s">
        <v>66</v>
      </c>
      <c r="H134" s="8">
        <f>VLOOKUP(E134,'DVOA DATA'!$A$1:$AK$35,IF('Solver Model &amp; Output'!$M$3&lt;3,('Solver Model &amp; Output'!$M$3)*2,('Solver Model &amp; Output'!$M$3+1)*2), FALSE)</f>
        <v>4.5999999999999999E-2</v>
      </c>
      <c r="I134" s="8">
        <f>VLOOKUP(F134,'DVOA DATA'!$A$1:$AK$35,IF('Solver Model &amp; Output'!$M$3&lt;3,('Solver Model &amp; Output'!$M$3)*2,('Solver Model &amp; Output'!$M$3+1)*2), FALSE)</f>
        <v>0.104</v>
      </c>
      <c r="J134" s="8">
        <f>VLOOKUP(E134,'DVOA DATA'!$A$1:$AK$35,IF('Solver Model &amp; Output'!$M$3&lt;3,(('Solver Model &amp; Output'!$M$3)*2)+1,(('Solver Model &amp; Output'!$M$3+1)*2)+1), FALSE)</f>
        <v>4.1000000000000002E-2</v>
      </c>
      <c r="K134" s="8">
        <f>VLOOKUP(F134,'DVOA DATA'!$A$1:$AK$35,IF('Solver Model &amp; Output'!$M$3&lt;3,(('Solver Model &amp; Output'!$M$3)*2)+1,(('Solver Model &amp; Output'!$M$3+1)*2)+1), FALSE)</f>
        <v>9.1999999999999998E-2</v>
      </c>
      <c r="L134" s="42">
        <f t="shared" si="17"/>
        <v>4.9999999999999975E-3</v>
      </c>
      <c r="M134" s="42">
        <f t="shared" si="18"/>
        <v>1.1999999999999997E-2</v>
      </c>
      <c r="N134">
        <f t="shared" si="19"/>
        <v>-6.9999999999999993E-3</v>
      </c>
      <c r="O134" t="str">
        <f t="shared" si="16"/>
        <v>IND</v>
      </c>
      <c r="P134" t="s">
        <v>67</v>
      </c>
      <c r="Q134">
        <f t="shared" si="20"/>
        <v>0</v>
      </c>
    </row>
    <row r="135" spans="1:17">
      <c r="A135">
        <v>2011</v>
      </c>
      <c r="B135">
        <v>10</v>
      </c>
      <c r="C135" s="7" t="str">
        <f t="shared" si="15"/>
        <v>KC</v>
      </c>
      <c r="D135" s="2">
        <f t="shared" ref="D135:D198" si="21">ABS(L135-M135)+IF(C135=F135,0.2,0)</f>
        <v>0.22900000000000001</v>
      </c>
      <c r="E135" t="s">
        <v>62</v>
      </c>
      <c r="F135" t="s">
        <v>68</v>
      </c>
      <c r="H135" s="8">
        <f>VLOOKUP(E135,'DVOA DATA'!$A$1:$AK$35,IF('Solver Model &amp; Output'!$M$3&lt;3,('Solver Model &amp; Output'!$M$3)*2,('Solver Model &amp; Output'!$M$3+1)*2), FALSE)</f>
        <v>-4.2999999999999997E-2</v>
      </c>
      <c r="I135" s="8">
        <f>VLOOKUP(F135,'DVOA DATA'!$A$1:$AK$35,IF('Solver Model &amp; Output'!$M$3&lt;3,('Solver Model &amp; Output'!$M$3)*2,('Solver Model &amp; Output'!$M$3+1)*2), FALSE)</f>
        <v>-4.7E-2</v>
      </c>
      <c r="J135" s="8">
        <f>VLOOKUP(E135,'DVOA DATA'!$A$1:$AK$35,IF('Solver Model &amp; Output'!$M$3&lt;3,(('Solver Model &amp; Output'!$M$3)*2)+1,(('Solver Model &amp; Output'!$M$3+1)*2)+1), FALSE)</f>
        <v>0.106</v>
      </c>
      <c r="K135" s="8">
        <f>VLOOKUP(F135,'DVOA DATA'!$A$1:$AK$35,IF('Solver Model &amp; Output'!$M$3&lt;3,(('Solver Model &amp; Output'!$M$3)*2)+1,(('Solver Model &amp; Output'!$M$3+1)*2)+1), FALSE)</f>
        <v>7.2999999999999995E-2</v>
      </c>
      <c r="L135" s="42">
        <f t="shared" si="17"/>
        <v>-0.14899999999999999</v>
      </c>
      <c r="M135" s="42">
        <f t="shared" si="18"/>
        <v>-0.12</v>
      </c>
      <c r="N135">
        <f t="shared" si="19"/>
        <v>-2.8999999999999998E-2</v>
      </c>
      <c r="O135" t="str">
        <f t="shared" si="16"/>
        <v>KC</v>
      </c>
      <c r="P135" t="s">
        <v>62</v>
      </c>
      <c r="Q135">
        <f t="shared" si="20"/>
        <v>0</v>
      </c>
    </row>
    <row r="136" spans="1:17">
      <c r="A136">
        <v>2011</v>
      </c>
      <c r="B136">
        <v>10</v>
      </c>
      <c r="C136" s="7" t="str">
        <f t="shared" si="15"/>
        <v>PIT</v>
      </c>
      <c r="D136" s="2">
        <f t="shared" si="21"/>
        <v>0.40700000000000003</v>
      </c>
      <c r="E136" t="s">
        <v>77</v>
      </c>
      <c r="F136" t="s">
        <v>59</v>
      </c>
      <c r="H136" s="8">
        <f>VLOOKUP(E136,'DVOA DATA'!$A$1:$AK$35,IF('Solver Model &amp; Output'!$M$3&lt;3,('Solver Model &amp; Output'!$M$3)*2,('Solver Model &amp; Output'!$M$3+1)*2), FALSE)</f>
        <v>0.16900000000000001</v>
      </c>
      <c r="I136" s="8">
        <f>VLOOKUP(F136,'DVOA DATA'!$A$1:$AK$35,IF('Solver Model &amp; Output'!$M$3&lt;3,('Solver Model &amp; Output'!$M$3)*2,('Solver Model &amp; Output'!$M$3+1)*2), FALSE)</f>
        <v>-6.3E-2</v>
      </c>
      <c r="J136" s="8">
        <f>VLOOKUP(E136,'DVOA DATA'!$A$1:$AK$35,IF('Solver Model &amp; Output'!$M$3&lt;3,(('Solver Model &amp; Output'!$M$3)*2)+1,(('Solver Model &amp; Output'!$M$3+1)*2)+1), FALSE)</f>
        <v>-0.126</v>
      </c>
      <c r="K136" s="8">
        <f>VLOOKUP(F136,'DVOA DATA'!$A$1:$AK$35,IF('Solver Model &amp; Output'!$M$3&lt;3,(('Solver Model &amp; Output'!$M$3)*2)+1,(('Solver Model &amp; Output'!$M$3+1)*2)+1), FALSE)</f>
        <v>4.9000000000000002E-2</v>
      </c>
      <c r="L136" s="42">
        <f t="shared" si="17"/>
        <v>0.29500000000000004</v>
      </c>
      <c r="M136" s="42">
        <f t="shared" si="18"/>
        <v>-0.112</v>
      </c>
      <c r="N136">
        <f t="shared" si="19"/>
        <v>0.40700000000000003</v>
      </c>
      <c r="O136" t="str">
        <f t="shared" si="16"/>
        <v>PIT</v>
      </c>
      <c r="P136" t="s">
        <v>77</v>
      </c>
      <c r="Q136">
        <f t="shared" si="20"/>
        <v>1</v>
      </c>
    </row>
    <row r="137" spans="1:17">
      <c r="A137">
        <v>2011</v>
      </c>
      <c r="B137">
        <v>10</v>
      </c>
      <c r="C137" s="7" t="str">
        <f t="shared" si="15"/>
        <v>BUF</v>
      </c>
      <c r="D137" s="2">
        <f t="shared" si="21"/>
        <v>2.6999999999999996E-2</v>
      </c>
      <c r="E137" t="s">
        <v>56</v>
      </c>
      <c r="F137" t="s">
        <v>61</v>
      </c>
      <c r="H137" s="8">
        <f>VLOOKUP(E137,'DVOA DATA'!$A$1:$AK$35,IF('Solver Model &amp; Output'!$M$3&lt;3,('Solver Model &amp; Output'!$M$3)*2,('Solver Model &amp; Output'!$M$3+1)*2), FALSE)</f>
        <v>-2.7E-2</v>
      </c>
      <c r="I137" s="8">
        <f>VLOOKUP(F137,'DVOA DATA'!$A$1:$AK$35,IF('Solver Model &amp; Output'!$M$3&lt;3,('Solver Model &amp; Output'!$M$3)*2,('Solver Model &amp; Output'!$M$3+1)*2), FALSE)</f>
        <v>1.6E-2</v>
      </c>
      <c r="J137" s="8">
        <f>VLOOKUP(E137,'DVOA DATA'!$A$1:$AK$35,IF('Solver Model &amp; Output'!$M$3&lt;3,(('Solver Model &amp; Output'!$M$3)*2)+1,(('Solver Model &amp; Output'!$M$3+1)*2)+1), FALSE)</f>
        <v>1.9E-2</v>
      </c>
      <c r="K137" s="8">
        <f>VLOOKUP(F137,'DVOA DATA'!$A$1:$AK$35,IF('Solver Model &amp; Output'!$M$3&lt;3,(('Solver Model &amp; Output'!$M$3)*2)+1,(('Solver Model &amp; Output'!$M$3+1)*2)+1), FALSE)</f>
        <v>8.8999999999999996E-2</v>
      </c>
      <c r="L137" s="42">
        <f t="shared" si="17"/>
        <v>-4.5999999999999999E-2</v>
      </c>
      <c r="M137" s="42">
        <f t="shared" si="18"/>
        <v>-7.2999999999999995E-2</v>
      </c>
      <c r="N137">
        <f t="shared" si="19"/>
        <v>2.6999999999999996E-2</v>
      </c>
      <c r="O137" t="str">
        <f t="shared" si="16"/>
        <v>BUF</v>
      </c>
      <c r="P137" t="s">
        <v>61</v>
      </c>
      <c r="Q137">
        <f t="shared" si="20"/>
        <v>0</v>
      </c>
    </row>
    <row r="138" spans="1:17">
      <c r="A138">
        <v>2011</v>
      </c>
      <c r="B138">
        <v>10</v>
      </c>
      <c r="C138" s="7" t="str">
        <f t="shared" si="15"/>
        <v>ATL</v>
      </c>
      <c r="D138" s="2">
        <f t="shared" si="21"/>
        <v>0.21000000000000002</v>
      </c>
      <c r="E138" t="s">
        <v>72</v>
      </c>
      <c r="F138" t="s">
        <v>54</v>
      </c>
      <c r="H138" s="8">
        <f>VLOOKUP(E138,'DVOA DATA'!$A$1:$AK$35,IF('Solver Model &amp; Output'!$M$3&lt;3,('Solver Model &amp; Output'!$M$3)*2,('Solver Model &amp; Output'!$M$3+1)*2), FALSE)</f>
        <v>0.19600000000000001</v>
      </c>
      <c r="I138" s="8">
        <f>VLOOKUP(F138,'DVOA DATA'!$A$1:$AK$35,IF('Solver Model &amp; Output'!$M$3&lt;3,('Solver Model &amp; Output'!$M$3)*2,('Solver Model &amp; Output'!$M$3+1)*2), FALSE)</f>
        <v>0.13</v>
      </c>
      <c r="J138" s="8">
        <f>VLOOKUP(E138,'DVOA DATA'!$A$1:$AK$35,IF('Solver Model &amp; Output'!$M$3&lt;3,(('Solver Model &amp; Output'!$M$3)*2)+1,(('Solver Model &amp; Output'!$M$3+1)*2)+1), FALSE)</f>
        <v>0.112</v>
      </c>
      <c r="K138" s="8">
        <f>VLOOKUP(F138,'DVOA DATA'!$A$1:$AK$35,IF('Solver Model &amp; Output'!$M$3&lt;3,(('Solver Model &amp; Output'!$M$3)*2)+1,(('Solver Model &amp; Output'!$M$3+1)*2)+1), FALSE)</f>
        <v>3.5999999999999997E-2</v>
      </c>
      <c r="L138" s="42">
        <f t="shared" si="17"/>
        <v>8.4000000000000005E-2</v>
      </c>
      <c r="M138" s="42">
        <f t="shared" si="18"/>
        <v>9.4E-2</v>
      </c>
      <c r="N138">
        <f t="shared" si="19"/>
        <v>-9.999999999999995E-3</v>
      </c>
      <c r="O138" t="str">
        <f t="shared" si="16"/>
        <v>ATL</v>
      </c>
      <c r="P138" t="s">
        <v>72</v>
      </c>
      <c r="Q138">
        <f t="shared" si="20"/>
        <v>0</v>
      </c>
    </row>
    <row r="139" spans="1:17">
      <c r="A139">
        <v>2011</v>
      </c>
      <c r="B139">
        <v>10</v>
      </c>
      <c r="C139" s="7" t="str">
        <f t="shared" si="15"/>
        <v>CLE</v>
      </c>
      <c r="D139" s="2">
        <f t="shared" si="21"/>
        <v>0.23299999999999998</v>
      </c>
      <c r="E139" t="s">
        <v>81</v>
      </c>
      <c r="F139" t="s">
        <v>60</v>
      </c>
      <c r="H139" s="8">
        <f>VLOOKUP(E139,'DVOA DATA'!$A$1:$AK$35,IF('Solver Model &amp; Output'!$M$3&lt;3,('Solver Model &amp; Output'!$M$3)*2,('Solver Model &amp; Output'!$M$3+1)*2), FALSE)</f>
        <v>-0.14799999999999999</v>
      </c>
      <c r="I139" s="8">
        <f>VLOOKUP(F139,'DVOA DATA'!$A$1:$AK$35,IF('Solver Model &amp; Output'!$M$3&lt;3,('Solver Model &amp; Output'!$M$3)*2,('Solver Model &amp; Output'!$M$3+1)*2), FALSE)</f>
        <v>-0.03</v>
      </c>
      <c r="J139" s="8">
        <f>VLOOKUP(E139,'DVOA DATA'!$A$1:$AK$35,IF('Solver Model &amp; Output'!$M$3&lt;3,(('Solver Model &amp; Output'!$M$3)*2)+1,(('Solver Model &amp; Output'!$M$3+1)*2)+1), FALSE)</f>
        <v>-3.6999999999999998E-2</v>
      </c>
      <c r="K139" s="8">
        <f>VLOOKUP(F139,'DVOA DATA'!$A$1:$AK$35,IF('Solver Model &amp; Output'!$M$3&lt;3,(('Solver Model &amp; Output'!$M$3)*2)+1,(('Solver Model &amp; Output'!$M$3+1)*2)+1), FALSE)</f>
        <v>4.8000000000000001E-2</v>
      </c>
      <c r="L139" s="42">
        <f t="shared" si="17"/>
        <v>-0.11099999999999999</v>
      </c>
      <c r="M139" s="42">
        <f t="shared" si="18"/>
        <v>-7.8E-2</v>
      </c>
      <c r="N139">
        <f t="shared" si="19"/>
        <v>-3.2999999999999988E-2</v>
      </c>
      <c r="O139" t="str">
        <f t="shared" si="16"/>
        <v>CLE</v>
      </c>
      <c r="P139" t="s">
        <v>81</v>
      </c>
      <c r="Q139">
        <f t="shared" si="20"/>
        <v>0</v>
      </c>
    </row>
    <row r="140" spans="1:17">
      <c r="A140">
        <v>2011</v>
      </c>
      <c r="B140">
        <v>10</v>
      </c>
      <c r="C140" s="7" t="str">
        <f t="shared" si="15"/>
        <v>MIA</v>
      </c>
      <c r="D140" s="2">
        <f t="shared" si="21"/>
        <v>0.35899999999999999</v>
      </c>
      <c r="E140" t="s">
        <v>84</v>
      </c>
      <c r="F140" t="s">
        <v>69</v>
      </c>
      <c r="H140" s="8">
        <f>VLOOKUP(E140,'DVOA DATA'!$A$1:$AK$35,IF('Solver Model &amp; Output'!$M$3&lt;3,('Solver Model &amp; Output'!$M$3)*2,('Solver Model &amp; Output'!$M$3+1)*2), FALSE)</f>
        <v>-5.6000000000000001E-2</v>
      </c>
      <c r="I140" s="8">
        <f>VLOOKUP(F140,'DVOA DATA'!$A$1:$AK$35,IF('Solver Model &amp; Output'!$M$3&lt;3,('Solver Model &amp; Output'!$M$3)*2,('Solver Model &amp; Output'!$M$3+1)*2), FALSE)</f>
        <v>0.106</v>
      </c>
      <c r="J140" s="8">
        <f>VLOOKUP(E140,'DVOA DATA'!$A$1:$AK$35,IF('Solver Model &amp; Output'!$M$3&lt;3,(('Solver Model &amp; Output'!$M$3)*2)+1,(('Solver Model &amp; Output'!$M$3+1)*2)+1), FALSE)</f>
        <v>1.4999999999999999E-2</v>
      </c>
      <c r="K140" s="8">
        <f>VLOOKUP(F140,'DVOA DATA'!$A$1:$AK$35,IF('Solver Model &amp; Output'!$M$3&lt;3,(('Solver Model &amp; Output'!$M$3)*2)+1,(('Solver Model &amp; Output'!$M$3+1)*2)+1), FALSE)</f>
        <v>1.7999999999999999E-2</v>
      </c>
      <c r="L140" s="42">
        <f t="shared" si="17"/>
        <v>-7.1000000000000008E-2</v>
      </c>
      <c r="M140" s="42">
        <f t="shared" si="18"/>
        <v>8.7999999999999995E-2</v>
      </c>
      <c r="N140">
        <f t="shared" si="19"/>
        <v>-0.159</v>
      </c>
      <c r="O140" t="str">
        <f t="shared" si="16"/>
        <v>MIA</v>
      </c>
      <c r="P140" t="s">
        <v>69</v>
      </c>
      <c r="Q140">
        <f t="shared" si="20"/>
        <v>1</v>
      </c>
    </row>
    <row r="141" spans="1:17">
      <c r="A141">
        <v>2011</v>
      </c>
      <c r="B141">
        <v>10</v>
      </c>
      <c r="C141" s="7" t="str">
        <f t="shared" si="15"/>
        <v>HOU</v>
      </c>
      <c r="D141" s="2">
        <f t="shared" si="21"/>
        <v>0.13800000000000001</v>
      </c>
      <c r="E141" t="s">
        <v>65</v>
      </c>
      <c r="F141" t="s">
        <v>82</v>
      </c>
      <c r="H141" s="8">
        <f>VLOOKUP(E141,'DVOA DATA'!$A$1:$AK$35,IF('Solver Model &amp; Output'!$M$3&lt;3,('Solver Model &amp; Output'!$M$3)*2,('Solver Model &amp; Output'!$M$3+1)*2), FALSE)</f>
        <v>0.2</v>
      </c>
      <c r="I141" s="8">
        <f>VLOOKUP(F141,'DVOA DATA'!$A$1:$AK$35,IF('Solver Model &amp; Output'!$M$3&lt;3,('Solver Model &amp; Output'!$M$3)*2,('Solver Model &amp; Output'!$M$3+1)*2), FALSE)</f>
        <v>2.8000000000000001E-2</v>
      </c>
      <c r="J141" s="8">
        <f>VLOOKUP(E141,'DVOA DATA'!$A$1:$AK$35,IF('Solver Model &amp; Output'!$M$3&lt;3,(('Solver Model &amp; Output'!$M$3)*2)+1,(('Solver Model &amp; Output'!$M$3+1)*2)+1), FALSE)</f>
        <v>0.13800000000000001</v>
      </c>
      <c r="K141" s="8">
        <f>VLOOKUP(F141,'DVOA DATA'!$A$1:$AK$35,IF('Solver Model &amp; Output'!$M$3&lt;3,(('Solver Model &amp; Output'!$M$3)*2)+1,(('Solver Model &amp; Output'!$M$3+1)*2)+1), FALSE)</f>
        <v>0.104</v>
      </c>
      <c r="L141" s="42">
        <f t="shared" si="17"/>
        <v>6.2E-2</v>
      </c>
      <c r="M141" s="42">
        <f t="shared" si="18"/>
        <v>-7.5999999999999998E-2</v>
      </c>
      <c r="N141">
        <f t="shared" si="19"/>
        <v>0.13800000000000001</v>
      </c>
      <c r="O141" t="str">
        <f t="shared" si="16"/>
        <v>HOU</v>
      </c>
      <c r="P141" t="s">
        <v>65</v>
      </c>
      <c r="Q141">
        <f t="shared" si="20"/>
        <v>1</v>
      </c>
    </row>
    <row r="142" spans="1:17">
      <c r="A142">
        <v>2011</v>
      </c>
      <c r="B142">
        <v>10</v>
      </c>
      <c r="C142" s="7" t="str">
        <f t="shared" si="15"/>
        <v>CAR</v>
      </c>
      <c r="D142" s="2">
        <f t="shared" si="21"/>
        <v>0.23300000000000004</v>
      </c>
      <c r="E142" t="s">
        <v>83</v>
      </c>
      <c r="F142" t="s">
        <v>57</v>
      </c>
      <c r="H142" s="8">
        <f>VLOOKUP(E142,'DVOA DATA'!$A$1:$AK$35,IF('Solver Model &amp; Output'!$M$3&lt;3,('Solver Model &amp; Output'!$M$3)*2,('Solver Model &amp; Output'!$M$3+1)*2), FALSE)</f>
        <v>-9.9000000000000005E-2</v>
      </c>
      <c r="I142" s="8">
        <f>VLOOKUP(F142,'DVOA DATA'!$A$1:$AK$35,IF('Solver Model &amp; Output'!$M$3&lt;3,('Solver Model &amp; Output'!$M$3)*2,('Solver Model &amp; Output'!$M$3+1)*2), FALSE)</f>
        <v>-0.14099999999999999</v>
      </c>
      <c r="J142" s="8">
        <f>VLOOKUP(E142,'DVOA DATA'!$A$1:$AK$35,IF('Solver Model &amp; Output'!$M$3&lt;3,(('Solver Model &amp; Output'!$M$3)*2)+1,(('Solver Model &amp; Output'!$M$3+1)*2)+1), FALSE)</f>
        <v>0.104</v>
      </c>
      <c r="K142" s="8">
        <f>VLOOKUP(F142,'DVOA DATA'!$A$1:$AK$35,IF('Solver Model &amp; Output'!$M$3&lt;3,(('Solver Model &amp; Output'!$M$3)*2)+1,(('Solver Model &amp; Output'!$M$3+1)*2)+1), FALSE)</f>
        <v>2.9000000000000001E-2</v>
      </c>
      <c r="L142" s="42">
        <f t="shared" si="17"/>
        <v>-0.20300000000000001</v>
      </c>
      <c r="M142" s="42">
        <f t="shared" si="18"/>
        <v>-0.16999999999999998</v>
      </c>
      <c r="N142">
        <f t="shared" si="19"/>
        <v>-3.3000000000000029E-2</v>
      </c>
      <c r="O142" t="str">
        <f t="shared" si="16"/>
        <v>CAR</v>
      </c>
      <c r="P142" t="s">
        <v>83</v>
      </c>
      <c r="Q142">
        <f t="shared" si="20"/>
        <v>0</v>
      </c>
    </row>
    <row r="143" spans="1:17">
      <c r="A143">
        <v>2011</v>
      </c>
      <c r="B143">
        <v>10</v>
      </c>
      <c r="C143" s="7" t="str">
        <f t="shared" si="15"/>
        <v>PHI</v>
      </c>
      <c r="D143" s="2">
        <f t="shared" si="21"/>
        <v>0.54800000000000004</v>
      </c>
      <c r="E143" t="s">
        <v>53</v>
      </c>
      <c r="F143" t="s">
        <v>76</v>
      </c>
      <c r="H143" s="8">
        <f>VLOOKUP(E143,'DVOA DATA'!$A$1:$AK$35,IF('Solver Model &amp; Output'!$M$3&lt;3,('Solver Model &amp; Output'!$M$3)*2,('Solver Model &amp; Output'!$M$3+1)*2), FALSE)</f>
        <v>-4.8000000000000001E-2</v>
      </c>
      <c r="I143" s="8">
        <f>VLOOKUP(F143,'DVOA DATA'!$A$1:$AK$35,IF('Solver Model &amp; Output'!$M$3&lt;3,('Solver Model &amp; Output'!$M$3)*2,('Solver Model &amp; Output'!$M$3+1)*2), FALSE)</f>
        <v>0.123</v>
      </c>
      <c r="J143" s="8">
        <f>VLOOKUP(E143,'DVOA DATA'!$A$1:$AK$35,IF('Solver Model &amp; Output'!$M$3&lt;3,(('Solver Model &amp; Output'!$M$3)*2)+1,(('Solver Model &amp; Output'!$M$3+1)*2)+1), FALSE)</f>
        <v>9.1999999999999998E-2</v>
      </c>
      <c r="K143" s="8">
        <f>VLOOKUP(F143,'DVOA DATA'!$A$1:$AK$35,IF('Solver Model &amp; Output'!$M$3&lt;3,(('Solver Model &amp; Output'!$M$3)*2)+1,(('Solver Model &amp; Output'!$M$3+1)*2)+1), FALSE)</f>
        <v>-8.5000000000000006E-2</v>
      </c>
      <c r="L143" s="42">
        <f t="shared" si="17"/>
        <v>-0.14000000000000001</v>
      </c>
      <c r="M143" s="42">
        <f t="shared" si="18"/>
        <v>0.20800000000000002</v>
      </c>
      <c r="N143">
        <f t="shared" si="19"/>
        <v>-0.34800000000000003</v>
      </c>
      <c r="O143" t="str">
        <f t="shared" si="16"/>
        <v>PHI</v>
      </c>
      <c r="P143" t="s">
        <v>53</v>
      </c>
      <c r="Q143">
        <f t="shared" si="20"/>
        <v>0</v>
      </c>
    </row>
    <row r="144" spans="1:17">
      <c r="A144">
        <v>2011</v>
      </c>
      <c r="B144">
        <v>10</v>
      </c>
      <c r="C144" s="7" t="str">
        <f t="shared" si="15"/>
        <v>BAL</v>
      </c>
      <c r="D144" s="2">
        <f t="shared" si="21"/>
        <v>0.317</v>
      </c>
      <c r="E144" t="s">
        <v>55</v>
      </c>
      <c r="F144" t="s">
        <v>79</v>
      </c>
      <c r="H144" s="8">
        <f>VLOOKUP(E144,'DVOA DATA'!$A$1:$AK$35,IF('Solver Model &amp; Output'!$M$3&lt;3,('Solver Model &amp; Output'!$M$3)*2,('Solver Model &amp; Output'!$M$3+1)*2), FALSE)</f>
        <v>0.114</v>
      </c>
      <c r="I144" s="8">
        <f>VLOOKUP(F144,'DVOA DATA'!$A$1:$AK$35,IF('Solver Model &amp; Output'!$M$3&lt;3,('Solver Model &amp; Output'!$M$3)*2,('Solver Model &amp; Output'!$M$3+1)*2), FALSE)</f>
        <v>-0.23699999999999999</v>
      </c>
      <c r="J144" s="8">
        <f>VLOOKUP(E144,'DVOA DATA'!$A$1:$AK$35,IF('Solver Model &amp; Output'!$M$3&lt;3,(('Solver Model &amp; Output'!$M$3)*2)+1,(('Solver Model &amp; Output'!$M$3+1)*2)+1), FALSE)</f>
        <v>0.01</v>
      </c>
      <c r="K144" s="8">
        <f>VLOOKUP(F144,'DVOA DATA'!$A$1:$AK$35,IF('Solver Model &amp; Output'!$M$3&lt;3,(('Solver Model &amp; Output'!$M$3)*2)+1,(('Solver Model &amp; Output'!$M$3+1)*2)+1), FALSE)</f>
        <v>-2.4E-2</v>
      </c>
      <c r="L144" s="42">
        <f t="shared" si="17"/>
        <v>0.10400000000000001</v>
      </c>
      <c r="M144" s="42">
        <f t="shared" si="18"/>
        <v>-0.21299999999999999</v>
      </c>
      <c r="N144">
        <f t="shared" si="19"/>
        <v>0.317</v>
      </c>
      <c r="O144" t="str">
        <f t="shared" si="16"/>
        <v>BAL</v>
      </c>
      <c r="P144" t="s">
        <v>79</v>
      </c>
      <c r="Q144">
        <f t="shared" si="20"/>
        <v>0</v>
      </c>
    </row>
    <row r="145" spans="1:17">
      <c r="A145">
        <v>2011</v>
      </c>
      <c r="B145">
        <v>10</v>
      </c>
      <c r="C145" s="7" t="str">
        <f t="shared" si="15"/>
        <v>NYG</v>
      </c>
      <c r="D145" s="2">
        <f t="shared" si="21"/>
        <v>0.13100000000000001</v>
      </c>
      <c r="E145" t="s">
        <v>73</v>
      </c>
      <c r="F145" t="s">
        <v>80</v>
      </c>
      <c r="H145" s="8">
        <f>VLOOKUP(E145,'DVOA DATA'!$A$1:$AK$35,IF('Solver Model &amp; Output'!$M$3&lt;3,('Solver Model &amp; Output'!$M$3)*2,('Solver Model &amp; Output'!$M$3+1)*2), FALSE)</f>
        <v>5.8999999999999997E-2</v>
      </c>
      <c r="I145" s="8">
        <f>VLOOKUP(F145,'DVOA DATA'!$A$1:$AK$35,IF('Solver Model &amp; Output'!$M$3&lt;3,('Solver Model &amp; Output'!$M$3)*2,('Solver Model &amp; Output'!$M$3+1)*2), FALSE)</f>
        <v>-5.8999999999999997E-2</v>
      </c>
      <c r="J145" s="8">
        <f>VLOOKUP(E145,'DVOA DATA'!$A$1:$AK$35,IF('Solver Model &amp; Output'!$M$3&lt;3,(('Solver Model &amp; Output'!$M$3)*2)+1,(('Solver Model &amp; Output'!$M$3+1)*2)+1), FALSE)</f>
        <v>1E-3</v>
      </c>
      <c r="K145" s="8">
        <f>VLOOKUP(F145,'DVOA DATA'!$A$1:$AK$35,IF('Solver Model &amp; Output'!$M$3&lt;3,(('Solver Model &amp; Output'!$M$3)*2)+1,(('Solver Model &amp; Output'!$M$3+1)*2)+1), FALSE)</f>
        <v>1.4E-2</v>
      </c>
      <c r="L145" s="42">
        <f t="shared" si="17"/>
        <v>5.7999999999999996E-2</v>
      </c>
      <c r="M145" s="42">
        <f t="shared" si="18"/>
        <v>-7.2999999999999995E-2</v>
      </c>
      <c r="N145">
        <f t="shared" si="19"/>
        <v>0.13100000000000001</v>
      </c>
      <c r="O145" t="str">
        <f t="shared" si="16"/>
        <v>NYG</v>
      </c>
      <c r="P145" t="s">
        <v>80</v>
      </c>
      <c r="Q145">
        <f t="shared" si="20"/>
        <v>0</v>
      </c>
    </row>
    <row r="146" spans="1:17">
      <c r="A146">
        <v>2011</v>
      </c>
      <c r="B146">
        <v>10</v>
      </c>
      <c r="C146" s="7" t="str">
        <f t="shared" si="15"/>
        <v>NE</v>
      </c>
      <c r="D146" s="2">
        <f t="shared" si="21"/>
        <v>9.5000000000000029E-2</v>
      </c>
      <c r="E146" t="s">
        <v>71</v>
      </c>
      <c r="F146" t="s">
        <v>74</v>
      </c>
      <c r="H146" s="8">
        <f>VLOOKUP(E146,'DVOA DATA'!$A$1:$AK$35,IF('Solver Model &amp; Output'!$M$3&lt;3,('Solver Model &amp; Output'!$M$3)*2,('Solver Model &amp; Output'!$M$3+1)*2), FALSE)</f>
        <v>0.309</v>
      </c>
      <c r="I146" s="8">
        <f>VLOOKUP(F146,'DVOA DATA'!$A$1:$AK$35,IF('Solver Model &amp; Output'!$M$3&lt;3,('Solver Model &amp; Output'!$M$3)*2,('Solver Model &amp; Output'!$M$3+1)*2), FALSE)</f>
        <v>-2.8000000000000001E-2</v>
      </c>
      <c r="J146" s="8">
        <f>VLOOKUP(E146,'DVOA DATA'!$A$1:$AK$35,IF('Solver Model &amp; Output'!$M$3&lt;3,(('Solver Model &amp; Output'!$M$3)*2)+1,(('Solver Model &amp; Output'!$M$3+1)*2)+1), FALSE)</f>
        <v>3.6999999999999998E-2</v>
      </c>
      <c r="K146" s="8">
        <f>VLOOKUP(F146,'DVOA DATA'!$A$1:$AK$35,IF('Solver Model &amp; Output'!$M$3&lt;3,(('Solver Model &amp; Output'!$M$3)*2)+1,(('Solver Model &amp; Output'!$M$3+1)*2)+1), FALSE)</f>
        <v>-0.20499999999999999</v>
      </c>
      <c r="L146" s="42">
        <f t="shared" si="17"/>
        <v>0.27200000000000002</v>
      </c>
      <c r="M146" s="42">
        <f t="shared" si="18"/>
        <v>0.17699999999999999</v>
      </c>
      <c r="N146">
        <f t="shared" si="19"/>
        <v>9.5000000000000029E-2</v>
      </c>
      <c r="O146" t="str">
        <f t="shared" si="16"/>
        <v>NE</v>
      </c>
      <c r="P146" t="s">
        <v>71</v>
      </c>
      <c r="Q146">
        <f t="shared" si="20"/>
        <v>1</v>
      </c>
    </row>
    <row r="147" spans="1:17">
      <c r="A147">
        <v>2011</v>
      </c>
      <c r="B147">
        <v>10</v>
      </c>
      <c r="C147" s="7" t="str">
        <f t="shared" si="15"/>
        <v>GB</v>
      </c>
      <c r="D147" s="2">
        <f t="shared" si="21"/>
        <v>0.33400000000000002</v>
      </c>
      <c r="E147" t="s">
        <v>70</v>
      </c>
      <c r="F147" t="s">
        <v>64</v>
      </c>
      <c r="H147" s="8">
        <f>VLOOKUP(E147,'DVOA DATA'!$A$1:$AK$35,IF('Solver Model &amp; Output'!$M$3&lt;3,('Solver Model &amp; Output'!$M$3)*2,('Solver Model &amp; Output'!$M$3+1)*2), FALSE)</f>
        <v>5.7000000000000002E-2</v>
      </c>
      <c r="I147" s="8">
        <f>VLOOKUP(F147,'DVOA DATA'!$A$1:$AK$35,IF('Solver Model &amp; Output'!$M$3&lt;3,('Solver Model &amp; Output'!$M$3)*2,('Solver Model &amp; Output'!$M$3+1)*2), FALSE)</f>
        <v>9.9000000000000005E-2</v>
      </c>
      <c r="J147" s="8">
        <f>VLOOKUP(E147,'DVOA DATA'!$A$1:$AK$35,IF('Solver Model &amp; Output'!$M$3&lt;3,(('Solver Model &amp; Output'!$M$3)*2)+1,(('Solver Model &amp; Output'!$M$3+1)*2)+1), FALSE)</f>
        <v>7.0000000000000007E-2</v>
      </c>
      <c r="K147" s="8">
        <f>VLOOKUP(F147,'DVOA DATA'!$A$1:$AK$35,IF('Solver Model &amp; Output'!$M$3&lt;3,(('Solver Model &amp; Output'!$M$3)*2)+1,(('Solver Model &amp; Output'!$M$3+1)*2)+1), FALSE)</f>
        <v>-2.1999999999999999E-2</v>
      </c>
      <c r="L147" s="42">
        <f t="shared" si="17"/>
        <v>-1.3000000000000005E-2</v>
      </c>
      <c r="M147" s="42">
        <f t="shared" si="18"/>
        <v>0.121</v>
      </c>
      <c r="N147">
        <f t="shared" si="19"/>
        <v>-0.13400000000000001</v>
      </c>
      <c r="O147" t="str">
        <f t="shared" si="16"/>
        <v>GB</v>
      </c>
      <c r="P147" t="s">
        <v>64</v>
      </c>
      <c r="Q147">
        <f t="shared" si="20"/>
        <v>1</v>
      </c>
    </row>
    <row r="148" spans="1:17">
      <c r="A148">
        <v>2011</v>
      </c>
      <c r="B148">
        <v>11</v>
      </c>
      <c r="C148" s="7" t="str">
        <f t="shared" si="15"/>
        <v>NYJ</v>
      </c>
      <c r="D148" s="2">
        <f t="shared" si="21"/>
        <v>0.32599999999999996</v>
      </c>
      <c r="E148" t="s">
        <v>74</v>
      </c>
      <c r="F148" t="s">
        <v>62</v>
      </c>
      <c r="H148" s="8">
        <f>VLOOKUP(E148,'DVOA DATA'!$A$1:$AK$35,IF('Solver Model &amp; Output'!$M$3&lt;3,('Solver Model &amp; Output'!$M$3)*2,('Solver Model &amp; Output'!$M$3+1)*2), FALSE)</f>
        <v>-2.8000000000000001E-2</v>
      </c>
      <c r="I148" s="8">
        <f>VLOOKUP(F148,'DVOA DATA'!$A$1:$AK$35,IF('Solver Model &amp; Output'!$M$3&lt;3,('Solver Model &amp; Output'!$M$3)*2,('Solver Model &amp; Output'!$M$3+1)*2), FALSE)</f>
        <v>-4.2999999999999997E-2</v>
      </c>
      <c r="J148" s="8">
        <f>VLOOKUP(E148,'DVOA DATA'!$A$1:$AK$35,IF('Solver Model &amp; Output'!$M$3&lt;3,(('Solver Model &amp; Output'!$M$3)*2)+1,(('Solver Model &amp; Output'!$M$3+1)*2)+1), FALSE)</f>
        <v>-0.20499999999999999</v>
      </c>
      <c r="K148" s="8">
        <f>VLOOKUP(F148,'DVOA DATA'!$A$1:$AK$35,IF('Solver Model &amp; Output'!$M$3&lt;3,(('Solver Model &amp; Output'!$M$3)*2)+1,(('Solver Model &amp; Output'!$M$3+1)*2)+1), FALSE)</f>
        <v>0.106</v>
      </c>
      <c r="L148" s="42">
        <f t="shared" si="17"/>
        <v>0.17699999999999999</v>
      </c>
      <c r="M148" s="42">
        <f t="shared" si="18"/>
        <v>-0.14899999999999999</v>
      </c>
      <c r="N148">
        <f t="shared" si="19"/>
        <v>0.32599999999999996</v>
      </c>
      <c r="O148" t="str">
        <f t="shared" si="16"/>
        <v>NYJ</v>
      </c>
      <c r="P148" t="s">
        <v>62</v>
      </c>
      <c r="Q148">
        <f t="shared" si="20"/>
        <v>0</v>
      </c>
    </row>
    <row r="149" spans="1:17">
      <c r="A149">
        <v>2011</v>
      </c>
      <c r="B149">
        <v>11</v>
      </c>
      <c r="C149" s="7" t="str">
        <f t="shared" si="15"/>
        <v>DET</v>
      </c>
      <c r="D149" s="2">
        <f t="shared" si="21"/>
        <v>0.35799999999999998</v>
      </c>
      <c r="E149" t="s">
        <v>57</v>
      </c>
      <c r="F149" t="s">
        <v>63</v>
      </c>
      <c r="H149" s="8">
        <f>VLOOKUP(E149,'DVOA DATA'!$A$1:$AK$35,IF('Solver Model &amp; Output'!$M$3&lt;3,('Solver Model &amp; Output'!$M$3)*2,('Solver Model &amp; Output'!$M$3+1)*2), FALSE)</f>
        <v>-0.14099999999999999</v>
      </c>
      <c r="I149" s="8">
        <f>VLOOKUP(F149,'DVOA DATA'!$A$1:$AK$35,IF('Solver Model &amp; Output'!$M$3&lt;3,('Solver Model &amp; Output'!$M$3)*2,('Solver Model &amp; Output'!$M$3+1)*2), FALSE)</f>
        <v>5.2999999999999999E-2</v>
      </c>
      <c r="J149" s="8">
        <f>VLOOKUP(E149,'DVOA DATA'!$A$1:$AK$35,IF('Solver Model &amp; Output'!$M$3&lt;3,(('Solver Model &amp; Output'!$M$3)*2)+1,(('Solver Model &amp; Output'!$M$3+1)*2)+1), FALSE)</f>
        <v>2.9000000000000001E-2</v>
      </c>
      <c r="K149" s="8">
        <f>VLOOKUP(F149,'DVOA DATA'!$A$1:$AK$35,IF('Solver Model &amp; Output'!$M$3&lt;3,(('Solver Model &amp; Output'!$M$3)*2)+1,(('Solver Model &amp; Output'!$M$3+1)*2)+1), FALSE)</f>
        <v>6.5000000000000002E-2</v>
      </c>
      <c r="L149" s="42">
        <f t="shared" si="17"/>
        <v>-0.16999999999999998</v>
      </c>
      <c r="M149" s="42">
        <f t="shared" si="18"/>
        <v>-1.2000000000000004E-2</v>
      </c>
      <c r="N149">
        <f t="shared" si="19"/>
        <v>-0.15799999999999997</v>
      </c>
      <c r="O149" t="str">
        <f t="shared" si="16"/>
        <v>DET</v>
      </c>
      <c r="P149" t="s">
        <v>63</v>
      </c>
      <c r="Q149">
        <f t="shared" si="20"/>
        <v>1</v>
      </c>
    </row>
    <row r="150" spans="1:17">
      <c r="A150">
        <v>2011</v>
      </c>
      <c r="B150">
        <v>11</v>
      </c>
      <c r="C150" s="7" t="str">
        <f t="shared" si="15"/>
        <v>GB</v>
      </c>
      <c r="D150" s="2">
        <f t="shared" si="21"/>
        <v>0.39700000000000002</v>
      </c>
      <c r="E150" t="s">
        <v>82</v>
      </c>
      <c r="F150" t="s">
        <v>64</v>
      </c>
      <c r="H150" s="8">
        <f>VLOOKUP(E150,'DVOA DATA'!$A$1:$AK$35,IF('Solver Model &amp; Output'!$M$3&lt;3,('Solver Model &amp; Output'!$M$3)*2,('Solver Model &amp; Output'!$M$3+1)*2), FALSE)</f>
        <v>2.8000000000000001E-2</v>
      </c>
      <c r="I150" s="8">
        <f>VLOOKUP(F150,'DVOA DATA'!$A$1:$AK$35,IF('Solver Model &amp; Output'!$M$3&lt;3,('Solver Model &amp; Output'!$M$3)*2,('Solver Model &amp; Output'!$M$3+1)*2), FALSE)</f>
        <v>9.9000000000000005E-2</v>
      </c>
      <c r="J150" s="8">
        <f>VLOOKUP(E150,'DVOA DATA'!$A$1:$AK$35,IF('Solver Model &amp; Output'!$M$3&lt;3,(('Solver Model &amp; Output'!$M$3)*2)+1,(('Solver Model &amp; Output'!$M$3+1)*2)+1), FALSE)</f>
        <v>0.104</v>
      </c>
      <c r="K150" s="8">
        <f>VLOOKUP(F150,'DVOA DATA'!$A$1:$AK$35,IF('Solver Model &amp; Output'!$M$3&lt;3,(('Solver Model &amp; Output'!$M$3)*2)+1,(('Solver Model &amp; Output'!$M$3+1)*2)+1), FALSE)</f>
        <v>-2.1999999999999999E-2</v>
      </c>
      <c r="L150" s="42">
        <f t="shared" si="17"/>
        <v>-7.5999999999999998E-2</v>
      </c>
      <c r="M150" s="42">
        <f t="shared" si="18"/>
        <v>0.121</v>
      </c>
      <c r="N150">
        <f t="shared" si="19"/>
        <v>-0.19700000000000001</v>
      </c>
      <c r="O150" t="str">
        <f t="shared" si="16"/>
        <v>GB</v>
      </c>
      <c r="P150" t="s">
        <v>64</v>
      </c>
      <c r="Q150">
        <f t="shared" si="20"/>
        <v>1</v>
      </c>
    </row>
    <row r="151" spans="1:17">
      <c r="A151">
        <v>2011</v>
      </c>
      <c r="B151">
        <v>11</v>
      </c>
      <c r="C151" s="7" t="str">
        <f t="shared" si="15"/>
        <v>WAS</v>
      </c>
      <c r="D151" s="2">
        <f t="shared" si="21"/>
        <v>0.20200000000000001</v>
      </c>
      <c r="E151" t="s">
        <v>61</v>
      </c>
      <c r="F151" t="s">
        <v>84</v>
      </c>
      <c r="H151" s="8">
        <f>VLOOKUP(E151,'DVOA DATA'!$A$1:$AK$35,IF('Solver Model &amp; Output'!$M$3&lt;3,('Solver Model &amp; Output'!$M$3)*2,('Solver Model &amp; Output'!$M$3+1)*2), FALSE)</f>
        <v>1.6E-2</v>
      </c>
      <c r="I151" s="8">
        <f>VLOOKUP(F151,'DVOA DATA'!$A$1:$AK$35,IF('Solver Model &amp; Output'!$M$3&lt;3,('Solver Model &amp; Output'!$M$3)*2,('Solver Model &amp; Output'!$M$3+1)*2), FALSE)</f>
        <v>-5.6000000000000001E-2</v>
      </c>
      <c r="J151" s="8">
        <f>VLOOKUP(E151,'DVOA DATA'!$A$1:$AK$35,IF('Solver Model &amp; Output'!$M$3&lt;3,(('Solver Model &amp; Output'!$M$3)*2)+1,(('Solver Model &amp; Output'!$M$3+1)*2)+1), FALSE)</f>
        <v>8.8999999999999996E-2</v>
      </c>
      <c r="K151" s="8">
        <f>VLOOKUP(F151,'DVOA DATA'!$A$1:$AK$35,IF('Solver Model &amp; Output'!$M$3&lt;3,(('Solver Model &amp; Output'!$M$3)*2)+1,(('Solver Model &amp; Output'!$M$3+1)*2)+1), FALSE)</f>
        <v>1.4999999999999999E-2</v>
      </c>
      <c r="L151" s="42">
        <f t="shared" si="17"/>
        <v>-7.2999999999999995E-2</v>
      </c>
      <c r="M151" s="42">
        <f t="shared" si="18"/>
        <v>-7.1000000000000008E-2</v>
      </c>
      <c r="N151">
        <f t="shared" si="19"/>
        <v>-1.9999999999999879E-3</v>
      </c>
      <c r="O151" t="str">
        <f t="shared" si="16"/>
        <v>WAS</v>
      </c>
      <c r="P151" t="s">
        <v>61</v>
      </c>
      <c r="Q151">
        <f t="shared" si="20"/>
        <v>0</v>
      </c>
    </row>
    <row r="152" spans="1:17">
      <c r="A152">
        <v>2011</v>
      </c>
      <c r="B152">
        <v>11</v>
      </c>
      <c r="C152" s="7" t="str">
        <f t="shared" si="15"/>
        <v>MIA</v>
      </c>
      <c r="D152" s="2">
        <f t="shared" si="21"/>
        <v>0.33400000000000002</v>
      </c>
      <c r="E152" t="s">
        <v>56</v>
      </c>
      <c r="F152" t="s">
        <v>69</v>
      </c>
      <c r="H152" s="8">
        <f>VLOOKUP(E152,'DVOA DATA'!$A$1:$AK$35,IF('Solver Model &amp; Output'!$M$3&lt;3,('Solver Model &amp; Output'!$M$3)*2,('Solver Model &amp; Output'!$M$3+1)*2), FALSE)</f>
        <v>-2.7E-2</v>
      </c>
      <c r="I152" s="8">
        <f>VLOOKUP(F152,'DVOA DATA'!$A$1:$AK$35,IF('Solver Model &amp; Output'!$M$3&lt;3,('Solver Model &amp; Output'!$M$3)*2,('Solver Model &amp; Output'!$M$3+1)*2), FALSE)</f>
        <v>0.106</v>
      </c>
      <c r="J152" s="8">
        <f>VLOOKUP(E152,'DVOA DATA'!$A$1:$AK$35,IF('Solver Model &amp; Output'!$M$3&lt;3,(('Solver Model &amp; Output'!$M$3)*2)+1,(('Solver Model &amp; Output'!$M$3+1)*2)+1), FALSE)</f>
        <v>1.9E-2</v>
      </c>
      <c r="K152" s="8">
        <f>VLOOKUP(F152,'DVOA DATA'!$A$1:$AK$35,IF('Solver Model &amp; Output'!$M$3&lt;3,(('Solver Model &amp; Output'!$M$3)*2)+1,(('Solver Model &amp; Output'!$M$3+1)*2)+1), FALSE)</f>
        <v>1.7999999999999999E-2</v>
      </c>
      <c r="L152" s="42">
        <f t="shared" si="17"/>
        <v>-4.5999999999999999E-2</v>
      </c>
      <c r="M152" s="42">
        <f t="shared" si="18"/>
        <v>8.7999999999999995E-2</v>
      </c>
      <c r="N152">
        <f t="shared" si="19"/>
        <v>-0.13400000000000001</v>
      </c>
      <c r="O152" t="str">
        <f t="shared" si="16"/>
        <v>MIA</v>
      </c>
      <c r="P152" t="s">
        <v>69</v>
      </c>
      <c r="Q152">
        <f t="shared" si="20"/>
        <v>1</v>
      </c>
    </row>
    <row r="153" spans="1:17">
      <c r="A153">
        <v>2011</v>
      </c>
      <c r="B153">
        <v>11</v>
      </c>
      <c r="C153" s="7" t="str">
        <f t="shared" si="15"/>
        <v>JAC</v>
      </c>
      <c r="D153" s="2">
        <f t="shared" si="21"/>
        <v>8.299999999999999E-2</v>
      </c>
      <c r="E153" t="s">
        <v>67</v>
      </c>
      <c r="F153" t="s">
        <v>60</v>
      </c>
      <c r="H153" s="8">
        <f>VLOOKUP(E153,'DVOA DATA'!$A$1:$AK$35,IF('Solver Model &amp; Output'!$M$3&lt;3,('Solver Model &amp; Output'!$M$3)*2,('Solver Model &amp; Output'!$M$3+1)*2), FALSE)</f>
        <v>4.5999999999999999E-2</v>
      </c>
      <c r="I153" s="8">
        <f>VLOOKUP(F153,'DVOA DATA'!$A$1:$AK$35,IF('Solver Model &amp; Output'!$M$3&lt;3,('Solver Model &amp; Output'!$M$3)*2,('Solver Model &amp; Output'!$M$3+1)*2), FALSE)</f>
        <v>-0.03</v>
      </c>
      <c r="J153" s="8">
        <f>VLOOKUP(E153,'DVOA DATA'!$A$1:$AK$35,IF('Solver Model &amp; Output'!$M$3&lt;3,(('Solver Model &amp; Output'!$M$3)*2)+1,(('Solver Model &amp; Output'!$M$3+1)*2)+1), FALSE)</f>
        <v>4.1000000000000002E-2</v>
      </c>
      <c r="K153" s="8">
        <f>VLOOKUP(F153,'DVOA DATA'!$A$1:$AK$35,IF('Solver Model &amp; Output'!$M$3&lt;3,(('Solver Model &amp; Output'!$M$3)*2)+1,(('Solver Model &amp; Output'!$M$3+1)*2)+1), FALSE)</f>
        <v>4.8000000000000001E-2</v>
      </c>
      <c r="L153" s="42">
        <f t="shared" si="17"/>
        <v>4.9999999999999975E-3</v>
      </c>
      <c r="M153" s="42">
        <f t="shared" si="18"/>
        <v>-7.8E-2</v>
      </c>
      <c r="N153">
        <f t="shared" si="19"/>
        <v>8.299999999999999E-2</v>
      </c>
      <c r="O153" t="str">
        <f t="shared" si="16"/>
        <v>JAC</v>
      </c>
      <c r="P153" t="s">
        <v>60</v>
      </c>
      <c r="Q153">
        <f t="shared" si="20"/>
        <v>0</v>
      </c>
    </row>
    <row r="154" spans="1:17">
      <c r="A154">
        <v>2011</v>
      </c>
      <c r="B154">
        <v>11</v>
      </c>
      <c r="C154" s="7" t="str">
        <f t="shared" si="15"/>
        <v>ATL</v>
      </c>
      <c r="D154" s="2">
        <f t="shared" si="21"/>
        <v>0.49700000000000005</v>
      </c>
      <c r="E154" t="s">
        <v>83</v>
      </c>
      <c r="F154" t="s">
        <v>54</v>
      </c>
      <c r="H154" s="8">
        <f>VLOOKUP(E154,'DVOA DATA'!$A$1:$AK$35,IF('Solver Model &amp; Output'!$M$3&lt;3,('Solver Model &amp; Output'!$M$3)*2,('Solver Model &amp; Output'!$M$3+1)*2), FALSE)</f>
        <v>-9.9000000000000005E-2</v>
      </c>
      <c r="I154" s="8">
        <f>VLOOKUP(F154,'DVOA DATA'!$A$1:$AK$35,IF('Solver Model &amp; Output'!$M$3&lt;3,('Solver Model &amp; Output'!$M$3)*2,('Solver Model &amp; Output'!$M$3+1)*2), FALSE)</f>
        <v>0.13</v>
      </c>
      <c r="J154" s="8">
        <f>VLOOKUP(E154,'DVOA DATA'!$A$1:$AK$35,IF('Solver Model &amp; Output'!$M$3&lt;3,(('Solver Model &amp; Output'!$M$3)*2)+1,(('Solver Model &amp; Output'!$M$3+1)*2)+1), FALSE)</f>
        <v>0.104</v>
      </c>
      <c r="K154" s="8">
        <f>VLOOKUP(F154,'DVOA DATA'!$A$1:$AK$35,IF('Solver Model &amp; Output'!$M$3&lt;3,(('Solver Model &amp; Output'!$M$3)*2)+1,(('Solver Model &amp; Output'!$M$3+1)*2)+1), FALSE)</f>
        <v>3.5999999999999997E-2</v>
      </c>
      <c r="L154" s="42">
        <f t="shared" si="17"/>
        <v>-0.20300000000000001</v>
      </c>
      <c r="M154" s="42">
        <f t="shared" si="18"/>
        <v>9.4E-2</v>
      </c>
      <c r="N154">
        <f t="shared" si="19"/>
        <v>-0.29700000000000004</v>
      </c>
      <c r="O154" t="str">
        <f t="shared" si="16"/>
        <v>ATL</v>
      </c>
      <c r="P154" t="s">
        <v>54</v>
      </c>
      <c r="Q154">
        <f t="shared" si="20"/>
        <v>1</v>
      </c>
    </row>
    <row r="155" spans="1:17">
      <c r="A155">
        <v>2011</v>
      </c>
      <c r="B155">
        <v>11</v>
      </c>
      <c r="C155" s="7" t="str">
        <f t="shared" si="15"/>
        <v>MIN</v>
      </c>
      <c r="D155" s="2">
        <f t="shared" si="21"/>
        <v>0.33899999999999997</v>
      </c>
      <c r="E155" t="s">
        <v>75</v>
      </c>
      <c r="F155" t="s">
        <v>70</v>
      </c>
      <c r="H155" s="8">
        <f>VLOOKUP(E155,'DVOA DATA'!$A$1:$AK$35,IF('Solver Model &amp; Output'!$M$3&lt;3,('Solver Model &amp; Output'!$M$3)*2,('Solver Model &amp; Output'!$M$3+1)*2), FALSE)</f>
        <v>-8.6999999999999994E-2</v>
      </c>
      <c r="I155" s="8">
        <f>VLOOKUP(F155,'DVOA DATA'!$A$1:$AK$35,IF('Solver Model &amp; Output'!$M$3&lt;3,('Solver Model &amp; Output'!$M$3)*2,('Solver Model &amp; Output'!$M$3+1)*2), FALSE)</f>
        <v>5.7000000000000002E-2</v>
      </c>
      <c r="J155" s="8">
        <f>VLOOKUP(E155,'DVOA DATA'!$A$1:$AK$35,IF('Solver Model &amp; Output'!$M$3&lt;3,(('Solver Model &amp; Output'!$M$3)*2)+1,(('Solver Model &amp; Output'!$M$3+1)*2)+1), FALSE)</f>
        <v>6.5000000000000002E-2</v>
      </c>
      <c r="K155" s="8">
        <f>VLOOKUP(F155,'DVOA DATA'!$A$1:$AK$35,IF('Solver Model &amp; Output'!$M$3&lt;3,(('Solver Model &amp; Output'!$M$3)*2)+1,(('Solver Model &amp; Output'!$M$3+1)*2)+1), FALSE)</f>
        <v>7.0000000000000007E-2</v>
      </c>
      <c r="L155" s="42">
        <f t="shared" si="17"/>
        <v>-0.152</v>
      </c>
      <c r="M155" s="42">
        <f t="shared" si="18"/>
        <v>-1.3000000000000005E-2</v>
      </c>
      <c r="N155">
        <f t="shared" si="19"/>
        <v>-0.13899999999999998</v>
      </c>
      <c r="O155" t="str">
        <f t="shared" si="16"/>
        <v>MIN</v>
      </c>
      <c r="P155" t="s">
        <v>75</v>
      </c>
      <c r="Q155">
        <f t="shared" si="20"/>
        <v>0</v>
      </c>
    </row>
    <row r="156" spans="1:17">
      <c r="A156">
        <v>2011</v>
      </c>
      <c r="B156">
        <v>11</v>
      </c>
      <c r="C156" s="7" t="str">
        <f t="shared" si="15"/>
        <v>BAL</v>
      </c>
      <c r="D156" s="2">
        <f t="shared" si="21"/>
        <v>0.41600000000000004</v>
      </c>
      <c r="E156" t="s">
        <v>59</v>
      </c>
      <c r="F156" t="s">
        <v>55</v>
      </c>
      <c r="H156" s="8">
        <f>VLOOKUP(E156,'DVOA DATA'!$A$1:$AK$35,IF('Solver Model &amp; Output'!$M$3&lt;3,('Solver Model &amp; Output'!$M$3)*2,('Solver Model &amp; Output'!$M$3+1)*2), FALSE)</f>
        <v>-6.3E-2</v>
      </c>
      <c r="I156" s="8">
        <f>VLOOKUP(F156,'DVOA DATA'!$A$1:$AK$35,IF('Solver Model &amp; Output'!$M$3&lt;3,('Solver Model &amp; Output'!$M$3)*2,('Solver Model &amp; Output'!$M$3+1)*2), FALSE)</f>
        <v>0.114</v>
      </c>
      <c r="J156" s="8">
        <f>VLOOKUP(E156,'DVOA DATA'!$A$1:$AK$35,IF('Solver Model &amp; Output'!$M$3&lt;3,(('Solver Model &amp; Output'!$M$3)*2)+1,(('Solver Model &amp; Output'!$M$3+1)*2)+1), FALSE)</f>
        <v>4.9000000000000002E-2</v>
      </c>
      <c r="K156" s="8">
        <f>VLOOKUP(F156,'DVOA DATA'!$A$1:$AK$35,IF('Solver Model &amp; Output'!$M$3&lt;3,(('Solver Model &amp; Output'!$M$3)*2)+1,(('Solver Model &amp; Output'!$M$3+1)*2)+1), FALSE)</f>
        <v>0.01</v>
      </c>
      <c r="L156" s="42">
        <f t="shared" si="17"/>
        <v>-0.112</v>
      </c>
      <c r="M156" s="42">
        <f t="shared" si="18"/>
        <v>0.10400000000000001</v>
      </c>
      <c r="N156">
        <f t="shared" si="19"/>
        <v>-0.21600000000000003</v>
      </c>
      <c r="O156" t="str">
        <f t="shared" si="16"/>
        <v>BAL</v>
      </c>
      <c r="P156" t="s">
        <v>55</v>
      </c>
      <c r="Q156">
        <f t="shared" si="20"/>
        <v>1</v>
      </c>
    </row>
    <row r="157" spans="1:17">
      <c r="A157">
        <v>2011</v>
      </c>
      <c r="B157">
        <v>11</v>
      </c>
      <c r="C157" s="7" t="str">
        <f t="shared" si="15"/>
        <v>STL</v>
      </c>
      <c r="D157" s="2">
        <f t="shared" si="21"/>
        <v>0.30200000000000005</v>
      </c>
      <c r="E157" t="s">
        <v>79</v>
      </c>
      <c r="F157" t="s">
        <v>81</v>
      </c>
      <c r="H157" s="8">
        <f>VLOOKUP(E157,'DVOA DATA'!$A$1:$AK$35,IF('Solver Model &amp; Output'!$M$3&lt;3,('Solver Model &amp; Output'!$M$3)*2,('Solver Model &amp; Output'!$M$3+1)*2), FALSE)</f>
        <v>-0.23699999999999999</v>
      </c>
      <c r="I157" s="8">
        <f>VLOOKUP(F157,'DVOA DATA'!$A$1:$AK$35,IF('Solver Model &amp; Output'!$M$3&lt;3,('Solver Model &amp; Output'!$M$3)*2,('Solver Model &amp; Output'!$M$3+1)*2), FALSE)</f>
        <v>-0.14799999999999999</v>
      </c>
      <c r="J157" s="8">
        <f>VLOOKUP(E157,'DVOA DATA'!$A$1:$AK$35,IF('Solver Model &amp; Output'!$M$3&lt;3,(('Solver Model &amp; Output'!$M$3)*2)+1,(('Solver Model &amp; Output'!$M$3+1)*2)+1), FALSE)</f>
        <v>-2.4E-2</v>
      </c>
      <c r="K157" s="8">
        <f>VLOOKUP(F157,'DVOA DATA'!$A$1:$AK$35,IF('Solver Model &amp; Output'!$M$3&lt;3,(('Solver Model &amp; Output'!$M$3)*2)+1,(('Solver Model &amp; Output'!$M$3+1)*2)+1), FALSE)</f>
        <v>-3.6999999999999998E-2</v>
      </c>
      <c r="L157" s="42">
        <f t="shared" si="17"/>
        <v>-0.21299999999999999</v>
      </c>
      <c r="M157" s="42">
        <f t="shared" si="18"/>
        <v>-0.11099999999999999</v>
      </c>
      <c r="N157">
        <f t="shared" si="19"/>
        <v>-0.10200000000000001</v>
      </c>
      <c r="O157" t="str">
        <f t="shared" si="16"/>
        <v>STL</v>
      </c>
      <c r="P157" t="s">
        <v>79</v>
      </c>
      <c r="Q157">
        <f t="shared" si="20"/>
        <v>0</v>
      </c>
    </row>
    <row r="158" spans="1:17">
      <c r="A158">
        <v>2011</v>
      </c>
      <c r="B158">
        <v>11</v>
      </c>
      <c r="C158" s="7" t="str">
        <f t="shared" si="15"/>
        <v>SF</v>
      </c>
      <c r="D158" s="2">
        <f t="shared" si="21"/>
        <v>0.26700000000000002</v>
      </c>
      <c r="E158" t="s">
        <v>53</v>
      </c>
      <c r="F158" t="s">
        <v>80</v>
      </c>
      <c r="H158" s="8">
        <f>VLOOKUP(E158,'DVOA DATA'!$A$1:$AK$35,IF('Solver Model &amp; Output'!$M$3&lt;3,('Solver Model &amp; Output'!$M$3)*2,('Solver Model &amp; Output'!$M$3+1)*2), FALSE)</f>
        <v>-4.8000000000000001E-2</v>
      </c>
      <c r="I158" s="8">
        <f>VLOOKUP(F158,'DVOA DATA'!$A$1:$AK$35,IF('Solver Model &amp; Output'!$M$3&lt;3,('Solver Model &amp; Output'!$M$3)*2,('Solver Model &amp; Output'!$M$3+1)*2), FALSE)</f>
        <v>-5.8999999999999997E-2</v>
      </c>
      <c r="J158" s="8">
        <f>VLOOKUP(E158,'DVOA DATA'!$A$1:$AK$35,IF('Solver Model &amp; Output'!$M$3&lt;3,(('Solver Model &amp; Output'!$M$3)*2)+1,(('Solver Model &amp; Output'!$M$3+1)*2)+1), FALSE)</f>
        <v>9.1999999999999998E-2</v>
      </c>
      <c r="K158" s="8">
        <f>VLOOKUP(F158,'DVOA DATA'!$A$1:$AK$35,IF('Solver Model &amp; Output'!$M$3&lt;3,(('Solver Model &amp; Output'!$M$3)*2)+1,(('Solver Model &amp; Output'!$M$3+1)*2)+1), FALSE)</f>
        <v>1.4E-2</v>
      </c>
      <c r="L158" s="42">
        <f t="shared" si="17"/>
        <v>-0.14000000000000001</v>
      </c>
      <c r="M158" s="42">
        <f t="shared" si="18"/>
        <v>-7.2999999999999995E-2</v>
      </c>
      <c r="N158">
        <f t="shared" si="19"/>
        <v>-6.7000000000000018E-2</v>
      </c>
      <c r="O158" t="str">
        <f t="shared" si="16"/>
        <v>SF</v>
      </c>
      <c r="P158" t="s">
        <v>80</v>
      </c>
      <c r="Q158">
        <f t="shared" si="20"/>
        <v>1</v>
      </c>
    </row>
    <row r="159" spans="1:17">
      <c r="A159">
        <v>2011</v>
      </c>
      <c r="B159">
        <v>11</v>
      </c>
      <c r="C159" s="7" t="str">
        <f t="shared" si="15"/>
        <v>SD</v>
      </c>
      <c r="D159" s="2">
        <f t="shared" si="21"/>
        <v>0.18200000000000002</v>
      </c>
      <c r="E159" t="s">
        <v>78</v>
      </c>
      <c r="F159" t="s">
        <v>58</v>
      </c>
      <c r="H159" s="8">
        <f>VLOOKUP(E159,'DVOA DATA'!$A$1:$AK$35,IF('Solver Model &amp; Output'!$M$3&lt;3,('Solver Model &amp; Output'!$M$3)*2,('Solver Model &amp; Output'!$M$3+1)*2), FALSE)</f>
        <v>0.32600000000000001</v>
      </c>
      <c r="I159" s="8">
        <f>VLOOKUP(F159,'DVOA DATA'!$A$1:$AK$35,IF('Solver Model &amp; Output'!$M$3&lt;3,('Solver Model &amp; Output'!$M$3)*2,('Solver Model &amp; Output'!$M$3+1)*2), FALSE)</f>
        <v>-0.06</v>
      </c>
      <c r="J159" s="8">
        <f>VLOOKUP(E159,'DVOA DATA'!$A$1:$AK$35,IF('Solver Model &amp; Output'!$M$3&lt;3,(('Solver Model &amp; Output'!$M$3)*2)+1,(('Solver Model &amp; Output'!$M$3+1)*2)+1), FALSE)</f>
        <v>0.11799999999999999</v>
      </c>
      <c r="K159" s="8">
        <f>VLOOKUP(F159,'DVOA DATA'!$A$1:$AK$35,IF('Solver Model &amp; Output'!$M$3&lt;3,(('Solver Model &amp; Output'!$M$3)*2)+1,(('Solver Model &amp; Output'!$M$3+1)*2)+1), FALSE)</f>
        <v>-8.5999999999999993E-2</v>
      </c>
      <c r="L159" s="42">
        <f t="shared" si="17"/>
        <v>0.20800000000000002</v>
      </c>
      <c r="M159" s="42">
        <f t="shared" si="18"/>
        <v>2.5999999999999995E-2</v>
      </c>
      <c r="N159">
        <f t="shared" si="19"/>
        <v>0.18200000000000002</v>
      </c>
      <c r="O159" t="str">
        <f t="shared" si="16"/>
        <v>SD</v>
      </c>
      <c r="P159" t="s">
        <v>58</v>
      </c>
      <c r="Q159">
        <f t="shared" si="20"/>
        <v>0</v>
      </c>
    </row>
    <row r="160" spans="1:17">
      <c r="A160">
        <v>2011</v>
      </c>
      <c r="B160">
        <v>11</v>
      </c>
      <c r="C160" s="7" t="str">
        <f t="shared" si="15"/>
        <v>PHI</v>
      </c>
      <c r="D160" s="2">
        <f t="shared" si="21"/>
        <v>0.15000000000000002</v>
      </c>
      <c r="E160" t="s">
        <v>76</v>
      </c>
      <c r="F160" t="s">
        <v>73</v>
      </c>
      <c r="H160" s="8">
        <f>VLOOKUP(E160,'DVOA DATA'!$A$1:$AK$35,IF('Solver Model &amp; Output'!$M$3&lt;3,('Solver Model &amp; Output'!$M$3)*2,('Solver Model &amp; Output'!$M$3+1)*2), FALSE)</f>
        <v>0.123</v>
      </c>
      <c r="I160" s="8">
        <f>VLOOKUP(F160,'DVOA DATA'!$A$1:$AK$35,IF('Solver Model &amp; Output'!$M$3&lt;3,('Solver Model &amp; Output'!$M$3)*2,('Solver Model &amp; Output'!$M$3+1)*2), FALSE)</f>
        <v>5.8999999999999997E-2</v>
      </c>
      <c r="J160" s="8">
        <f>VLOOKUP(E160,'DVOA DATA'!$A$1:$AK$35,IF('Solver Model &amp; Output'!$M$3&lt;3,(('Solver Model &amp; Output'!$M$3)*2)+1,(('Solver Model &amp; Output'!$M$3+1)*2)+1), FALSE)</f>
        <v>-8.5000000000000006E-2</v>
      </c>
      <c r="K160" s="8">
        <f>VLOOKUP(F160,'DVOA DATA'!$A$1:$AK$35,IF('Solver Model &amp; Output'!$M$3&lt;3,(('Solver Model &amp; Output'!$M$3)*2)+1,(('Solver Model &amp; Output'!$M$3+1)*2)+1), FALSE)</f>
        <v>1E-3</v>
      </c>
      <c r="L160" s="42">
        <f t="shared" si="17"/>
        <v>0.20800000000000002</v>
      </c>
      <c r="M160" s="42">
        <f t="shared" si="18"/>
        <v>5.7999999999999996E-2</v>
      </c>
      <c r="N160">
        <f t="shared" si="19"/>
        <v>0.15000000000000002</v>
      </c>
      <c r="O160" t="str">
        <f t="shared" si="16"/>
        <v>PHI</v>
      </c>
      <c r="P160" t="s">
        <v>76</v>
      </c>
      <c r="Q160">
        <f t="shared" si="20"/>
        <v>1</v>
      </c>
    </row>
    <row r="161" spans="1:17">
      <c r="A161">
        <v>2011</v>
      </c>
      <c r="B161">
        <v>11</v>
      </c>
      <c r="C161" s="7" t="str">
        <f t="shared" si="15"/>
        <v>NE</v>
      </c>
      <c r="D161" s="2">
        <f t="shared" si="21"/>
        <v>0.59200000000000008</v>
      </c>
      <c r="E161" t="s">
        <v>68</v>
      </c>
      <c r="F161" t="s">
        <v>71</v>
      </c>
      <c r="H161" s="8">
        <f>VLOOKUP(E161,'DVOA DATA'!$A$1:$AK$35,IF('Solver Model &amp; Output'!$M$3&lt;3,('Solver Model &amp; Output'!$M$3)*2,('Solver Model &amp; Output'!$M$3+1)*2), FALSE)</f>
        <v>-4.7E-2</v>
      </c>
      <c r="I161" s="8">
        <f>VLOOKUP(F161,'DVOA DATA'!$A$1:$AK$35,IF('Solver Model &amp; Output'!$M$3&lt;3,('Solver Model &amp; Output'!$M$3)*2,('Solver Model &amp; Output'!$M$3+1)*2), FALSE)</f>
        <v>0.309</v>
      </c>
      <c r="J161" s="8">
        <f>VLOOKUP(E161,'DVOA DATA'!$A$1:$AK$35,IF('Solver Model &amp; Output'!$M$3&lt;3,(('Solver Model &amp; Output'!$M$3)*2)+1,(('Solver Model &amp; Output'!$M$3+1)*2)+1), FALSE)</f>
        <v>7.2999999999999995E-2</v>
      </c>
      <c r="K161" s="8">
        <f>VLOOKUP(F161,'DVOA DATA'!$A$1:$AK$35,IF('Solver Model &amp; Output'!$M$3&lt;3,(('Solver Model &amp; Output'!$M$3)*2)+1,(('Solver Model &amp; Output'!$M$3+1)*2)+1), FALSE)</f>
        <v>3.6999999999999998E-2</v>
      </c>
      <c r="L161" s="42">
        <f t="shared" si="17"/>
        <v>-0.12</v>
      </c>
      <c r="M161" s="42">
        <f t="shared" si="18"/>
        <v>0.27200000000000002</v>
      </c>
      <c r="N161">
        <f t="shared" si="19"/>
        <v>-0.39200000000000002</v>
      </c>
      <c r="O161" t="str">
        <f t="shared" si="16"/>
        <v>NE</v>
      </c>
      <c r="P161" t="s">
        <v>71</v>
      </c>
      <c r="Q161">
        <f t="shared" si="20"/>
        <v>1</v>
      </c>
    </row>
    <row r="162" spans="1:17">
      <c r="A162">
        <v>2011</v>
      </c>
      <c r="B162">
        <v>12</v>
      </c>
      <c r="C162" s="7" t="str">
        <f t="shared" si="15"/>
        <v>GB</v>
      </c>
      <c r="D162" s="2">
        <f t="shared" si="21"/>
        <v>0.13300000000000001</v>
      </c>
      <c r="E162" t="s">
        <v>64</v>
      </c>
      <c r="F162" t="s">
        <v>63</v>
      </c>
      <c r="H162" s="8">
        <f>VLOOKUP(E162,'DVOA DATA'!$A$1:$AK$35,IF('Solver Model &amp; Output'!$M$3&lt;3,('Solver Model &amp; Output'!$M$3)*2,('Solver Model &amp; Output'!$M$3+1)*2), FALSE)</f>
        <v>9.9000000000000005E-2</v>
      </c>
      <c r="I162" s="8">
        <f>VLOOKUP(F162,'DVOA DATA'!$A$1:$AK$35,IF('Solver Model &amp; Output'!$M$3&lt;3,('Solver Model &amp; Output'!$M$3)*2,('Solver Model &amp; Output'!$M$3+1)*2), FALSE)</f>
        <v>5.2999999999999999E-2</v>
      </c>
      <c r="J162" s="8">
        <f>VLOOKUP(E162,'DVOA DATA'!$A$1:$AK$35,IF('Solver Model &amp; Output'!$M$3&lt;3,(('Solver Model &amp; Output'!$M$3)*2)+1,(('Solver Model &amp; Output'!$M$3+1)*2)+1), FALSE)</f>
        <v>-2.1999999999999999E-2</v>
      </c>
      <c r="K162" s="8">
        <f>VLOOKUP(F162,'DVOA DATA'!$A$1:$AK$35,IF('Solver Model &amp; Output'!$M$3&lt;3,(('Solver Model &amp; Output'!$M$3)*2)+1,(('Solver Model &amp; Output'!$M$3+1)*2)+1), FALSE)</f>
        <v>6.5000000000000002E-2</v>
      </c>
      <c r="L162" s="42">
        <f t="shared" si="17"/>
        <v>0.121</v>
      </c>
      <c r="M162" s="42">
        <f t="shared" si="18"/>
        <v>-1.2000000000000004E-2</v>
      </c>
      <c r="N162">
        <f t="shared" si="19"/>
        <v>0.13300000000000001</v>
      </c>
      <c r="O162" t="str">
        <f t="shared" si="16"/>
        <v>GB</v>
      </c>
      <c r="P162" t="s">
        <v>64</v>
      </c>
      <c r="Q162">
        <f t="shared" si="20"/>
        <v>1</v>
      </c>
    </row>
    <row r="163" spans="1:17">
      <c r="A163">
        <v>2011</v>
      </c>
      <c r="B163">
        <v>12</v>
      </c>
      <c r="C163" s="7" t="str">
        <f t="shared" si="15"/>
        <v>MIA</v>
      </c>
      <c r="D163" s="2">
        <f t="shared" si="21"/>
        <v>0.16099999999999998</v>
      </c>
      <c r="E163" t="s">
        <v>69</v>
      </c>
      <c r="F163" t="s">
        <v>61</v>
      </c>
      <c r="H163" s="8">
        <f>VLOOKUP(E163,'DVOA DATA'!$A$1:$AK$35,IF('Solver Model &amp; Output'!$M$3&lt;3,('Solver Model &amp; Output'!$M$3)*2,('Solver Model &amp; Output'!$M$3+1)*2), FALSE)</f>
        <v>0.106</v>
      </c>
      <c r="I163" s="8">
        <f>VLOOKUP(F163,'DVOA DATA'!$A$1:$AK$35,IF('Solver Model &amp; Output'!$M$3&lt;3,('Solver Model &amp; Output'!$M$3)*2,('Solver Model &amp; Output'!$M$3+1)*2), FALSE)</f>
        <v>1.6E-2</v>
      </c>
      <c r="J163" s="8">
        <f>VLOOKUP(E163,'DVOA DATA'!$A$1:$AK$35,IF('Solver Model &amp; Output'!$M$3&lt;3,(('Solver Model &amp; Output'!$M$3)*2)+1,(('Solver Model &amp; Output'!$M$3+1)*2)+1), FALSE)</f>
        <v>1.7999999999999999E-2</v>
      </c>
      <c r="K163" s="8">
        <f>VLOOKUP(F163,'DVOA DATA'!$A$1:$AK$35,IF('Solver Model &amp; Output'!$M$3&lt;3,(('Solver Model &amp; Output'!$M$3)*2)+1,(('Solver Model &amp; Output'!$M$3+1)*2)+1), FALSE)</f>
        <v>8.8999999999999996E-2</v>
      </c>
      <c r="L163" s="42">
        <f t="shared" si="17"/>
        <v>8.7999999999999995E-2</v>
      </c>
      <c r="M163" s="42">
        <f t="shared" si="18"/>
        <v>-7.2999999999999995E-2</v>
      </c>
      <c r="N163">
        <f t="shared" si="19"/>
        <v>0.16099999999999998</v>
      </c>
      <c r="O163" t="str">
        <f t="shared" si="16"/>
        <v>MIA</v>
      </c>
      <c r="P163" t="s">
        <v>61</v>
      </c>
      <c r="Q163">
        <f t="shared" si="20"/>
        <v>0</v>
      </c>
    </row>
    <row r="164" spans="1:17">
      <c r="A164">
        <v>2011</v>
      </c>
      <c r="B164">
        <v>12</v>
      </c>
      <c r="C164" s="7" t="str">
        <f t="shared" si="15"/>
        <v>BAL</v>
      </c>
      <c r="D164" s="2">
        <f t="shared" si="21"/>
        <v>0.377</v>
      </c>
      <c r="E164" t="s">
        <v>80</v>
      </c>
      <c r="F164" t="s">
        <v>55</v>
      </c>
      <c r="H164" s="8">
        <f>VLOOKUP(E164,'DVOA DATA'!$A$1:$AK$35,IF('Solver Model &amp; Output'!$M$3&lt;3,('Solver Model &amp; Output'!$M$3)*2,('Solver Model &amp; Output'!$M$3+1)*2), FALSE)</f>
        <v>-5.8999999999999997E-2</v>
      </c>
      <c r="I164" s="8">
        <f>VLOOKUP(F164,'DVOA DATA'!$A$1:$AK$35,IF('Solver Model &amp; Output'!$M$3&lt;3,('Solver Model &amp; Output'!$M$3)*2,('Solver Model &amp; Output'!$M$3+1)*2), FALSE)</f>
        <v>0.114</v>
      </c>
      <c r="J164" s="8">
        <f>VLOOKUP(E164,'DVOA DATA'!$A$1:$AK$35,IF('Solver Model &amp; Output'!$M$3&lt;3,(('Solver Model &amp; Output'!$M$3)*2)+1,(('Solver Model &amp; Output'!$M$3+1)*2)+1), FALSE)</f>
        <v>1.4E-2</v>
      </c>
      <c r="K164" s="8">
        <f>VLOOKUP(F164,'DVOA DATA'!$A$1:$AK$35,IF('Solver Model &amp; Output'!$M$3&lt;3,(('Solver Model &amp; Output'!$M$3)*2)+1,(('Solver Model &amp; Output'!$M$3+1)*2)+1), FALSE)</f>
        <v>0.01</v>
      </c>
      <c r="L164" s="42">
        <f t="shared" si="17"/>
        <v>-7.2999999999999995E-2</v>
      </c>
      <c r="M164" s="42">
        <f t="shared" si="18"/>
        <v>0.10400000000000001</v>
      </c>
      <c r="N164">
        <f t="shared" si="19"/>
        <v>-0.17699999999999999</v>
      </c>
      <c r="O164" t="str">
        <f t="shared" si="16"/>
        <v>BAL</v>
      </c>
      <c r="P164" t="s">
        <v>55</v>
      </c>
      <c r="Q164">
        <f t="shared" si="20"/>
        <v>1</v>
      </c>
    </row>
    <row r="165" spans="1:17">
      <c r="A165">
        <v>2011</v>
      </c>
      <c r="B165">
        <v>12</v>
      </c>
      <c r="C165" s="7" t="str">
        <f t="shared" si="15"/>
        <v>ATL</v>
      </c>
      <c r="D165" s="2">
        <f t="shared" si="21"/>
        <v>0.30700000000000005</v>
      </c>
      <c r="E165" t="s">
        <v>70</v>
      </c>
      <c r="F165" t="s">
        <v>54</v>
      </c>
      <c r="H165" s="8">
        <f>VLOOKUP(E165,'DVOA DATA'!$A$1:$AK$35,IF('Solver Model &amp; Output'!$M$3&lt;3,('Solver Model &amp; Output'!$M$3)*2,('Solver Model &amp; Output'!$M$3+1)*2), FALSE)</f>
        <v>5.7000000000000002E-2</v>
      </c>
      <c r="I165" s="8">
        <f>VLOOKUP(F165,'DVOA DATA'!$A$1:$AK$35,IF('Solver Model &amp; Output'!$M$3&lt;3,('Solver Model &amp; Output'!$M$3)*2,('Solver Model &amp; Output'!$M$3+1)*2), FALSE)</f>
        <v>0.13</v>
      </c>
      <c r="J165" s="8">
        <f>VLOOKUP(E165,'DVOA DATA'!$A$1:$AK$35,IF('Solver Model &amp; Output'!$M$3&lt;3,(('Solver Model &amp; Output'!$M$3)*2)+1,(('Solver Model &amp; Output'!$M$3+1)*2)+1), FALSE)</f>
        <v>7.0000000000000007E-2</v>
      </c>
      <c r="K165" s="8">
        <f>VLOOKUP(F165,'DVOA DATA'!$A$1:$AK$35,IF('Solver Model &amp; Output'!$M$3&lt;3,(('Solver Model &amp; Output'!$M$3)*2)+1,(('Solver Model &amp; Output'!$M$3+1)*2)+1), FALSE)</f>
        <v>3.5999999999999997E-2</v>
      </c>
      <c r="L165" s="42">
        <f t="shared" si="17"/>
        <v>-1.3000000000000005E-2</v>
      </c>
      <c r="M165" s="42">
        <f t="shared" si="18"/>
        <v>9.4E-2</v>
      </c>
      <c r="N165">
        <f t="shared" si="19"/>
        <v>-0.10700000000000001</v>
      </c>
      <c r="O165" t="str">
        <f t="shared" si="16"/>
        <v>ATL</v>
      </c>
      <c r="P165" t="s">
        <v>54</v>
      </c>
      <c r="Q165">
        <f t="shared" si="20"/>
        <v>1</v>
      </c>
    </row>
    <row r="166" spans="1:17">
      <c r="A166">
        <v>2011</v>
      </c>
      <c r="B166">
        <v>12</v>
      </c>
      <c r="C166" s="7" t="str">
        <f t="shared" si="15"/>
        <v>HOU</v>
      </c>
      <c r="D166" s="2">
        <f t="shared" si="21"/>
        <v>5.7000000000000002E-2</v>
      </c>
      <c r="E166" t="s">
        <v>65</v>
      </c>
      <c r="F166" t="s">
        <v>67</v>
      </c>
      <c r="H166" s="8">
        <f>VLOOKUP(E166,'DVOA DATA'!$A$1:$AK$35,IF('Solver Model &amp; Output'!$M$3&lt;3,('Solver Model &amp; Output'!$M$3)*2,('Solver Model &amp; Output'!$M$3+1)*2), FALSE)</f>
        <v>0.2</v>
      </c>
      <c r="I166" s="8">
        <f>VLOOKUP(F166,'DVOA DATA'!$A$1:$AK$35,IF('Solver Model &amp; Output'!$M$3&lt;3,('Solver Model &amp; Output'!$M$3)*2,('Solver Model &amp; Output'!$M$3+1)*2), FALSE)</f>
        <v>4.5999999999999999E-2</v>
      </c>
      <c r="J166" s="8">
        <f>VLOOKUP(E166,'DVOA DATA'!$A$1:$AK$35,IF('Solver Model &amp; Output'!$M$3&lt;3,(('Solver Model &amp; Output'!$M$3)*2)+1,(('Solver Model &amp; Output'!$M$3+1)*2)+1), FALSE)</f>
        <v>0.13800000000000001</v>
      </c>
      <c r="K166" s="8">
        <f>VLOOKUP(F166,'DVOA DATA'!$A$1:$AK$35,IF('Solver Model &amp; Output'!$M$3&lt;3,(('Solver Model &amp; Output'!$M$3)*2)+1,(('Solver Model &amp; Output'!$M$3+1)*2)+1), FALSE)</f>
        <v>4.1000000000000002E-2</v>
      </c>
      <c r="L166" s="42">
        <f t="shared" si="17"/>
        <v>6.2E-2</v>
      </c>
      <c r="M166" s="42">
        <f t="shared" si="18"/>
        <v>4.9999999999999975E-3</v>
      </c>
      <c r="N166">
        <f t="shared" si="19"/>
        <v>5.7000000000000002E-2</v>
      </c>
      <c r="O166" t="str">
        <f t="shared" si="16"/>
        <v>HOU</v>
      </c>
      <c r="P166" t="s">
        <v>65</v>
      </c>
      <c r="Q166">
        <f t="shared" si="20"/>
        <v>1</v>
      </c>
    </row>
    <row r="167" spans="1:17">
      <c r="A167">
        <v>2011</v>
      </c>
      <c r="B167">
        <v>12</v>
      </c>
      <c r="C167" s="7" t="str">
        <f t="shared" si="15"/>
        <v>TB</v>
      </c>
      <c r="D167" s="2">
        <f t="shared" si="21"/>
        <v>0.127</v>
      </c>
      <c r="E167" t="s">
        <v>82</v>
      </c>
      <c r="F167" t="s">
        <v>83</v>
      </c>
      <c r="H167" s="8">
        <f>VLOOKUP(E167,'DVOA DATA'!$A$1:$AK$35,IF('Solver Model &amp; Output'!$M$3&lt;3,('Solver Model &amp; Output'!$M$3)*2,('Solver Model &amp; Output'!$M$3+1)*2), FALSE)</f>
        <v>2.8000000000000001E-2</v>
      </c>
      <c r="I167" s="8">
        <f>VLOOKUP(F167,'DVOA DATA'!$A$1:$AK$35,IF('Solver Model &amp; Output'!$M$3&lt;3,('Solver Model &amp; Output'!$M$3)*2,('Solver Model &amp; Output'!$M$3+1)*2), FALSE)</f>
        <v>-9.9000000000000005E-2</v>
      </c>
      <c r="J167" s="8">
        <f>VLOOKUP(E167,'DVOA DATA'!$A$1:$AK$35,IF('Solver Model &amp; Output'!$M$3&lt;3,(('Solver Model &amp; Output'!$M$3)*2)+1,(('Solver Model &amp; Output'!$M$3+1)*2)+1), FALSE)</f>
        <v>0.104</v>
      </c>
      <c r="K167" s="8">
        <f>VLOOKUP(F167,'DVOA DATA'!$A$1:$AK$35,IF('Solver Model &amp; Output'!$M$3&lt;3,(('Solver Model &amp; Output'!$M$3)*2)+1,(('Solver Model &amp; Output'!$M$3+1)*2)+1), FALSE)</f>
        <v>0.104</v>
      </c>
      <c r="L167" s="42">
        <f t="shared" si="17"/>
        <v>-7.5999999999999998E-2</v>
      </c>
      <c r="M167" s="42">
        <f t="shared" si="18"/>
        <v>-0.20300000000000001</v>
      </c>
      <c r="N167">
        <f t="shared" si="19"/>
        <v>0.127</v>
      </c>
      <c r="O167" t="str">
        <f t="shared" si="16"/>
        <v>TB</v>
      </c>
      <c r="P167" t="s">
        <v>83</v>
      </c>
      <c r="Q167">
        <f t="shared" si="20"/>
        <v>0</v>
      </c>
    </row>
    <row r="168" spans="1:17">
      <c r="A168">
        <v>2011</v>
      </c>
      <c r="B168">
        <v>12</v>
      </c>
      <c r="C168" s="7" t="str">
        <f t="shared" si="15"/>
        <v>STL</v>
      </c>
      <c r="D168" s="2">
        <f t="shared" si="21"/>
        <v>0.22900000000000004</v>
      </c>
      <c r="E168" t="s">
        <v>53</v>
      </c>
      <c r="F168" t="s">
        <v>81</v>
      </c>
      <c r="H168" s="8">
        <f>VLOOKUP(E168,'DVOA DATA'!$A$1:$AK$35,IF('Solver Model &amp; Output'!$M$3&lt;3,('Solver Model &amp; Output'!$M$3)*2,('Solver Model &amp; Output'!$M$3+1)*2), FALSE)</f>
        <v>-4.8000000000000001E-2</v>
      </c>
      <c r="I168" s="8">
        <f>VLOOKUP(F168,'DVOA DATA'!$A$1:$AK$35,IF('Solver Model &amp; Output'!$M$3&lt;3,('Solver Model &amp; Output'!$M$3)*2,('Solver Model &amp; Output'!$M$3+1)*2), FALSE)</f>
        <v>-0.14799999999999999</v>
      </c>
      <c r="J168" s="8">
        <f>VLOOKUP(E168,'DVOA DATA'!$A$1:$AK$35,IF('Solver Model &amp; Output'!$M$3&lt;3,(('Solver Model &amp; Output'!$M$3)*2)+1,(('Solver Model &amp; Output'!$M$3+1)*2)+1), FALSE)</f>
        <v>9.1999999999999998E-2</v>
      </c>
      <c r="K168" s="8">
        <f>VLOOKUP(F168,'DVOA DATA'!$A$1:$AK$35,IF('Solver Model &amp; Output'!$M$3&lt;3,(('Solver Model &amp; Output'!$M$3)*2)+1,(('Solver Model &amp; Output'!$M$3+1)*2)+1), FALSE)</f>
        <v>-3.6999999999999998E-2</v>
      </c>
      <c r="L168" s="42">
        <f t="shared" si="17"/>
        <v>-0.14000000000000001</v>
      </c>
      <c r="M168" s="42">
        <f t="shared" si="18"/>
        <v>-0.11099999999999999</v>
      </c>
      <c r="N168">
        <f t="shared" si="19"/>
        <v>-2.9000000000000026E-2</v>
      </c>
      <c r="O168" t="str">
        <f t="shared" si="16"/>
        <v>STL</v>
      </c>
      <c r="P168" t="s">
        <v>53</v>
      </c>
      <c r="Q168">
        <f t="shared" si="20"/>
        <v>0</v>
      </c>
    </row>
    <row r="169" spans="1:17">
      <c r="A169">
        <v>2011</v>
      </c>
      <c r="B169">
        <v>12</v>
      </c>
      <c r="C169" s="7" t="str">
        <f t="shared" si="15"/>
        <v>CLE</v>
      </c>
      <c r="D169" s="2">
        <f t="shared" si="21"/>
        <v>3.4000000000000002E-2</v>
      </c>
      <c r="E169" t="s">
        <v>60</v>
      </c>
      <c r="F169" t="s">
        <v>59</v>
      </c>
      <c r="H169" s="8">
        <f>VLOOKUP(E169,'DVOA DATA'!$A$1:$AK$35,IF('Solver Model &amp; Output'!$M$3&lt;3,('Solver Model &amp; Output'!$M$3)*2,('Solver Model &amp; Output'!$M$3+1)*2), FALSE)</f>
        <v>-0.03</v>
      </c>
      <c r="I169" s="8">
        <f>VLOOKUP(F169,'DVOA DATA'!$A$1:$AK$35,IF('Solver Model &amp; Output'!$M$3&lt;3,('Solver Model &amp; Output'!$M$3)*2,('Solver Model &amp; Output'!$M$3+1)*2), FALSE)</f>
        <v>-6.3E-2</v>
      </c>
      <c r="J169" s="8">
        <f>VLOOKUP(E169,'DVOA DATA'!$A$1:$AK$35,IF('Solver Model &amp; Output'!$M$3&lt;3,(('Solver Model &amp; Output'!$M$3)*2)+1,(('Solver Model &amp; Output'!$M$3+1)*2)+1), FALSE)</f>
        <v>4.8000000000000001E-2</v>
      </c>
      <c r="K169" s="8">
        <f>VLOOKUP(F169,'DVOA DATA'!$A$1:$AK$35,IF('Solver Model &amp; Output'!$M$3&lt;3,(('Solver Model &amp; Output'!$M$3)*2)+1,(('Solver Model &amp; Output'!$M$3+1)*2)+1), FALSE)</f>
        <v>4.9000000000000002E-2</v>
      </c>
      <c r="L169" s="42">
        <f t="shared" si="17"/>
        <v>-7.8E-2</v>
      </c>
      <c r="M169" s="42">
        <f t="shared" si="18"/>
        <v>-0.112</v>
      </c>
      <c r="N169">
        <f t="shared" si="19"/>
        <v>3.4000000000000002E-2</v>
      </c>
      <c r="O169" t="str">
        <f t="shared" si="16"/>
        <v>CLE</v>
      </c>
      <c r="P169" t="s">
        <v>59</v>
      </c>
      <c r="Q169">
        <f t="shared" si="20"/>
        <v>0</v>
      </c>
    </row>
    <row r="170" spans="1:17">
      <c r="A170">
        <v>2011</v>
      </c>
      <c r="B170">
        <v>12</v>
      </c>
      <c r="C170" s="7" t="str">
        <f t="shared" si="15"/>
        <v>NYJ</v>
      </c>
      <c r="D170" s="2">
        <f t="shared" si="21"/>
        <v>0.42299999999999999</v>
      </c>
      <c r="E170" t="s">
        <v>56</v>
      </c>
      <c r="F170" t="s">
        <v>74</v>
      </c>
      <c r="H170" s="8">
        <f>VLOOKUP(E170,'DVOA DATA'!$A$1:$AK$35,IF('Solver Model &amp; Output'!$M$3&lt;3,('Solver Model &amp; Output'!$M$3)*2,('Solver Model &amp; Output'!$M$3+1)*2), FALSE)</f>
        <v>-2.7E-2</v>
      </c>
      <c r="I170" s="8">
        <f>VLOOKUP(F170,'DVOA DATA'!$A$1:$AK$35,IF('Solver Model &amp; Output'!$M$3&lt;3,('Solver Model &amp; Output'!$M$3)*2,('Solver Model &amp; Output'!$M$3+1)*2), FALSE)</f>
        <v>-2.8000000000000001E-2</v>
      </c>
      <c r="J170" s="8">
        <f>VLOOKUP(E170,'DVOA DATA'!$A$1:$AK$35,IF('Solver Model &amp; Output'!$M$3&lt;3,(('Solver Model &amp; Output'!$M$3)*2)+1,(('Solver Model &amp; Output'!$M$3+1)*2)+1), FALSE)</f>
        <v>1.9E-2</v>
      </c>
      <c r="K170" s="8">
        <f>VLOOKUP(F170,'DVOA DATA'!$A$1:$AK$35,IF('Solver Model &amp; Output'!$M$3&lt;3,(('Solver Model &amp; Output'!$M$3)*2)+1,(('Solver Model &amp; Output'!$M$3+1)*2)+1), FALSE)</f>
        <v>-0.20499999999999999</v>
      </c>
      <c r="L170" s="42">
        <f t="shared" si="17"/>
        <v>-4.5999999999999999E-2</v>
      </c>
      <c r="M170" s="42">
        <f t="shared" si="18"/>
        <v>0.17699999999999999</v>
      </c>
      <c r="N170">
        <f t="shared" si="19"/>
        <v>-0.22299999999999998</v>
      </c>
      <c r="O170" t="str">
        <f t="shared" si="16"/>
        <v>NYJ</v>
      </c>
      <c r="P170" t="s">
        <v>74</v>
      </c>
      <c r="Q170">
        <f t="shared" si="20"/>
        <v>1</v>
      </c>
    </row>
    <row r="171" spans="1:17">
      <c r="A171">
        <v>2011</v>
      </c>
      <c r="B171">
        <v>12</v>
      </c>
      <c r="C171" s="7" t="str">
        <f t="shared" si="15"/>
        <v>IND</v>
      </c>
      <c r="D171" s="2">
        <f t="shared" si="21"/>
        <v>0.38200000000000001</v>
      </c>
      <c r="E171" t="s">
        <v>57</v>
      </c>
      <c r="F171" t="s">
        <v>66</v>
      </c>
      <c r="H171" s="8">
        <f>VLOOKUP(E171,'DVOA DATA'!$A$1:$AK$35,IF('Solver Model &amp; Output'!$M$3&lt;3,('Solver Model &amp; Output'!$M$3)*2,('Solver Model &amp; Output'!$M$3+1)*2), FALSE)</f>
        <v>-0.14099999999999999</v>
      </c>
      <c r="I171" s="8">
        <f>VLOOKUP(F171,'DVOA DATA'!$A$1:$AK$35,IF('Solver Model &amp; Output'!$M$3&lt;3,('Solver Model &amp; Output'!$M$3)*2,('Solver Model &amp; Output'!$M$3+1)*2), FALSE)</f>
        <v>0.104</v>
      </c>
      <c r="J171" s="8">
        <f>VLOOKUP(E171,'DVOA DATA'!$A$1:$AK$35,IF('Solver Model &amp; Output'!$M$3&lt;3,(('Solver Model &amp; Output'!$M$3)*2)+1,(('Solver Model &amp; Output'!$M$3+1)*2)+1), FALSE)</f>
        <v>2.9000000000000001E-2</v>
      </c>
      <c r="K171" s="8">
        <f>VLOOKUP(F171,'DVOA DATA'!$A$1:$AK$35,IF('Solver Model &amp; Output'!$M$3&lt;3,(('Solver Model &amp; Output'!$M$3)*2)+1,(('Solver Model &amp; Output'!$M$3+1)*2)+1), FALSE)</f>
        <v>9.1999999999999998E-2</v>
      </c>
      <c r="L171" s="42">
        <f t="shared" si="17"/>
        <v>-0.16999999999999998</v>
      </c>
      <c r="M171" s="42">
        <f t="shared" si="18"/>
        <v>1.1999999999999997E-2</v>
      </c>
      <c r="N171">
        <f t="shared" si="19"/>
        <v>-0.182</v>
      </c>
      <c r="O171" t="str">
        <f t="shared" si="16"/>
        <v>IND</v>
      </c>
      <c r="P171" t="s">
        <v>57</v>
      </c>
      <c r="Q171">
        <f t="shared" si="20"/>
        <v>0</v>
      </c>
    </row>
    <row r="172" spans="1:17">
      <c r="A172">
        <v>2011</v>
      </c>
      <c r="B172">
        <v>12</v>
      </c>
      <c r="C172" s="7" t="str">
        <f t="shared" si="15"/>
        <v>WAS</v>
      </c>
      <c r="D172" s="2">
        <f t="shared" si="21"/>
        <v>0.14199999999999999</v>
      </c>
      <c r="E172" t="s">
        <v>84</v>
      </c>
      <c r="F172" t="s">
        <v>79</v>
      </c>
      <c r="H172" s="8">
        <f>VLOOKUP(E172,'DVOA DATA'!$A$1:$AK$35,IF('Solver Model &amp; Output'!$M$3&lt;3,('Solver Model &amp; Output'!$M$3)*2,('Solver Model &amp; Output'!$M$3+1)*2), FALSE)</f>
        <v>-5.6000000000000001E-2</v>
      </c>
      <c r="I172" s="8">
        <f>VLOOKUP(F172,'DVOA DATA'!$A$1:$AK$35,IF('Solver Model &amp; Output'!$M$3&lt;3,('Solver Model &amp; Output'!$M$3)*2,('Solver Model &amp; Output'!$M$3+1)*2), FALSE)</f>
        <v>-0.23699999999999999</v>
      </c>
      <c r="J172" s="8">
        <f>VLOOKUP(E172,'DVOA DATA'!$A$1:$AK$35,IF('Solver Model &amp; Output'!$M$3&lt;3,(('Solver Model &amp; Output'!$M$3)*2)+1,(('Solver Model &amp; Output'!$M$3+1)*2)+1), FALSE)</f>
        <v>1.4999999999999999E-2</v>
      </c>
      <c r="K172" s="8">
        <f>VLOOKUP(F172,'DVOA DATA'!$A$1:$AK$35,IF('Solver Model &amp; Output'!$M$3&lt;3,(('Solver Model &amp; Output'!$M$3)*2)+1,(('Solver Model &amp; Output'!$M$3+1)*2)+1), FALSE)</f>
        <v>-2.4E-2</v>
      </c>
      <c r="L172" s="42">
        <f t="shared" si="17"/>
        <v>-7.1000000000000008E-2</v>
      </c>
      <c r="M172" s="42">
        <f t="shared" si="18"/>
        <v>-0.21299999999999999</v>
      </c>
      <c r="N172">
        <f t="shared" si="19"/>
        <v>0.14199999999999999</v>
      </c>
      <c r="O172" t="str">
        <f t="shared" si="16"/>
        <v>WAS</v>
      </c>
      <c r="P172" t="s">
        <v>84</v>
      </c>
      <c r="Q172">
        <f t="shared" si="20"/>
        <v>1</v>
      </c>
    </row>
    <row r="173" spans="1:17">
      <c r="A173">
        <v>2011</v>
      </c>
      <c r="B173">
        <v>12</v>
      </c>
      <c r="C173" s="7" t="str">
        <f t="shared" si="15"/>
        <v>CHI</v>
      </c>
      <c r="D173" s="2">
        <f t="shared" si="21"/>
        <v>0.17799999999999999</v>
      </c>
      <c r="E173" t="s">
        <v>58</v>
      </c>
      <c r="F173" t="s">
        <v>75</v>
      </c>
      <c r="H173" s="8">
        <f>VLOOKUP(E173,'DVOA DATA'!$A$1:$AK$35,IF('Solver Model &amp; Output'!$M$3&lt;3,('Solver Model &amp; Output'!$M$3)*2,('Solver Model &amp; Output'!$M$3+1)*2), FALSE)</f>
        <v>-0.06</v>
      </c>
      <c r="I173" s="8">
        <f>VLOOKUP(F173,'DVOA DATA'!$A$1:$AK$35,IF('Solver Model &amp; Output'!$M$3&lt;3,('Solver Model &amp; Output'!$M$3)*2,('Solver Model &amp; Output'!$M$3+1)*2), FALSE)</f>
        <v>-8.6999999999999994E-2</v>
      </c>
      <c r="J173" s="8">
        <f>VLOOKUP(E173,'DVOA DATA'!$A$1:$AK$35,IF('Solver Model &amp; Output'!$M$3&lt;3,(('Solver Model &amp; Output'!$M$3)*2)+1,(('Solver Model &amp; Output'!$M$3+1)*2)+1), FALSE)</f>
        <v>-8.5999999999999993E-2</v>
      </c>
      <c r="K173" s="8">
        <f>VLOOKUP(F173,'DVOA DATA'!$A$1:$AK$35,IF('Solver Model &amp; Output'!$M$3&lt;3,(('Solver Model &amp; Output'!$M$3)*2)+1,(('Solver Model &amp; Output'!$M$3+1)*2)+1), FALSE)</f>
        <v>6.5000000000000002E-2</v>
      </c>
      <c r="L173" s="42">
        <f t="shared" si="17"/>
        <v>2.5999999999999995E-2</v>
      </c>
      <c r="M173" s="42">
        <f t="shared" si="18"/>
        <v>-0.152</v>
      </c>
      <c r="N173">
        <f t="shared" si="19"/>
        <v>0.17799999999999999</v>
      </c>
      <c r="O173" t="str">
        <f t="shared" si="16"/>
        <v>CHI</v>
      </c>
      <c r="P173" t="s">
        <v>75</v>
      </c>
      <c r="Q173">
        <f t="shared" si="20"/>
        <v>0</v>
      </c>
    </row>
    <row r="174" spans="1:17">
      <c r="A174">
        <v>2011</v>
      </c>
      <c r="B174">
        <v>12</v>
      </c>
      <c r="C174" s="7" t="str">
        <f t="shared" si="15"/>
        <v>NE</v>
      </c>
      <c r="D174" s="2">
        <f t="shared" si="21"/>
        <v>6.4000000000000001E-2</v>
      </c>
      <c r="E174" t="s">
        <v>71</v>
      </c>
      <c r="F174" t="s">
        <v>76</v>
      </c>
      <c r="H174" s="8">
        <f>VLOOKUP(E174,'DVOA DATA'!$A$1:$AK$35,IF('Solver Model &amp; Output'!$M$3&lt;3,('Solver Model &amp; Output'!$M$3)*2,('Solver Model &amp; Output'!$M$3+1)*2), FALSE)</f>
        <v>0.309</v>
      </c>
      <c r="I174" s="8">
        <f>VLOOKUP(F174,'DVOA DATA'!$A$1:$AK$35,IF('Solver Model &amp; Output'!$M$3&lt;3,('Solver Model &amp; Output'!$M$3)*2,('Solver Model &amp; Output'!$M$3+1)*2), FALSE)</f>
        <v>0.123</v>
      </c>
      <c r="J174" s="8">
        <f>VLOOKUP(E174,'DVOA DATA'!$A$1:$AK$35,IF('Solver Model &amp; Output'!$M$3&lt;3,(('Solver Model &amp; Output'!$M$3)*2)+1,(('Solver Model &amp; Output'!$M$3+1)*2)+1), FALSE)</f>
        <v>3.6999999999999998E-2</v>
      </c>
      <c r="K174" s="8">
        <f>VLOOKUP(F174,'DVOA DATA'!$A$1:$AK$35,IF('Solver Model &amp; Output'!$M$3&lt;3,(('Solver Model &amp; Output'!$M$3)*2)+1,(('Solver Model &amp; Output'!$M$3+1)*2)+1), FALSE)</f>
        <v>-8.5000000000000006E-2</v>
      </c>
      <c r="L174" s="42">
        <f t="shared" si="17"/>
        <v>0.27200000000000002</v>
      </c>
      <c r="M174" s="42">
        <f t="shared" si="18"/>
        <v>0.20800000000000002</v>
      </c>
      <c r="N174">
        <f t="shared" si="19"/>
        <v>6.4000000000000001E-2</v>
      </c>
      <c r="O174" t="str">
        <f t="shared" si="16"/>
        <v>NE</v>
      </c>
      <c r="P174" t="s">
        <v>71</v>
      </c>
      <c r="Q174">
        <f t="shared" si="20"/>
        <v>1</v>
      </c>
    </row>
    <row r="175" spans="1:17">
      <c r="A175">
        <v>2011</v>
      </c>
      <c r="B175">
        <v>12</v>
      </c>
      <c r="C175" s="7" t="str">
        <f t="shared" si="15"/>
        <v>SD</v>
      </c>
      <c r="D175" s="2">
        <f t="shared" si="21"/>
        <v>0.55699999999999994</v>
      </c>
      <c r="E175" t="s">
        <v>62</v>
      </c>
      <c r="F175" t="s">
        <v>78</v>
      </c>
      <c r="H175" s="8">
        <f>VLOOKUP(E175,'DVOA DATA'!$A$1:$AK$35,IF('Solver Model &amp; Output'!$M$3&lt;3,('Solver Model &amp; Output'!$M$3)*2,('Solver Model &amp; Output'!$M$3+1)*2), FALSE)</f>
        <v>-4.2999999999999997E-2</v>
      </c>
      <c r="I175" s="8">
        <f>VLOOKUP(F175,'DVOA DATA'!$A$1:$AK$35,IF('Solver Model &amp; Output'!$M$3&lt;3,('Solver Model &amp; Output'!$M$3)*2,('Solver Model &amp; Output'!$M$3+1)*2), FALSE)</f>
        <v>0.32600000000000001</v>
      </c>
      <c r="J175" s="8">
        <f>VLOOKUP(E175,'DVOA DATA'!$A$1:$AK$35,IF('Solver Model &amp; Output'!$M$3&lt;3,(('Solver Model &amp; Output'!$M$3)*2)+1,(('Solver Model &amp; Output'!$M$3+1)*2)+1), FALSE)</f>
        <v>0.106</v>
      </c>
      <c r="K175" s="8">
        <f>VLOOKUP(F175,'DVOA DATA'!$A$1:$AK$35,IF('Solver Model &amp; Output'!$M$3&lt;3,(('Solver Model &amp; Output'!$M$3)*2)+1,(('Solver Model &amp; Output'!$M$3+1)*2)+1), FALSE)</f>
        <v>0.11799999999999999</v>
      </c>
      <c r="L175" s="42">
        <f t="shared" si="17"/>
        <v>-0.14899999999999999</v>
      </c>
      <c r="M175" s="42">
        <f t="shared" si="18"/>
        <v>0.20800000000000002</v>
      </c>
      <c r="N175">
        <f t="shared" si="19"/>
        <v>-0.35699999999999998</v>
      </c>
      <c r="O175" t="str">
        <f t="shared" si="16"/>
        <v>SD</v>
      </c>
      <c r="P175" t="s">
        <v>62</v>
      </c>
      <c r="Q175">
        <f t="shared" si="20"/>
        <v>0</v>
      </c>
    </row>
    <row r="176" spans="1:17">
      <c r="A176">
        <v>2011</v>
      </c>
      <c r="B176">
        <v>12</v>
      </c>
      <c r="C176" s="7" t="str">
        <f t="shared" si="15"/>
        <v>PIT</v>
      </c>
      <c r="D176" s="2">
        <f t="shared" si="21"/>
        <v>0.41500000000000004</v>
      </c>
      <c r="E176" t="s">
        <v>77</v>
      </c>
      <c r="F176" t="s">
        <v>68</v>
      </c>
      <c r="H176" s="8">
        <f>VLOOKUP(E176,'DVOA DATA'!$A$1:$AK$35,IF('Solver Model &amp; Output'!$M$3&lt;3,('Solver Model &amp; Output'!$M$3)*2,('Solver Model &amp; Output'!$M$3+1)*2), FALSE)</f>
        <v>0.16900000000000001</v>
      </c>
      <c r="I176" s="8">
        <f>VLOOKUP(F176,'DVOA DATA'!$A$1:$AK$35,IF('Solver Model &amp; Output'!$M$3&lt;3,('Solver Model &amp; Output'!$M$3)*2,('Solver Model &amp; Output'!$M$3+1)*2), FALSE)</f>
        <v>-4.7E-2</v>
      </c>
      <c r="J176" s="8">
        <f>VLOOKUP(E176,'DVOA DATA'!$A$1:$AK$35,IF('Solver Model &amp; Output'!$M$3&lt;3,(('Solver Model &amp; Output'!$M$3)*2)+1,(('Solver Model &amp; Output'!$M$3+1)*2)+1), FALSE)</f>
        <v>-0.126</v>
      </c>
      <c r="K176" s="8">
        <f>VLOOKUP(F176,'DVOA DATA'!$A$1:$AK$35,IF('Solver Model &amp; Output'!$M$3&lt;3,(('Solver Model &amp; Output'!$M$3)*2)+1,(('Solver Model &amp; Output'!$M$3+1)*2)+1), FALSE)</f>
        <v>7.2999999999999995E-2</v>
      </c>
      <c r="L176" s="42">
        <f t="shared" si="17"/>
        <v>0.29500000000000004</v>
      </c>
      <c r="M176" s="42">
        <f t="shared" si="18"/>
        <v>-0.12</v>
      </c>
      <c r="N176">
        <f t="shared" si="19"/>
        <v>0.41500000000000004</v>
      </c>
      <c r="O176" t="str">
        <f t="shared" si="16"/>
        <v>PIT</v>
      </c>
      <c r="P176" t="s">
        <v>77</v>
      </c>
      <c r="Q176">
        <f t="shared" si="20"/>
        <v>1</v>
      </c>
    </row>
    <row r="177" spans="1:17">
      <c r="A177">
        <v>2011</v>
      </c>
      <c r="B177">
        <v>12</v>
      </c>
      <c r="C177" s="7" t="str">
        <f t="shared" si="15"/>
        <v>NO</v>
      </c>
      <c r="D177" s="2">
        <f t="shared" si="21"/>
        <v>0.22600000000000003</v>
      </c>
      <c r="E177" t="s">
        <v>73</v>
      </c>
      <c r="F177" t="s">
        <v>72</v>
      </c>
      <c r="H177" s="8">
        <f>VLOOKUP(E177,'DVOA DATA'!$A$1:$AK$35,IF('Solver Model &amp; Output'!$M$3&lt;3,('Solver Model &amp; Output'!$M$3)*2,('Solver Model &amp; Output'!$M$3+1)*2), FALSE)</f>
        <v>5.8999999999999997E-2</v>
      </c>
      <c r="I177" s="8">
        <f>VLOOKUP(F177,'DVOA DATA'!$A$1:$AK$35,IF('Solver Model &amp; Output'!$M$3&lt;3,('Solver Model &amp; Output'!$M$3)*2,('Solver Model &amp; Output'!$M$3+1)*2), FALSE)</f>
        <v>0.19600000000000001</v>
      </c>
      <c r="J177" s="8">
        <f>VLOOKUP(E177,'DVOA DATA'!$A$1:$AK$35,IF('Solver Model &amp; Output'!$M$3&lt;3,(('Solver Model &amp; Output'!$M$3)*2)+1,(('Solver Model &amp; Output'!$M$3+1)*2)+1), FALSE)</f>
        <v>1E-3</v>
      </c>
      <c r="K177" s="8">
        <f>VLOOKUP(F177,'DVOA DATA'!$A$1:$AK$35,IF('Solver Model &amp; Output'!$M$3&lt;3,(('Solver Model &amp; Output'!$M$3)*2)+1,(('Solver Model &amp; Output'!$M$3+1)*2)+1), FALSE)</f>
        <v>0.112</v>
      </c>
      <c r="L177" s="42">
        <f t="shared" si="17"/>
        <v>5.7999999999999996E-2</v>
      </c>
      <c r="M177" s="42">
        <f t="shared" si="18"/>
        <v>8.4000000000000005E-2</v>
      </c>
      <c r="N177">
        <f t="shared" si="19"/>
        <v>-2.6000000000000009E-2</v>
      </c>
      <c r="O177" t="str">
        <f t="shared" si="16"/>
        <v>NO</v>
      </c>
      <c r="P177" t="s">
        <v>72</v>
      </c>
      <c r="Q177">
        <f t="shared" si="20"/>
        <v>1</v>
      </c>
    </row>
    <row r="178" spans="1:17">
      <c r="A178">
        <v>2011</v>
      </c>
      <c r="B178" s="3">
        <v>13</v>
      </c>
      <c r="C178" s="7" t="str">
        <f t="shared" si="15"/>
        <v>PHI</v>
      </c>
      <c r="D178" s="2">
        <f t="shared" si="21"/>
        <v>0.42100000000000004</v>
      </c>
      <c r="E178" t="s">
        <v>76</v>
      </c>
      <c r="F178" t="s">
        <v>79</v>
      </c>
      <c r="H178" s="8">
        <f>VLOOKUP(E178,'DVOA DATA'!$A$1:$AK$35,IF('Solver Model &amp; Output'!$M$3&lt;3,('Solver Model &amp; Output'!$M$3)*2,('Solver Model &amp; Output'!$M$3+1)*2), FALSE)</f>
        <v>0.123</v>
      </c>
      <c r="I178" s="8">
        <f>VLOOKUP(F178,'DVOA DATA'!$A$1:$AK$35,IF('Solver Model &amp; Output'!$M$3&lt;3,('Solver Model &amp; Output'!$M$3)*2,('Solver Model &amp; Output'!$M$3+1)*2), FALSE)</f>
        <v>-0.23699999999999999</v>
      </c>
      <c r="J178" s="8">
        <f>VLOOKUP(E178,'DVOA DATA'!$A$1:$AK$35,IF('Solver Model &amp; Output'!$M$3&lt;3,(('Solver Model &amp; Output'!$M$3)*2)+1,(('Solver Model &amp; Output'!$M$3+1)*2)+1), FALSE)</f>
        <v>-8.5000000000000006E-2</v>
      </c>
      <c r="K178" s="8">
        <f>VLOOKUP(F178,'DVOA DATA'!$A$1:$AK$35,IF('Solver Model &amp; Output'!$M$3&lt;3,(('Solver Model &amp; Output'!$M$3)*2)+1,(('Solver Model &amp; Output'!$M$3+1)*2)+1), FALSE)</f>
        <v>-2.4E-2</v>
      </c>
      <c r="L178" s="42">
        <f t="shared" si="17"/>
        <v>0.20800000000000002</v>
      </c>
      <c r="M178" s="42">
        <f t="shared" si="18"/>
        <v>-0.21299999999999999</v>
      </c>
      <c r="N178">
        <f t="shared" si="19"/>
        <v>0.42100000000000004</v>
      </c>
      <c r="O178" t="str">
        <f t="shared" si="16"/>
        <v>PHI</v>
      </c>
      <c r="P178" t="s">
        <v>79</v>
      </c>
      <c r="Q178">
        <f t="shared" si="20"/>
        <v>0</v>
      </c>
    </row>
    <row r="179" spans="1:17">
      <c r="A179">
        <v>2011</v>
      </c>
      <c r="B179" s="3">
        <v>13</v>
      </c>
      <c r="C179" s="7" t="str">
        <f t="shared" si="15"/>
        <v>BUF</v>
      </c>
      <c r="D179" s="2">
        <f t="shared" si="21"/>
        <v>0.35700000000000004</v>
      </c>
      <c r="E179" t="s">
        <v>83</v>
      </c>
      <c r="F179" t="s">
        <v>56</v>
      </c>
      <c r="H179" s="8">
        <f>VLOOKUP(E179,'DVOA DATA'!$A$1:$AK$35,IF('Solver Model &amp; Output'!$M$3&lt;3,('Solver Model &amp; Output'!$M$3)*2,('Solver Model &amp; Output'!$M$3+1)*2), FALSE)</f>
        <v>-9.9000000000000005E-2</v>
      </c>
      <c r="I179" s="8">
        <f>VLOOKUP(F179,'DVOA DATA'!$A$1:$AK$35,IF('Solver Model &amp; Output'!$M$3&lt;3,('Solver Model &amp; Output'!$M$3)*2,('Solver Model &amp; Output'!$M$3+1)*2), FALSE)</f>
        <v>-2.7E-2</v>
      </c>
      <c r="J179" s="8">
        <f>VLOOKUP(E179,'DVOA DATA'!$A$1:$AK$35,IF('Solver Model &amp; Output'!$M$3&lt;3,(('Solver Model &amp; Output'!$M$3)*2)+1,(('Solver Model &amp; Output'!$M$3+1)*2)+1), FALSE)</f>
        <v>0.104</v>
      </c>
      <c r="K179" s="8">
        <f>VLOOKUP(F179,'DVOA DATA'!$A$1:$AK$35,IF('Solver Model &amp; Output'!$M$3&lt;3,(('Solver Model &amp; Output'!$M$3)*2)+1,(('Solver Model &amp; Output'!$M$3+1)*2)+1), FALSE)</f>
        <v>1.9E-2</v>
      </c>
      <c r="L179" s="42">
        <f t="shared" si="17"/>
        <v>-0.20300000000000001</v>
      </c>
      <c r="M179" s="42">
        <f t="shared" si="18"/>
        <v>-4.5999999999999999E-2</v>
      </c>
      <c r="N179">
        <f t="shared" si="19"/>
        <v>-0.15700000000000003</v>
      </c>
      <c r="O179" t="str">
        <f t="shared" si="16"/>
        <v>BUF</v>
      </c>
    </row>
    <row r="180" spans="1:17">
      <c r="A180">
        <v>2011</v>
      </c>
      <c r="B180" s="3">
        <v>13</v>
      </c>
      <c r="C180" s="7" t="str">
        <f t="shared" si="15"/>
        <v>CHI</v>
      </c>
      <c r="D180" s="2">
        <f t="shared" si="21"/>
        <v>0.34599999999999997</v>
      </c>
      <c r="E180" t="s">
        <v>68</v>
      </c>
      <c r="F180" t="s">
        <v>58</v>
      </c>
      <c r="H180" s="8">
        <f>VLOOKUP(E180,'DVOA DATA'!$A$1:$AK$35,IF('Solver Model &amp; Output'!$M$3&lt;3,('Solver Model &amp; Output'!$M$3)*2,('Solver Model &amp; Output'!$M$3+1)*2), FALSE)</f>
        <v>-4.7E-2</v>
      </c>
      <c r="I180" s="8">
        <f>VLOOKUP(F180,'DVOA DATA'!$A$1:$AK$35,IF('Solver Model &amp; Output'!$M$3&lt;3,('Solver Model &amp; Output'!$M$3)*2,('Solver Model &amp; Output'!$M$3+1)*2), FALSE)</f>
        <v>-0.06</v>
      </c>
      <c r="J180" s="8">
        <f>VLOOKUP(E180,'DVOA DATA'!$A$1:$AK$35,IF('Solver Model &amp; Output'!$M$3&lt;3,(('Solver Model &amp; Output'!$M$3)*2)+1,(('Solver Model &amp; Output'!$M$3+1)*2)+1), FALSE)</f>
        <v>7.2999999999999995E-2</v>
      </c>
      <c r="K180" s="8">
        <f>VLOOKUP(F180,'DVOA DATA'!$A$1:$AK$35,IF('Solver Model &amp; Output'!$M$3&lt;3,(('Solver Model &amp; Output'!$M$3)*2)+1,(('Solver Model &amp; Output'!$M$3+1)*2)+1), FALSE)</f>
        <v>-8.5999999999999993E-2</v>
      </c>
      <c r="L180" s="42">
        <f t="shared" si="17"/>
        <v>-0.12</v>
      </c>
      <c r="M180" s="42">
        <f t="shared" si="18"/>
        <v>2.5999999999999995E-2</v>
      </c>
      <c r="N180">
        <f t="shared" si="19"/>
        <v>-0.14599999999999999</v>
      </c>
      <c r="O180" t="str">
        <f t="shared" si="16"/>
        <v>CHI</v>
      </c>
    </row>
    <row r="181" spans="1:17">
      <c r="A181">
        <v>2011</v>
      </c>
      <c r="B181" s="3">
        <v>13</v>
      </c>
      <c r="C181" s="7" t="str">
        <f t="shared" si="15"/>
        <v>BAL</v>
      </c>
      <c r="D181" s="2">
        <f t="shared" si="21"/>
        <v>0.182</v>
      </c>
      <c r="E181" t="s">
        <v>55</v>
      </c>
      <c r="F181" t="s">
        <v>60</v>
      </c>
      <c r="H181" s="8">
        <f>VLOOKUP(E181,'DVOA DATA'!$A$1:$AK$35,IF('Solver Model &amp; Output'!$M$3&lt;3,('Solver Model &amp; Output'!$M$3)*2,('Solver Model &amp; Output'!$M$3+1)*2), FALSE)</f>
        <v>0.114</v>
      </c>
      <c r="I181" s="8">
        <f>VLOOKUP(F181,'DVOA DATA'!$A$1:$AK$35,IF('Solver Model &amp; Output'!$M$3&lt;3,('Solver Model &amp; Output'!$M$3)*2,('Solver Model &amp; Output'!$M$3+1)*2), FALSE)</f>
        <v>-0.03</v>
      </c>
      <c r="J181" s="8">
        <f>VLOOKUP(E181,'DVOA DATA'!$A$1:$AK$35,IF('Solver Model &amp; Output'!$M$3&lt;3,(('Solver Model &amp; Output'!$M$3)*2)+1,(('Solver Model &amp; Output'!$M$3+1)*2)+1), FALSE)</f>
        <v>0.01</v>
      </c>
      <c r="K181" s="8">
        <f>VLOOKUP(F181,'DVOA DATA'!$A$1:$AK$35,IF('Solver Model &amp; Output'!$M$3&lt;3,(('Solver Model &amp; Output'!$M$3)*2)+1,(('Solver Model &amp; Output'!$M$3+1)*2)+1), FALSE)</f>
        <v>4.8000000000000001E-2</v>
      </c>
      <c r="L181" s="42">
        <f t="shared" si="17"/>
        <v>0.10400000000000001</v>
      </c>
      <c r="M181" s="42">
        <f t="shared" si="18"/>
        <v>-7.8E-2</v>
      </c>
      <c r="N181">
        <f t="shared" si="19"/>
        <v>0.182</v>
      </c>
      <c r="O181" t="str">
        <f t="shared" si="16"/>
        <v>BAL</v>
      </c>
    </row>
    <row r="182" spans="1:17">
      <c r="A182">
        <v>2011</v>
      </c>
      <c r="B182" s="3">
        <v>13</v>
      </c>
      <c r="C182" s="7" t="str">
        <f t="shared" si="15"/>
        <v>ATL</v>
      </c>
      <c r="D182" s="2">
        <f t="shared" si="21"/>
        <v>3.2000000000000001E-2</v>
      </c>
      <c r="E182" t="s">
        <v>54</v>
      </c>
      <c r="F182" t="s">
        <v>65</v>
      </c>
      <c r="H182" s="8">
        <f>VLOOKUP(E182,'DVOA DATA'!$A$1:$AK$35,IF('Solver Model &amp; Output'!$M$3&lt;3,('Solver Model &amp; Output'!$M$3)*2,('Solver Model &amp; Output'!$M$3+1)*2), FALSE)</f>
        <v>0.13</v>
      </c>
      <c r="I182" s="8">
        <f>VLOOKUP(F182,'DVOA DATA'!$A$1:$AK$35,IF('Solver Model &amp; Output'!$M$3&lt;3,('Solver Model &amp; Output'!$M$3)*2,('Solver Model &amp; Output'!$M$3+1)*2), FALSE)</f>
        <v>0.2</v>
      </c>
      <c r="J182" s="8">
        <f>VLOOKUP(E182,'DVOA DATA'!$A$1:$AK$35,IF('Solver Model &amp; Output'!$M$3&lt;3,(('Solver Model &amp; Output'!$M$3)*2)+1,(('Solver Model &amp; Output'!$M$3+1)*2)+1), FALSE)</f>
        <v>3.5999999999999997E-2</v>
      </c>
      <c r="K182" s="8">
        <f>VLOOKUP(F182,'DVOA DATA'!$A$1:$AK$35,IF('Solver Model &amp; Output'!$M$3&lt;3,(('Solver Model &amp; Output'!$M$3)*2)+1,(('Solver Model &amp; Output'!$M$3+1)*2)+1), FALSE)</f>
        <v>0.13800000000000001</v>
      </c>
      <c r="L182" s="42">
        <f t="shared" si="17"/>
        <v>9.4E-2</v>
      </c>
      <c r="M182" s="42">
        <f t="shared" si="18"/>
        <v>6.2E-2</v>
      </c>
      <c r="N182">
        <f t="shared" si="19"/>
        <v>3.2000000000000001E-2</v>
      </c>
      <c r="O182" t="str">
        <f t="shared" si="16"/>
        <v>ATL</v>
      </c>
    </row>
    <row r="183" spans="1:17">
      <c r="A183">
        <v>2011</v>
      </c>
      <c r="B183" s="3">
        <v>13</v>
      </c>
      <c r="C183" s="7" t="str">
        <f t="shared" si="15"/>
        <v>MIA</v>
      </c>
      <c r="D183" s="2">
        <f t="shared" si="21"/>
        <v>0.44</v>
      </c>
      <c r="E183" t="s">
        <v>75</v>
      </c>
      <c r="F183" t="s">
        <v>69</v>
      </c>
      <c r="H183" s="8">
        <f>VLOOKUP(E183,'DVOA DATA'!$A$1:$AK$35,IF('Solver Model &amp; Output'!$M$3&lt;3,('Solver Model &amp; Output'!$M$3)*2,('Solver Model &amp; Output'!$M$3+1)*2), FALSE)</f>
        <v>-8.6999999999999994E-2</v>
      </c>
      <c r="I183" s="8">
        <f>VLOOKUP(F183,'DVOA DATA'!$A$1:$AK$35,IF('Solver Model &amp; Output'!$M$3&lt;3,('Solver Model &amp; Output'!$M$3)*2,('Solver Model &amp; Output'!$M$3+1)*2), FALSE)</f>
        <v>0.106</v>
      </c>
      <c r="J183" s="8">
        <f>VLOOKUP(E183,'DVOA DATA'!$A$1:$AK$35,IF('Solver Model &amp; Output'!$M$3&lt;3,(('Solver Model &amp; Output'!$M$3)*2)+1,(('Solver Model &amp; Output'!$M$3+1)*2)+1), FALSE)</f>
        <v>6.5000000000000002E-2</v>
      </c>
      <c r="K183" s="8">
        <f>VLOOKUP(F183,'DVOA DATA'!$A$1:$AK$35,IF('Solver Model &amp; Output'!$M$3&lt;3,(('Solver Model &amp; Output'!$M$3)*2)+1,(('Solver Model &amp; Output'!$M$3+1)*2)+1), FALSE)</f>
        <v>1.7999999999999999E-2</v>
      </c>
      <c r="L183" s="42">
        <f t="shared" si="17"/>
        <v>-0.152</v>
      </c>
      <c r="M183" s="42">
        <f t="shared" si="18"/>
        <v>8.7999999999999995E-2</v>
      </c>
      <c r="N183">
        <f t="shared" si="19"/>
        <v>-0.24</v>
      </c>
      <c r="O183" t="str">
        <f t="shared" si="16"/>
        <v>MIA</v>
      </c>
    </row>
    <row r="184" spans="1:17">
      <c r="A184">
        <v>2011</v>
      </c>
      <c r="B184" s="3">
        <v>13</v>
      </c>
      <c r="C184" s="7" t="str">
        <f t="shared" si="15"/>
        <v>NO</v>
      </c>
      <c r="D184" s="2">
        <f t="shared" si="21"/>
        <v>0.29600000000000004</v>
      </c>
      <c r="E184" t="s">
        <v>63</v>
      </c>
      <c r="F184" t="s">
        <v>72</v>
      </c>
      <c r="H184" s="8">
        <f>VLOOKUP(E184,'DVOA DATA'!$A$1:$AK$35,IF('Solver Model &amp; Output'!$M$3&lt;3,('Solver Model &amp; Output'!$M$3)*2,('Solver Model &amp; Output'!$M$3+1)*2), FALSE)</f>
        <v>5.2999999999999999E-2</v>
      </c>
      <c r="I184" s="8">
        <f>VLOOKUP(F184,'DVOA DATA'!$A$1:$AK$35,IF('Solver Model &amp; Output'!$M$3&lt;3,('Solver Model &amp; Output'!$M$3)*2,('Solver Model &amp; Output'!$M$3+1)*2), FALSE)</f>
        <v>0.19600000000000001</v>
      </c>
      <c r="J184" s="8">
        <f>VLOOKUP(E184,'DVOA DATA'!$A$1:$AK$35,IF('Solver Model &amp; Output'!$M$3&lt;3,(('Solver Model &amp; Output'!$M$3)*2)+1,(('Solver Model &amp; Output'!$M$3+1)*2)+1), FALSE)</f>
        <v>6.5000000000000002E-2</v>
      </c>
      <c r="K184" s="8">
        <f>VLOOKUP(F184,'DVOA DATA'!$A$1:$AK$35,IF('Solver Model &amp; Output'!$M$3&lt;3,(('Solver Model &amp; Output'!$M$3)*2)+1,(('Solver Model &amp; Output'!$M$3+1)*2)+1), FALSE)</f>
        <v>0.112</v>
      </c>
      <c r="L184" s="42">
        <f t="shared" si="17"/>
        <v>-1.2000000000000004E-2</v>
      </c>
      <c r="M184" s="42">
        <f t="shared" si="18"/>
        <v>8.4000000000000005E-2</v>
      </c>
      <c r="N184">
        <f t="shared" si="19"/>
        <v>-9.6000000000000002E-2</v>
      </c>
      <c r="O184" t="str">
        <f t="shared" si="16"/>
        <v>NO</v>
      </c>
    </row>
    <row r="185" spans="1:17">
      <c r="A185">
        <v>2011</v>
      </c>
      <c r="B185" s="3">
        <v>13</v>
      </c>
      <c r="C185" s="7" t="str">
        <f t="shared" si="15"/>
        <v>PIT</v>
      </c>
      <c r="D185" s="2">
        <f t="shared" si="21"/>
        <v>0.60699999999999998</v>
      </c>
      <c r="E185" t="s">
        <v>59</v>
      </c>
      <c r="F185" t="s">
        <v>77</v>
      </c>
      <c r="H185" s="8">
        <f>VLOOKUP(E185,'DVOA DATA'!$A$1:$AK$35,IF('Solver Model &amp; Output'!$M$3&lt;3,('Solver Model &amp; Output'!$M$3)*2,('Solver Model &amp; Output'!$M$3+1)*2), FALSE)</f>
        <v>-6.3E-2</v>
      </c>
      <c r="I185" s="8">
        <f>VLOOKUP(F185,'DVOA DATA'!$A$1:$AK$35,IF('Solver Model &amp; Output'!$M$3&lt;3,('Solver Model &amp; Output'!$M$3)*2,('Solver Model &amp; Output'!$M$3+1)*2), FALSE)</f>
        <v>0.16900000000000001</v>
      </c>
      <c r="J185" s="8">
        <f>VLOOKUP(E185,'DVOA DATA'!$A$1:$AK$35,IF('Solver Model &amp; Output'!$M$3&lt;3,(('Solver Model &amp; Output'!$M$3)*2)+1,(('Solver Model &amp; Output'!$M$3+1)*2)+1), FALSE)</f>
        <v>4.9000000000000002E-2</v>
      </c>
      <c r="K185" s="8">
        <f>VLOOKUP(F185,'DVOA DATA'!$A$1:$AK$35,IF('Solver Model &amp; Output'!$M$3&lt;3,(('Solver Model &amp; Output'!$M$3)*2)+1,(('Solver Model &amp; Output'!$M$3+1)*2)+1), FALSE)</f>
        <v>-0.126</v>
      </c>
      <c r="L185" s="42">
        <f t="shared" si="17"/>
        <v>-0.112</v>
      </c>
      <c r="M185" s="42">
        <f t="shared" si="18"/>
        <v>0.29500000000000004</v>
      </c>
      <c r="N185">
        <f t="shared" si="19"/>
        <v>-0.40700000000000003</v>
      </c>
      <c r="O185" t="str">
        <f t="shared" si="16"/>
        <v>PIT</v>
      </c>
    </row>
    <row r="186" spans="1:17">
      <c r="A186">
        <v>2011</v>
      </c>
      <c r="B186" s="3">
        <v>13</v>
      </c>
      <c r="C186" s="7" t="str">
        <f t="shared" si="15"/>
        <v>TB</v>
      </c>
      <c r="D186" s="2">
        <f t="shared" si="21"/>
        <v>0.29399999999999998</v>
      </c>
      <c r="E186" t="s">
        <v>57</v>
      </c>
      <c r="F186" t="s">
        <v>82</v>
      </c>
      <c r="H186" s="8">
        <f>VLOOKUP(E186,'DVOA DATA'!$A$1:$AK$35,IF('Solver Model &amp; Output'!$M$3&lt;3,('Solver Model &amp; Output'!$M$3)*2,('Solver Model &amp; Output'!$M$3+1)*2), FALSE)</f>
        <v>-0.14099999999999999</v>
      </c>
      <c r="I186" s="8">
        <f>VLOOKUP(F186,'DVOA DATA'!$A$1:$AK$35,IF('Solver Model &amp; Output'!$M$3&lt;3,('Solver Model &amp; Output'!$M$3)*2,('Solver Model &amp; Output'!$M$3+1)*2), FALSE)</f>
        <v>2.8000000000000001E-2</v>
      </c>
      <c r="J186" s="8">
        <f>VLOOKUP(E186,'DVOA DATA'!$A$1:$AK$35,IF('Solver Model &amp; Output'!$M$3&lt;3,(('Solver Model &amp; Output'!$M$3)*2)+1,(('Solver Model &amp; Output'!$M$3+1)*2)+1), FALSE)</f>
        <v>2.9000000000000001E-2</v>
      </c>
      <c r="K186" s="8">
        <f>VLOOKUP(F186,'DVOA DATA'!$A$1:$AK$35,IF('Solver Model &amp; Output'!$M$3&lt;3,(('Solver Model &amp; Output'!$M$3)*2)+1,(('Solver Model &amp; Output'!$M$3+1)*2)+1), FALSE)</f>
        <v>0.104</v>
      </c>
      <c r="L186" s="42">
        <f t="shared" si="17"/>
        <v>-0.16999999999999998</v>
      </c>
      <c r="M186" s="42">
        <f t="shared" si="18"/>
        <v>-7.5999999999999998E-2</v>
      </c>
      <c r="N186">
        <f t="shared" si="19"/>
        <v>-9.3999999999999986E-2</v>
      </c>
      <c r="O186" t="str">
        <f t="shared" si="16"/>
        <v>TB</v>
      </c>
    </row>
    <row r="187" spans="1:17">
      <c r="A187">
        <v>2011</v>
      </c>
      <c r="B187" s="3">
        <v>13</v>
      </c>
      <c r="C187" s="7" t="str">
        <f t="shared" si="15"/>
        <v>NYJ</v>
      </c>
      <c r="D187" s="2">
        <f t="shared" si="21"/>
        <v>0.248</v>
      </c>
      <c r="E187" t="s">
        <v>74</v>
      </c>
      <c r="F187" t="s">
        <v>84</v>
      </c>
      <c r="H187" s="8">
        <f>VLOOKUP(E187,'DVOA DATA'!$A$1:$AK$35,IF('Solver Model &amp; Output'!$M$3&lt;3,('Solver Model &amp; Output'!$M$3)*2,('Solver Model &amp; Output'!$M$3+1)*2), FALSE)</f>
        <v>-2.8000000000000001E-2</v>
      </c>
      <c r="I187" s="8">
        <f>VLOOKUP(F187,'DVOA DATA'!$A$1:$AK$35,IF('Solver Model &amp; Output'!$M$3&lt;3,('Solver Model &amp; Output'!$M$3)*2,('Solver Model &amp; Output'!$M$3+1)*2), FALSE)</f>
        <v>-5.6000000000000001E-2</v>
      </c>
      <c r="J187" s="8">
        <f>VLOOKUP(E187,'DVOA DATA'!$A$1:$AK$35,IF('Solver Model &amp; Output'!$M$3&lt;3,(('Solver Model &amp; Output'!$M$3)*2)+1,(('Solver Model &amp; Output'!$M$3+1)*2)+1), FALSE)</f>
        <v>-0.20499999999999999</v>
      </c>
      <c r="K187" s="8">
        <f>VLOOKUP(F187,'DVOA DATA'!$A$1:$AK$35,IF('Solver Model &amp; Output'!$M$3&lt;3,(('Solver Model &amp; Output'!$M$3)*2)+1,(('Solver Model &amp; Output'!$M$3+1)*2)+1), FALSE)</f>
        <v>1.4999999999999999E-2</v>
      </c>
      <c r="L187" s="42">
        <f t="shared" si="17"/>
        <v>0.17699999999999999</v>
      </c>
      <c r="M187" s="42">
        <f t="shared" si="18"/>
        <v>-7.1000000000000008E-2</v>
      </c>
      <c r="N187">
        <f t="shared" si="19"/>
        <v>0.248</v>
      </c>
      <c r="O187" t="str">
        <f t="shared" si="16"/>
        <v>NYJ</v>
      </c>
    </row>
    <row r="188" spans="1:17">
      <c r="A188">
        <v>2011</v>
      </c>
      <c r="B188" s="3">
        <v>13</v>
      </c>
      <c r="C188" s="7" t="str">
        <f t="shared" si="15"/>
        <v>MIN</v>
      </c>
      <c r="D188" s="2">
        <f t="shared" si="21"/>
        <v>0.33599999999999997</v>
      </c>
      <c r="E188" t="s">
        <v>62</v>
      </c>
      <c r="F188" t="s">
        <v>70</v>
      </c>
      <c r="H188" s="8">
        <f>VLOOKUP(E188,'DVOA DATA'!$A$1:$AK$35,IF('Solver Model &amp; Output'!$M$3&lt;3,('Solver Model &amp; Output'!$M$3)*2,('Solver Model &amp; Output'!$M$3+1)*2), FALSE)</f>
        <v>-4.2999999999999997E-2</v>
      </c>
      <c r="I188" s="8">
        <f>VLOOKUP(F188,'DVOA DATA'!$A$1:$AK$35,IF('Solver Model &amp; Output'!$M$3&lt;3,('Solver Model &amp; Output'!$M$3)*2,('Solver Model &amp; Output'!$M$3+1)*2), FALSE)</f>
        <v>5.7000000000000002E-2</v>
      </c>
      <c r="J188" s="8">
        <f>VLOOKUP(E188,'DVOA DATA'!$A$1:$AK$35,IF('Solver Model &amp; Output'!$M$3&lt;3,(('Solver Model &amp; Output'!$M$3)*2)+1,(('Solver Model &amp; Output'!$M$3+1)*2)+1), FALSE)</f>
        <v>0.106</v>
      </c>
      <c r="K188" s="8">
        <f>VLOOKUP(F188,'DVOA DATA'!$A$1:$AK$35,IF('Solver Model &amp; Output'!$M$3&lt;3,(('Solver Model &amp; Output'!$M$3)*2)+1,(('Solver Model &amp; Output'!$M$3+1)*2)+1), FALSE)</f>
        <v>7.0000000000000007E-2</v>
      </c>
      <c r="L188" s="42">
        <f t="shared" si="17"/>
        <v>-0.14899999999999999</v>
      </c>
      <c r="M188" s="42">
        <f t="shared" si="18"/>
        <v>-1.3000000000000005E-2</v>
      </c>
      <c r="N188">
        <f t="shared" si="19"/>
        <v>-0.13599999999999998</v>
      </c>
      <c r="O188" t="str">
        <f t="shared" si="16"/>
        <v>MIN</v>
      </c>
    </row>
    <row r="189" spans="1:17">
      <c r="A189">
        <v>2011</v>
      </c>
      <c r="B189" s="3">
        <v>13</v>
      </c>
      <c r="C189" s="7" t="str">
        <f t="shared" si="15"/>
        <v>DAL</v>
      </c>
      <c r="D189" s="2">
        <f t="shared" si="21"/>
        <v>6.7000000000000018E-2</v>
      </c>
      <c r="E189" t="s">
        <v>61</v>
      </c>
      <c r="F189" t="s">
        <v>53</v>
      </c>
      <c r="H189" s="8">
        <f>VLOOKUP(E189,'DVOA DATA'!$A$1:$AK$35,IF('Solver Model &amp; Output'!$M$3&lt;3,('Solver Model &amp; Output'!$M$3)*2,('Solver Model &amp; Output'!$M$3+1)*2), FALSE)</f>
        <v>1.6E-2</v>
      </c>
      <c r="I189" s="8">
        <f>VLOOKUP(F189,'DVOA DATA'!$A$1:$AK$35,IF('Solver Model &amp; Output'!$M$3&lt;3,('Solver Model &amp; Output'!$M$3)*2,('Solver Model &amp; Output'!$M$3+1)*2), FALSE)</f>
        <v>-4.8000000000000001E-2</v>
      </c>
      <c r="J189" s="8">
        <f>VLOOKUP(E189,'DVOA DATA'!$A$1:$AK$35,IF('Solver Model &amp; Output'!$M$3&lt;3,(('Solver Model &amp; Output'!$M$3)*2)+1,(('Solver Model &amp; Output'!$M$3+1)*2)+1), FALSE)</f>
        <v>8.8999999999999996E-2</v>
      </c>
      <c r="K189" s="8">
        <f>VLOOKUP(F189,'DVOA DATA'!$A$1:$AK$35,IF('Solver Model &amp; Output'!$M$3&lt;3,(('Solver Model &amp; Output'!$M$3)*2)+1,(('Solver Model &amp; Output'!$M$3+1)*2)+1), FALSE)</f>
        <v>9.1999999999999998E-2</v>
      </c>
      <c r="L189" s="42">
        <f t="shared" si="17"/>
        <v>-7.2999999999999995E-2</v>
      </c>
      <c r="M189" s="42">
        <f t="shared" si="18"/>
        <v>-0.14000000000000001</v>
      </c>
      <c r="N189">
        <f t="shared" si="19"/>
        <v>6.7000000000000018E-2</v>
      </c>
      <c r="O189" t="str">
        <f t="shared" si="16"/>
        <v>DAL</v>
      </c>
    </row>
    <row r="190" spans="1:17">
      <c r="A190">
        <v>2011</v>
      </c>
      <c r="B190" s="3">
        <v>13</v>
      </c>
      <c r="C190" s="7" t="str">
        <f t="shared" si="15"/>
        <v>GB</v>
      </c>
      <c r="D190" s="2">
        <f t="shared" si="21"/>
        <v>6.3E-2</v>
      </c>
      <c r="E190" t="s">
        <v>64</v>
      </c>
      <c r="F190" t="s">
        <v>73</v>
      </c>
      <c r="H190" s="8">
        <f>VLOOKUP(E190,'DVOA DATA'!$A$1:$AK$35,IF('Solver Model &amp; Output'!$M$3&lt;3,('Solver Model &amp; Output'!$M$3)*2,('Solver Model &amp; Output'!$M$3+1)*2), FALSE)</f>
        <v>9.9000000000000005E-2</v>
      </c>
      <c r="I190" s="8">
        <f>VLOOKUP(F190,'DVOA DATA'!$A$1:$AK$35,IF('Solver Model &amp; Output'!$M$3&lt;3,('Solver Model &amp; Output'!$M$3)*2,('Solver Model &amp; Output'!$M$3+1)*2), FALSE)</f>
        <v>5.8999999999999997E-2</v>
      </c>
      <c r="J190" s="8">
        <f>VLOOKUP(E190,'DVOA DATA'!$A$1:$AK$35,IF('Solver Model &amp; Output'!$M$3&lt;3,(('Solver Model &amp; Output'!$M$3)*2)+1,(('Solver Model &amp; Output'!$M$3+1)*2)+1), FALSE)</f>
        <v>-2.1999999999999999E-2</v>
      </c>
      <c r="K190" s="8">
        <f>VLOOKUP(F190,'DVOA DATA'!$A$1:$AK$35,IF('Solver Model &amp; Output'!$M$3&lt;3,(('Solver Model &amp; Output'!$M$3)*2)+1,(('Solver Model &amp; Output'!$M$3+1)*2)+1), FALSE)</f>
        <v>1E-3</v>
      </c>
      <c r="L190" s="42">
        <f t="shared" si="17"/>
        <v>0.121</v>
      </c>
      <c r="M190" s="42">
        <f t="shared" si="18"/>
        <v>5.7999999999999996E-2</v>
      </c>
      <c r="N190">
        <f t="shared" si="19"/>
        <v>6.3E-2</v>
      </c>
      <c r="O190" t="str">
        <f t="shared" si="16"/>
        <v>GB</v>
      </c>
    </row>
    <row r="191" spans="1:17">
      <c r="A191">
        <v>2011</v>
      </c>
      <c r="B191" s="3">
        <v>13</v>
      </c>
      <c r="C191" s="7" t="str">
        <f t="shared" si="15"/>
        <v>SF</v>
      </c>
      <c r="D191" s="2">
        <f t="shared" si="21"/>
        <v>0.23799999999999999</v>
      </c>
      <c r="E191" t="s">
        <v>81</v>
      </c>
      <c r="F191" t="s">
        <v>80</v>
      </c>
      <c r="H191" s="8">
        <f>VLOOKUP(E191,'DVOA DATA'!$A$1:$AK$35,IF('Solver Model &amp; Output'!$M$3&lt;3,('Solver Model &amp; Output'!$M$3)*2,('Solver Model &amp; Output'!$M$3+1)*2), FALSE)</f>
        <v>-0.14799999999999999</v>
      </c>
      <c r="I191" s="8">
        <f>VLOOKUP(F191,'DVOA DATA'!$A$1:$AK$35,IF('Solver Model &amp; Output'!$M$3&lt;3,('Solver Model &amp; Output'!$M$3)*2,('Solver Model &amp; Output'!$M$3+1)*2), FALSE)</f>
        <v>-5.8999999999999997E-2</v>
      </c>
      <c r="J191" s="8">
        <f>VLOOKUP(E191,'DVOA DATA'!$A$1:$AK$35,IF('Solver Model &amp; Output'!$M$3&lt;3,(('Solver Model &amp; Output'!$M$3)*2)+1,(('Solver Model &amp; Output'!$M$3+1)*2)+1), FALSE)</f>
        <v>-3.6999999999999998E-2</v>
      </c>
      <c r="K191" s="8">
        <f>VLOOKUP(F191,'DVOA DATA'!$A$1:$AK$35,IF('Solver Model &amp; Output'!$M$3&lt;3,(('Solver Model &amp; Output'!$M$3)*2)+1,(('Solver Model &amp; Output'!$M$3+1)*2)+1), FALSE)</f>
        <v>1.4E-2</v>
      </c>
      <c r="L191" s="42">
        <f t="shared" si="17"/>
        <v>-0.11099999999999999</v>
      </c>
      <c r="M191" s="42">
        <f t="shared" si="18"/>
        <v>-7.2999999999999995E-2</v>
      </c>
      <c r="N191">
        <f t="shared" si="19"/>
        <v>-3.7999999999999992E-2</v>
      </c>
      <c r="O191" t="str">
        <f t="shared" si="16"/>
        <v>SF</v>
      </c>
    </row>
    <row r="192" spans="1:17">
      <c r="A192">
        <v>2011</v>
      </c>
      <c r="B192" s="3">
        <v>13</v>
      </c>
      <c r="C192" s="7" t="str">
        <f t="shared" si="15"/>
        <v>NE</v>
      </c>
      <c r="D192" s="2">
        <f t="shared" si="21"/>
        <v>0.46</v>
      </c>
      <c r="E192" t="s">
        <v>66</v>
      </c>
      <c r="F192" t="s">
        <v>71</v>
      </c>
      <c r="H192" s="8">
        <f>VLOOKUP(E192,'DVOA DATA'!$A$1:$AK$35,IF('Solver Model &amp; Output'!$M$3&lt;3,('Solver Model &amp; Output'!$M$3)*2,('Solver Model &amp; Output'!$M$3+1)*2), FALSE)</f>
        <v>0.104</v>
      </c>
      <c r="I192" s="8">
        <f>VLOOKUP(F192,'DVOA DATA'!$A$1:$AK$35,IF('Solver Model &amp; Output'!$M$3&lt;3,('Solver Model &amp; Output'!$M$3)*2,('Solver Model &amp; Output'!$M$3+1)*2), FALSE)</f>
        <v>0.309</v>
      </c>
      <c r="J192" s="8">
        <f>VLOOKUP(E192,'DVOA DATA'!$A$1:$AK$35,IF('Solver Model &amp; Output'!$M$3&lt;3,(('Solver Model &amp; Output'!$M$3)*2)+1,(('Solver Model &amp; Output'!$M$3+1)*2)+1), FALSE)</f>
        <v>9.1999999999999998E-2</v>
      </c>
      <c r="K192" s="8">
        <f>VLOOKUP(F192,'DVOA DATA'!$A$1:$AK$35,IF('Solver Model &amp; Output'!$M$3&lt;3,(('Solver Model &amp; Output'!$M$3)*2)+1,(('Solver Model &amp; Output'!$M$3+1)*2)+1), FALSE)</f>
        <v>3.6999999999999998E-2</v>
      </c>
      <c r="L192" s="42">
        <f t="shared" si="17"/>
        <v>1.1999999999999997E-2</v>
      </c>
      <c r="M192" s="42">
        <f t="shared" si="18"/>
        <v>0.27200000000000002</v>
      </c>
      <c r="N192">
        <f t="shared" si="19"/>
        <v>-0.26</v>
      </c>
      <c r="O192" t="str">
        <f t="shared" si="16"/>
        <v>NE</v>
      </c>
    </row>
    <row r="193" spans="1:15">
      <c r="A193">
        <v>2011</v>
      </c>
      <c r="B193" s="3">
        <v>13</v>
      </c>
      <c r="C193" s="7" t="str">
        <f t="shared" si="15"/>
        <v>SD</v>
      </c>
      <c r="D193" s="2">
        <f t="shared" si="21"/>
        <v>0.20300000000000001</v>
      </c>
      <c r="E193" t="s">
        <v>78</v>
      </c>
      <c r="F193" t="s">
        <v>67</v>
      </c>
      <c r="H193" s="8">
        <f>VLOOKUP(E193,'DVOA DATA'!$A$1:$AK$35,IF('Solver Model &amp; Output'!$M$3&lt;3,('Solver Model &amp; Output'!$M$3)*2,('Solver Model &amp; Output'!$M$3+1)*2), FALSE)</f>
        <v>0.32600000000000001</v>
      </c>
      <c r="I193" s="8">
        <f>VLOOKUP(F193,'DVOA DATA'!$A$1:$AK$35,IF('Solver Model &amp; Output'!$M$3&lt;3,('Solver Model &amp; Output'!$M$3)*2,('Solver Model &amp; Output'!$M$3+1)*2), FALSE)</f>
        <v>4.5999999999999999E-2</v>
      </c>
      <c r="J193" s="8">
        <f>VLOOKUP(E193,'DVOA DATA'!$A$1:$AK$35,IF('Solver Model &amp; Output'!$M$3&lt;3,(('Solver Model &amp; Output'!$M$3)*2)+1,(('Solver Model &amp; Output'!$M$3+1)*2)+1), FALSE)</f>
        <v>0.11799999999999999</v>
      </c>
      <c r="K193" s="8">
        <f>VLOOKUP(F193,'DVOA DATA'!$A$1:$AK$35,IF('Solver Model &amp; Output'!$M$3&lt;3,(('Solver Model &amp; Output'!$M$3)*2)+1,(('Solver Model &amp; Output'!$M$3+1)*2)+1), FALSE)</f>
        <v>4.1000000000000002E-2</v>
      </c>
      <c r="L193" s="42">
        <f t="shared" si="17"/>
        <v>0.20800000000000002</v>
      </c>
      <c r="M193" s="42">
        <f t="shared" si="18"/>
        <v>4.9999999999999975E-3</v>
      </c>
      <c r="N193">
        <f t="shared" si="19"/>
        <v>0.20300000000000001</v>
      </c>
      <c r="O193" t="str">
        <f t="shared" si="16"/>
        <v>SD</v>
      </c>
    </row>
    <row r="194" spans="1:15">
      <c r="A194">
        <v>2011</v>
      </c>
      <c r="B194" s="3">
        <v>14</v>
      </c>
      <c r="C194" s="7" t="str">
        <f t="shared" ref="C194:C257" si="22">IF(N194&gt;0,E194,F194)</f>
        <v>PIT</v>
      </c>
      <c r="D194" s="2">
        <f t="shared" si="21"/>
        <v>0.57300000000000006</v>
      </c>
      <c r="E194" t="s">
        <v>60</v>
      </c>
      <c r="F194" t="s">
        <v>77</v>
      </c>
      <c r="H194" s="8">
        <f>VLOOKUP(E194,'DVOA DATA'!$A$1:$AK$35,IF('Solver Model &amp; Output'!$M$3&lt;3,('Solver Model &amp; Output'!$M$3)*2,('Solver Model &amp; Output'!$M$3+1)*2), FALSE)</f>
        <v>-0.03</v>
      </c>
      <c r="I194" s="8">
        <f>VLOOKUP(F194,'DVOA DATA'!$A$1:$AK$35,IF('Solver Model &amp; Output'!$M$3&lt;3,('Solver Model &amp; Output'!$M$3)*2,('Solver Model &amp; Output'!$M$3+1)*2), FALSE)</f>
        <v>0.16900000000000001</v>
      </c>
      <c r="J194" s="8">
        <f>VLOOKUP(E194,'DVOA DATA'!$A$1:$AK$35,IF('Solver Model &amp; Output'!$M$3&lt;3,(('Solver Model &amp; Output'!$M$3)*2)+1,(('Solver Model &amp; Output'!$M$3+1)*2)+1), FALSE)</f>
        <v>4.8000000000000001E-2</v>
      </c>
      <c r="K194" s="8">
        <f>VLOOKUP(F194,'DVOA DATA'!$A$1:$AK$35,IF('Solver Model &amp; Output'!$M$3&lt;3,(('Solver Model &amp; Output'!$M$3)*2)+1,(('Solver Model &amp; Output'!$M$3+1)*2)+1), FALSE)</f>
        <v>-0.126</v>
      </c>
      <c r="L194" s="42">
        <f t="shared" si="17"/>
        <v>-7.8E-2</v>
      </c>
      <c r="M194" s="42">
        <f t="shared" si="18"/>
        <v>0.29500000000000004</v>
      </c>
      <c r="N194">
        <f t="shared" si="19"/>
        <v>-0.37300000000000005</v>
      </c>
      <c r="O194" t="str">
        <f t="shared" ref="O194:O257" si="23">IF(N194&gt;0,E194,F194)</f>
        <v>PIT</v>
      </c>
    </row>
    <row r="195" spans="1:15">
      <c r="A195">
        <v>2011</v>
      </c>
      <c r="B195" s="3">
        <v>14</v>
      </c>
      <c r="C195" s="7" t="str">
        <f t="shared" si="22"/>
        <v>ATL</v>
      </c>
      <c r="D195" s="2">
        <f t="shared" si="21"/>
        <v>0.26400000000000001</v>
      </c>
      <c r="E195" t="s">
        <v>54</v>
      </c>
      <c r="F195" t="s">
        <v>57</v>
      </c>
      <c r="H195" s="8">
        <f>VLOOKUP(E195,'DVOA DATA'!$A$1:$AK$35,IF('Solver Model &amp; Output'!$M$3&lt;3,('Solver Model &amp; Output'!$M$3)*2,('Solver Model &amp; Output'!$M$3+1)*2), FALSE)</f>
        <v>0.13</v>
      </c>
      <c r="I195" s="8">
        <f>VLOOKUP(F195,'DVOA DATA'!$A$1:$AK$35,IF('Solver Model &amp; Output'!$M$3&lt;3,('Solver Model &amp; Output'!$M$3)*2,('Solver Model &amp; Output'!$M$3+1)*2), FALSE)</f>
        <v>-0.14099999999999999</v>
      </c>
      <c r="J195" s="8">
        <f>VLOOKUP(E195,'DVOA DATA'!$A$1:$AK$35,IF('Solver Model &amp; Output'!$M$3&lt;3,(('Solver Model &amp; Output'!$M$3)*2)+1,(('Solver Model &amp; Output'!$M$3+1)*2)+1), FALSE)</f>
        <v>3.5999999999999997E-2</v>
      </c>
      <c r="K195" s="8">
        <f>VLOOKUP(F195,'DVOA DATA'!$A$1:$AK$35,IF('Solver Model &amp; Output'!$M$3&lt;3,(('Solver Model &amp; Output'!$M$3)*2)+1,(('Solver Model &amp; Output'!$M$3+1)*2)+1), FALSE)</f>
        <v>2.9000000000000001E-2</v>
      </c>
      <c r="L195" s="42">
        <f t="shared" ref="L195:L257" si="24">H195-J195</f>
        <v>9.4E-2</v>
      </c>
      <c r="M195" s="42">
        <f t="shared" ref="M195:M257" si="25">I195-K195</f>
        <v>-0.16999999999999998</v>
      </c>
      <c r="N195">
        <f t="shared" ref="N195:N257" si="26">L195-M195</f>
        <v>0.26400000000000001</v>
      </c>
      <c r="O195" t="str">
        <f t="shared" si="23"/>
        <v>ATL</v>
      </c>
    </row>
    <row r="196" spans="1:15">
      <c r="A196">
        <v>2011</v>
      </c>
      <c r="B196" s="3">
        <v>14</v>
      </c>
      <c r="C196" s="7" t="str">
        <f t="shared" si="22"/>
        <v>HOU</v>
      </c>
      <c r="D196" s="2">
        <f t="shared" si="21"/>
        <v>0.17399999999999999</v>
      </c>
      <c r="E196" t="s">
        <v>65</v>
      </c>
      <c r="F196" t="s">
        <v>59</v>
      </c>
      <c r="H196" s="8">
        <f>VLOOKUP(E196,'DVOA DATA'!$A$1:$AK$35,IF('Solver Model &amp; Output'!$M$3&lt;3,('Solver Model &amp; Output'!$M$3)*2,('Solver Model &amp; Output'!$M$3+1)*2), FALSE)</f>
        <v>0.2</v>
      </c>
      <c r="I196" s="8">
        <f>VLOOKUP(F196,'DVOA DATA'!$A$1:$AK$35,IF('Solver Model &amp; Output'!$M$3&lt;3,('Solver Model &amp; Output'!$M$3)*2,('Solver Model &amp; Output'!$M$3+1)*2), FALSE)</f>
        <v>-6.3E-2</v>
      </c>
      <c r="J196" s="8">
        <f>VLOOKUP(E196,'DVOA DATA'!$A$1:$AK$35,IF('Solver Model &amp; Output'!$M$3&lt;3,(('Solver Model &amp; Output'!$M$3)*2)+1,(('Solver Model &amp; Output'!$M$3+1)*2)+1), FALSE)</f>
        <v>0.13800000000000001</v>
      </c>
      <c r="K196" s="8">
        <f>VLOOKUP(F196,'DVOA DATA'!$A$1:$AK$35,IF('Solver Model &amp; Output'!$M$3&lt;3,(('Solver Model &amp; Output'!$M$3)*2)+1,(('Solver Model &amp; Output'!$M$3+1)*2)+1), FALSE)</f>
        <v>4.9000000000000002E-2</v>
      </c>
      <c r="L196" s="42">
        <f t="shared" si="24"/>
        <v>6.2E-2</v>
      </c>
      <c r="M196" s="42">
        <f t="shared" si="25"/>
        <v>-0.112</v>
      </c>
      <c r="N196">
        <f t="shared" si="26"/>
        <v>0.17399999999999999</v>
      </c>
      <c r="O196" t="str">
        <f t="shared" si="23"/>
        <v>HOU</v>
      </c>
    </row>
    <row r="197" spans="1:15">
      <c r="A197">
        <v>2011</v>
      </c>
      <c r="B197" s="3">
        <v>14</v>
      </c>
      <c r="C197" s="7" t="str">
        <f t="shared" si="22"/>
        <v>DET</v>
      </c>
      <c r="D197" s="2">
        <f t="shared" si="21"/>
        <v>0.20100000000000001</v>
      </c>
      <c r="E197" t="s">
        <v>70</v>
      </c>
      <c r="F197" t="s">
        <v>63</v>
      </c>
      <c r="H197" s="8">
        <f>VLOOKUP(E197,'DVOA DATA'!$A$1:$AK$35,IF('Solver Model &amp; Output'!$M$3&lt;3,('Solver Model &amp; Output'!$M$3)*2,('Solver Model &amp; Output'!$M$3+1)*2), FALSE)</f>
        <v>5.7000000000000002E-2</v>
      </c>
      <c r="I197" s="8">
        <f>VLOOKUP(F197,'DVOA DATA'!$A$1:$AK$35,IF('Solver Model &amp; Output'!$M$3&lt;3,('Solver Model &amp; Output'!$M$3)*2,('Solver Model &amp; Output'!$M$3+1)*2), FALSE)</f>
        <v>5.2999999999999999E-2</v>
      </c>
      <c r="J197" s="8">
        <f>VLOOKUP(E197,'DVOA DATA'!$A$1:$AK$35,IF('Solver Model &amp; Output'!$M$3&lt;3,(('Solver Model &amp; Output'!$M$3)*2)+1,(('Solver Model &amp; Output'!$M$3+1)*2)+1), FALSE)</f>
        <v>7.0000000000000007E-2</v>
      </c>
      <c r="K197" s="8">
        <f>VLOOKUP(F197,'DVOA DATA'!$A$1:$AK$35,IF('Solver Model &amp; Output'!$M$3&lt;3,(('Solver Model &amp; Output'!$M$3)*2)+1,(('Solver Model &amp; Output'!$M$3+1)*2)+1), FALSE)</f>
        <v>6.5000000000000002E-2</v>
      </c>
      <c r="L197" s="42">
        <f t="shared" si="24"/>
        <v>-1.3000000000000005E-2</v>
      </c>
      <c r="M197" s="42">
        <f t="shared" si="25"/>
        <v>-1.2000000000000004E-2</v>
      </c>
      <c r="N197">
        <f t="shared" si="26"/>
        <v>-1.0000000000000009E-3</v>
      </c>
      <c r="O197" t="str">
        <f t="shared" si="23"/>
        <v>DET</v>
      </c>
    </row>
    <row r="198" spans="1:15">
      <c r="A198">
        <v>2011</v>
      </c>
      <c r="B198" s="3">
        <v>14</v>
      </c>
      <c r="C198" s="7" t="str">
        <f t="shared" si="22"/>
        <v>GB</v>
      </c>
      <c r="D198" s="2">
        <f t="shared" si="21"/>
        <v>0.47300000000000003</v>
      </c>
      <c r="E198" t="s">
        <v>75</v>
      </c>
      <c r="F198" t="s">
        <v>64</v>
      </c>
      <c r="H198" s="8">
        <f>VLOOKUP(E198,'DVOA DATA'!$A$1:$AK$35,IF('Solver Model &amp; Output'!$M$3&lt;3,('Solver Model &amp; Output'!$M$3)*2,('Solver Model &amp; Output'!$M$3+1)*2), FALSE)</f>
        <v>-8.6999999999999994E-2</v>
      </c>
      <c r="I198" s="8">
        <f>VLOOKUP(F198,'DVOA DATA'!$A$1:$AK$35,IF('Solver Model &amp; Output'!$M$3&lt;3,('Solver Model &amp; Output'!$M$3)*2,('Solver Model &amp; Output'!$M$3+1)*2), FALSE)</f>
        <v>9.9000000000000005E-2</v>
      </c>
      <c r="J198" s="8">
        <f>VLOOKUP(E198,'DVOA DATA'!$A$1:$AK$35,IF('Solver Model &amp; Output'!$M$3&lt;3,(('Solver Model &amp; Output'!$M$3)*2)+1,(('Solver Model &amp; Output'!$M$3+1)*2)+1), FALSE)</f>
        <v>6.5000000000000002E-2</v>
      </c>
      <c r="K198" s="8">
        <f>VLOOKUP(F198,'DVOA DATA'!$A$1:$AK$35,IF('Solver Model &amp; Output'!$M$3&lt;3,(('Solver Model &amp; Output'!$M$3)*2)+1,(('Solver Model &amp; Output'!$M$3+1)*2)+1), FALSE)</f>
        <v>-2.1999999999999999E-2</v>
      </c>
      <c r="L198" s="42">
        <f t="shared" si="24"/>
        <v>-0.152</v>
      </c>
      <c r="M198" s="42">
        <f t="shared" si="25"/>
        <v>0.121</v>
      </c>
      <c r="N198">
        <f t="shared" si="26"/>
        <v>-0.27300000000000002</v>
      </c>
      <c r="O198" t="str">
        <f t="shared" si="23"/>
        <v>GB</v>
      </c>
    </row>
    <row r="199" spans="1:15">
      <c r="A199">
        <v>2011</v>
      </c>
      <c r="B199" s="3">
        <v>14</v>
      </c>
      <c r="C199" s="7" t="str">
        <f t="shared" si="22"/>
        <v>JAC</v>
      </c>
      <c r="D199" s="2">
        <f t="shared" ref="D199:D257" si="27">ABS(L199-M199)+IF(C199=F199,0.2,0)</f>
        <v>0.28100000000000003</v>
      </c>
      <c r="E199" t="s">
        <v>82</v>
      </c>
      <c r="F199" t="s">
        <v>67</v>
      </c>
      <c r="H199" s="8">
        <f>VLOOKUP(E199,'DVOA DATA'!$A$1:$AK$35,IF('Solver Model &amp; Output'!$M$3&lt;3,('Solver Model &amp; Output'!$M$3)*2,('Solver Model &amp; Output'!$M$3+1)*2), FALSE)</f>
        <v>2.8000000000000001E-2</v>
      </c>
      <c r="I199" s="8">
        <f>VLOOKUP(F199,'DVOA DATA'!$A$1:$AK$35,IF('Solver Model &amp; Output'!$M$3&lt;3,('Solver Model &amp; Output'!$M$3)*2,('Solver Model &amp; Output'!$M$3+1)*2), FALSE)</f>
        <v>4.5999999999999999E-2</v>
      </c>
      <c r="J199" s="8">
        <f>VLOOKUP(E199,'DVOA DATA'!$A$1:$AK$35,IF('Solver Model &amp; Output'!$M$3&lt;3,(('Solver Model &amp; Output'!$M$3)*2)+1,(('Solver Model &amp; Output'!$M$3+1)*2)+1), FALSE)</f>
        <v>0.104</v>
      </c>
      <c r="K199" s="8">
        <f>VLOOKUP(F199,'DVOA DATA'!$A$1:$AK$35,IF('Solver Model &amp; Output'!$M$3&lt;3,(('Solver Model &amp; Output'!$M$3)*2)+1,(('Solver Model &amp; Output'!$M$3+1)*2)+1), FALSE)</f>
        <v>4.1000000000000002E-2</v>
      </c>
      <c r="L199" s="42">
        <f t="shared" si="24"/>
        <v>-7.5999999999999998E-2</v>
      </c>
      <c r="M199" s="42">
        <f t="shared" si="25"/>
        <v>4.9999999999999975E-3</v>
      </c>
      <c r="N199">
        <f t="shared" si="26"/>
        <v>-8.0999999999999989E-2</v>
      </c>
      <c r="O199" t="str">
        <f t="shared" si="23"/>
        <v>JAC</v>
      </c>
    </row>
    <row r="200" spans="1:15">
      <c r="A200">
        <v>2011</v>
      </c>
      <c r="B200" s="3">
        <v>14</v>
      </c>
      <c r="C200" s="7" t="str">
        <f t="shared" si="22"/>
        <v>PHI</v>
      </c>
      <c r="D200" s="2">
        <f t="shared" si="27"/>
        <v>0.12000000000000002</v>
      </c>
      <c r="E200" t="s">
        <v>76</v>
      </c>
      <c r="F200" t="s">
        <v>69</v>
      </c>
      <c r="H200" s="8">
        <f>VLOOKUP(E200,'DVOA DATA'!$A$1:$AK$35,IF('Solver Model &amp; Output'!$M$3&lt;3,('Solver Model &amp; Output'!$M$3)*2,('Solver Model &amp; Output'!$M$3+1)*2), FALSE)</f>
        <v>0.123</v>
      </c>
      <c r="I200" s="8">
        <f>VLOOKUP(F200,'DVOA DATA'!$A$1:$AK$35,IF('Solver Model &amp; Output'!$M$3&lt;3,('Solver Model &amp; Output'!$M$3)*2,('Solver Model &amp; Output'!$M$3+1)*2), FALSE)</f>
        <v>0.106</v>
      </c>
      <c r="J200" s="8">
        <f>VLOOKUP(E200,'DVOA DATA'!$A$1:$AK$35,IF('Solver Model &amp; Output'!$M$3&lt;3,(('Solver Model &amp; Output'!$M$3)*2)+1,(('Solver Model &amp; Output'!$M$3+1)*2)+1), FALSE)</f>
        <v>-8.5000000000000006E-2</v>
      </c>
      <c r="K200" s="8">
        <f>VLOOKUP(F200,'DVOA DATA'!$A$1:$AK$35,IF('Solver Model &amp; Output'!$M$3&lt;3,(('Solver Model &amp; Output'!$M$3)*2)+1,(('Solver Model &amp; Output'!$M$3+1)*2)+1), FALSE)</f>
        <v>1.7999999999999999E-2</v>
      </c>
      <c r="L200" s="42">
        <f t="shared" si="24"/>
        <v>0.20800000000000002</v>
      </c>
      <c r="M200" s="42">
        <f t="shared" si="25"/>
        <v>8.7999999999999995E-2</v>
      </c>
      <c r="N200">
        <f t="shared" si="26"/>
        <v>0.12000000000000002</v>
      </c>
      <c r="O200" t="str">
        <f t="shared" si="23"/>
        <v>PHI</v>
      </c>
    </row>
    <row r="201" spans="1:15">
      <c r="A201">
        <v>2011</v>
      </c>
      <c r="B201" s="3">
        <v>14</v>
      </c>
      <c r="C201" s="7" t="str">
        <f t="shared" si="22"/>
        <v>NYJ</v>
      </c>
      <c r="D201" s="2">
        <f t="shared" si="27"/>
        <v>0.497</v>
      </c>
      <c r="E201" t="s">
        <v>68</v>
      </c>
      <c r="F201" t="s">
        <v>74</v>
      </c>
      <c r="H201" s="8">
        <f>VLOOKUP(E201,'DVOA DATA'!$A$1:$AK$35,IF('Solver Model &amp; Output'!$M$3&lt;3,('Solver Model &amp; Output'!$M$3)*2,('Solver Model &amp; Output'!$M$3+1)*2), FALSE)</f>
        <v>-4.7E-2</v>
      </c>
      <c r="I201" s="8">
        <f>VLOOKUP(F201,'DVOA DATA'!$A$1:$AK$35,IF('Solver Model &amp; Output'!$M$3&lt;3,('Solver Model &amp; Output'!$M$3)*2,('Solver Model &amp; Output'!$M$3+1)*2), FALSE)</f>
        <v>-2.8000000000000001E-2</v>
      </c>
      <c r="J201" s="8">
        <f>VLOOKUP(E201,'DVOA DATA'!$A$1:$AK$35,IF('Solver Model &amp; Output'!$M$3&lt;3,(('Solver Model &amp; Output'!$M$3)*2)+1,(('Solver Model &amp; Output'!$M$3+1)*2)+1), FALSE)</f>
        <v>7.2999999999999995E-2</v>
      </c>
      <c r="K201" s="8">
        <f>VLOOKUP(F201,'DVOA DATA'!$A$1:$AK$35,IF('Solver Model &amp; Output'!$M$3&lt;3,(('Solver Model &amp; Output'!$M$3)*2)+1,(('Solver Model &amp; Output'!$M$3+1)*2)+1), FALSE)</f>
        <v>-0.20499999999999999</v>
      </c>
      <c r="L201" s="42">
        <f t="shared" si="24"/>
        <v>-0.12</v>
      </c>
      <c r="M201" s="42">
        <f t="shared" si="25"/>
        <v>0.17699999999999999</v>
      </c>
      <c r="N201">
        <f t="shared" si="26"/>
        <v>-0.29699999999999999</v>
      </c>
      <c r="O201" t="str">
        <f t="shared" si="23"/>
        <v>NYJ</v>
      </c>
    </row>
    <row r="202" spans="1:15">
      <c r="A202">
        <v>2011</v>
      </c>
      <c r="B202" s="3">
        <v>14</v>
      </c>
      <c r="C202" s="7" t="str">
        <f t="shared" si="22"/>
        <v>NO</v>
      </c>
      <c r="D202" s="2">
        <f t="shared" si="27"/>
        <v>0.28700000000000003</v>
      </c>
      <c r="E202" t="s">
        <v>72</v>
      </c>
      <c r="F202" t="s">
        <v>83</v>
      </c>
      <c r="H202" s="8">
        <f>VLOOKUP(E202,'DVOA DATA'!$A$1:$AK$35,IF('Solver Model &amp; Output'!$M$3&lt;3,('Solver Model &amp; Output'!$M$3)*2,('Solver Model &amp; Output'!$M$3+1)*2), FALSE)</f>
        <v>0.19600000000000001</v>
      </c>
      <c r="I202" s="8">
        <f>VLOOKUP(F202,'DVOA DATA'!$A$1:$AK$35,IF('Solver Model &amp; Output'!$M$3&lt;3,('Solver Model &amp; Output'!$M$3)*2,('Solver Model &amp; Output'!$M$3+1)*2), FALSE)</f>
        <v>-9.9000000000000005E-2</v>
      </c>
      <c r="J202" s="8">
        <f>VLOOKUP(E202,'DVOA DATA'!$A$1:$AK$35,IF('Solver Model &amp; Output'!$M$3&lt;3,(('Solver Model &amp; Output'!$M$3)*2)+1,(('Solver Model &amp; Output'!$M$3+1)*2)+1), FALSE)</f>
        <v>0.112</v>
      </c>
      <c r="K202" s="8">
        <f>VLOOKUP(F202,'DVOA DATA'!$A$1:$AK$35,IF('Solver Model &amp; Output'!$M$3&lt;3,(('Solver Model &amp; Output'!$M$3)*2)+1,(('Solver Model &amp; Output'!$M$3+1)*2)+1), FALSE)</f>
        <v>0.104</v>
      </c>
      <c r="L202" s="42">
        <f t="shared" si="24"/>
        <v>8.4000000000000005E-2</v>
      </c>
      <c r="M202" s="42">
        <f t="shared" si="25"/>
        <v>-0.20300000000000001</v>
      </c>
      <c r="N202">
        <f t="shared" si="26"/>
        <v>0.28700000000000003</v>
      </c>
      <c r="O202" t="str">
        <f t="shared" si="23"/>
        <v>NO</v>
      </c>
    </row>
    <row r="203" spans="1:15">
      <c r="A203">
        <v>2011</v>
      </c>
      <c r="B203" s="3">
        <v>14</v>
      </c>
      <c r="C203" s="7" t="str">
        <f t="shared" si="22"/>
        <v>BAL</v>
      </c>
      <c r="D203" s="2">
        <f t="shared" si="27"/>
        <v>0.29200000000000004</v>
      </c>
      <c r="E203" t="s">
        <v>66</v>
      </c>
      <c r="F203" t="s">
        <v>55</v>
      </c>
      <c r="H203" s="8">
        <f>VLOOKUP(E203,'DVOA DATA'!$A$1:$AK$35,IF('Solver Model &amp; Output'!$M$3&lt;3,('Solver Model &amp; Output'!$M$3)*2,('Solver Model &amp; Output'!$M$3+1)*2), FALSE)</f>
        <v>0.104</v>
      </c>
      <c r="I203" s="8">
        <f>VLOOKUP(F203,'DVOA DATA'!$A$1:$AK$35,IF('Solver Model &amp; Output'!$M$3&lt;3,('Solver Model &amp; Output'!$M$3)*2,('Solver Model &amp; Output'!$M$3+1)*2), FALSE)</f>
        <v>0.114</v>
      </c>
      <c r="J203" s="8">
        <f>VLOOKUP(E203,'DVOA DATA'!$A$1:$AK$35,IF('Solver Model &amp; Output'!$M$3&lt;3,(('Solver Model &amp; Output'!$M$3)*2)+1,(('Solver Model &amp; Output'!$M$3+1)*2)+1), FALSE)</f>
        <v>9.1999999999999998E-2</v>
      </c>
      <c r="K203" s="8">
        <f>VLOOKUP(F203,'DVOA DATA'!$A$1:$AK$35,IF('Solver Model &amp; Output'!$M$3&lt;3,(('Solver Model &amp; Output'!$M$3)*2)+1,(('Solver Model &amp; Output'!$M$3+1)*2)+1), FALSE)</f>
        <v>0.01</v>
      </c>
      <c r="L203" s="42">
        <f t="shared" si="24"/>
        <v>1.1999999999999997E-2</v>
      </c>
      <c r="M203" s="42">
        <f t="shared" si="25"/>
        <v>0.10400000000000001</v>
      </c>
      <c r="N203">
        <f t="shared" si="26"/>
        <v>-9.2000000000000012E-2</v>
      </c>
      <c r="O203" t="str">
        <f t="shared" si="23"/>
        <v>BAL</v>
      </c>
    </row>
    <row r="204" spans="1:15">
      <c r="A204">
        <v>2011</v>
      </c>
      <c r="B204" s="3">
        <v>14</v>
      </c>
      <c r="C204" s="7" t="str">
        <f t="shared" si="22"/>
        <v>NE</v>
      </c>
      <c r="D204" s="2">
        <f t="shared" si="27"/>
        <v>0.34300000000000003</v>
      </c>
      <c r="E204" t="s">
        <v>71</v>
      </c>
      <c r="F204" t="s">
        <v>84</v>
      </c>
      <c r="H204" s="8">
        <f>VLOOKUP(E204,'DVOA DATA'!$A$1:$AK$35,IF('Solver Model &amp; Output'!$M$3&lt;3,('Solver Model &amp; Output'!$M$3)*2,('Solver Model &amp; Output'!$M$3+1)*2), FALSE)</f>
        <v>0.309</v>
      </c>
      <c r="I204" s="8">
        <f>VLOOKUP(F204,'DVOA DATA'!$A$1:$AK$35,IF('Solver Model &amp; Output'!$M$3&lt;3,('Solver Model &amp; Output'!$M$3)*2,('Solver Model &amp; Output'!$M$3+1)*2), FALSE)</f>
        <v>-5.6000000000000001E-2</v>
      </c>
      <c r="J204" s="8">
        <f>VLOOKUP(E204,'DVOA DATA'!$A$1:$AK$35,IF('Solver Model &amp; Output'!$M$3&lt;3,(('Solver Model &amp; Output'!$M$3)*2)+1,(('Solver Model &amp; Output'!$M$3+1)*2)+1), FALSE)</f>
        <v>3.6999999999999998E-2</v>
      </c>
      <c r="K204" s="8">
        <f>VLOOKUP(F204,'DVOA DATA'!$A$1:$AK$35,IF('Solver Model &amp; Output'!$M$3&lt;3,(('Solver Model &amp; Output'!$M$3)*2)+1,(('Solver Model &amp; Output'!$M$3+1)*2)+1), FALSE)</f>
        <v>1.4999999999999999E-2</v>
      </c>
      <c r="L204" s="42">
        <f t="shared" si="24"/>
        <v>0.27200000000000002</v>
      </c>
      <c r="M204" s="42">
        <f t="shared" si="25"/>
        <v>-7.1000000000000008E-2</v>
      </c>
      <c r="N204">
        <f t="shared" si="26"/>
        <v>0.34300000000000003</v>
      </c>
      <c r="O204" t="str">
        <f t="shared" si="23"/>
        <v>NE</v>
      </c>
    </row>
    <row r="205" spans="1:15">
      <c r="A205">
        <v>2011</v>
      </c>
      <c r="B205" s="3">
        <v>14</v>
      </c>
      <c r="C205" s="7" t="str">
        <f t="shared" si="22"/>
        <v>SF</v>
      </c>
      <c r="D205" s="2">
        <f t="shared" si="27"/>
        <v>6.7000000000000018E-2</v>
      </c>
      <c r="E205" t="s">
        <v>80</v>
      </c>
      <c r="F205" t="s">
        <v>53</v>
      </c>
      <c r="H205" s="8">
        <f>VLOOKUP(E205,'DVOA DATA'!$A$1:$AK$35,IF('Solver Model &amp; Output'!$M$3&lt;3,('Solver Model &amp; Output'!$M$3)*2,('Solver Model &amp; Output'!$M$3+1)*2), FALSE)</f>
        <v>-5.8999999999999997E-2</v>
      </c>
      <c r="I205" s="8">
        <f>VLOOKUP(F205,'DVOA DATA'!$A$1:$AK$35,IF('Solver Model &amp; Output'!$M$3&lt;3,('Solver Model &amp; Output'!$M$3)*2,('Solver Model &amp; Output'!$M$3+1)*2), FALSE)</f>
        <v>-4.8000000000000001E-2</v>
      </c>
      <c r="J205" s="8">
        <f>VLOOKUP(E205,'DVOA DATA'!$A$1:$AK$35,IF('Solver Model &amp; Output'!$M$3&lt;3,(('Solver Model &amp; Output'!$M$3)*2)+1,(('Solver Model &amp; Output'!$M$3+1)*2)+1), FALSE)</f>
        <v>1.4E-2</v>
      </c>
      <c r="K205" s="8">
        <f>VLOOKUP(F205,'DVOA DATA'!$A$1:$AK$35,IF('Solver Model &amp; Output'!$M$3&lt;3,(('Solver Model &amp; Output'!$M$3)*2)+1,(('Solver Model &amp; Output'!$M$3+1)*2)+1), FALSE)</f>
        <v>9.1999999999999998E-2</v>
      </c>
      <c r="L205" s="42">
        <f t="shared" si="24"/>
        <v>-7.2999999999999995E-2</v>
      </c>
      <c r="M205" s="42">
        <f t="shared" si="25"/>
        <v>-0.14000000000000001</v>
      </c>
      <c r="N205">
        <f t="shared" si="26"/>
        <v>6.7000000000000018E-2</v>
      </c>
      <c r="O205" t="str">
        <f t="shared" si="23"/>
        <v>SF</v>
      </c>
    </row>
    <row r="206" spans="1:15">
      <c r="A206">
        <v>2011</v>
      </c>
      <c r="B206" s="3">
        <v>14</v>
      </c>
      <c r="C206" s="7" t="str">
        <f t="shared" si="22"/>
        <v>CHI</v>
      </c>
      <c r="D206" s="2">
        <f t="shared" si="27"/>
        <v>0.17499999999999999</v>
      </c>
      <c r="E206" t="s">
        <v>58</v>
      </c>
      <c r="F206" t="s">
        <v>62</v>
      </c>
      <c r="H206" s="8">
        <f>VLOOKUP(E206,'DVOA DATA'!$A$1:$AK$35,IF('Solver Model &amp; Output'!$M$3&lt;3,('Solver Model &amp; Output'!$M$3)*2,('Solver Model &amp; Output'!$M$3+1)*2), FALSE)</f>
        <v>-0.06</v>
      </c>
      <c r="I206" s="8">
        <f>VLOOKUP(F206,'DVOA DATA'!$A$1:$AK$35,IF('Solver Model &amp; Output'!$M$3&lt;3,('Solver Model &amp; Output'!$M$3)*2,('Solver Model &amp; Output'!$M$3+1)*2), FALSE)</f>
        <v>-4.2999999999999997E-2</v>
      </c>
      <c r="J206" s="8">
        <f>VLOOKUP(E206,'DVOA DATA'!$A$1:$AK$35,IF('Solver Model &amp; Output'!$M$3&lt;3,(('Solver Model &amp; Output'!$M$3)*2)+1,(('Solver Model &amp; Output'!$M$3+1)*2)+1), FALSE)</f>
        <v>-8.5999999999999993E-2</v>
      </c>
      <c r="K206" s="8">
        <f>VLOOKUP(F206,'DVOA DATA'!$A$1:$AK$35,IF('Solver Model &amp; Output'!$M$3&lt;3,(('Solver Model &amp; Output'!$M$3)*2)+1,(('Solver Model &amp; Output'!$M$3+1)*2)+1), FALSE)</f>
        <v>0.106</v>
      </c>
      <c r="L206" s="42">
        <f t="shared" si="24"/>
        <v>2.5999999999999995E-2</v>
      </c>
      <c r="M206" s="42">
        <f t="shared" si="25"/>
        <v>-0.14899999999999999</v>
      </c>
      <c r="N206">
        <f t="shared" si="26"/>
        <v>0.17499999999999999</v>
      </c>
      <c r="O206" t="str">
        <f t="shared" si="23"/>
        <v>CHI</v>
      </c>
    </row>
    <row r="207" spans="1:15">
      <c r="A207">
        <v>2011</v>
      </c>
      <c r="B207" s="3">
        <v>14</v>
      </c>
      <c r="C207" s="7" t="str">
        <f t="shared" si="22"/>
        <v>SD</v>
      </c>
      <c r="D207" s="2">
        <f t="shared" si="27"/>
        <v>0.45400000000000001</v>
      </c>
      <c r="E207" t="s">
        <v>56</v>
      </c>
      <c r="F207" t="s">
        <v>78</v>
      </c>
      <c r="H207" s="8">
        <f>VLOOKUP(E207,'DVOA DATA'!$A$1:$AK$35,IF('Solver Model &amp; Output'!$M$3&lt;3,('Solver Model &amp; Output'!$M$3)*2,('Solver Model &amp; Output'!$M$3+1)*2), FALSE)</f>
        <v>-2.7E-2</v>
      </c>
      <c r="I207" s="8">
        <f>VLOOKUP(F207,'DVOA DATA'!$A$1:$AK$35,IF('Solver Model &amp; Output'!$M$3&lt;3,('Solver Model &amp; Output'!$M$3)*2,('Solver Model &amp; Output'!$M$3+1)*2), FALSE)</f>
        <v>0.32600000000000001</v>
      </c>
      <c r="J207" s="8">
        <f>VLOOKUP(E207,'DVOA DATA'!$A$1:$AK$35,IF('Solver Model &amp; Output'!$M$3&lt;3,(('Solver Model &amp; Output'!$M$3)*2)+1,(('Solver Model &amp; Output'!$M$3+1)*2)+1), FALSE)</f>
        <v>1.9E-2</v>
      </c>
      <c r="K207" s="8">
        <f>VLOOKUP(F207,'DVOA DATA'!$A$1:$AK$35,IF('Solver Model &amp; Output'!$M$3&lt;3,(('Solver Model &amp; Output'!$M$3)*2)+1,(('Solver Model &amp; Output'!$M$3+1)*2)+1), FALSE)</f>
        <v>0.11799999999999999</v>
      </c>
      <c r="L207" s="42">
        <f t="shared" si="24"/>
        <v>-4.5999999999999999E-2</v>
      </c>
      <c r="M207" s="42">
        <f t="shared" si="25"/>
        <v>0.20800000000000002</v>
      </c>
      <c r="N207">
        <f t="shared" si="26"/>
        <v>-0.254</v>
      </c>
      <c r="O207" t="str">
        <f t="shared" si="23"/>
        <v>SD</v>
      </c>
    </row>
    <row r="208" spans="1:15">
      <c r="A208">
        <v>2011</v>
      </c>
      <c r="B208" s="3">
        <v>14</v>
      </c>
      <c r="C208" s="7" t="str">
        <f t="shared" si="22"/>
        <v>NYG</v>
      </c>
      <c r="D208" s="2">
        <f t="shared" si="27"/>
        <v>0.13100000000000001</v>
      </c>
      <c r="E208" t="s">
        <v>73</v>
      </c>
      <c r="F208" t="s">
        <v>61</v>
      </c>
      <c r="H208" s="8">
        <f>VLOOKUP(E208,'DVOA DATA'!$A$1:$AK$35,IF('Solver Model &amp; Output'!$M$3&lt;3,('Solver Model &amp; Output'!$M$3)*2,('Solver Model &amp; Output'!$M$3+1)*2), FALSE)</f>
        <v>5.8999999999999997E-2</v>
      </c>
      <c r="I208" s="8">
        <f>VLOOKUP(F208,'DVOA DATA'!$A$1:$AK$35,IF('Solver Model &amp; Output'!$M$3&lt;3,('Solver Model &amp; Output'!$M$3)*2,('Solver Model &amp; Output'!$M$3+1)*2), FALSE)</f>
        <v>1.6E-2</v>
      </c>
      <c r="J208" s="8">
        <f>VLOOKUP(E208,'DVOA DATA'!$A$1:$AK$35,IF('Solver Model &amp; Output'!$M$3&lt;3,(('Solver Model &amp; Output'!$M$3)*2)+1,(('Solver Model &amp; Output'!$M$3+1)*2)+1), FALSE)</f>
        <v>1E-3</v>
      </c>
      <c r="K208" s="8">
        <f>VLOOKUP(F208,'DVOA DATA'!$A$1:$AK$35,IF('Solver Model &amp; Output'!$M$3&lt;3,(('Solver Model &amp; Output'!$M$3)*2)+1,(('Solver Model &amp; Output'!$M$3+1)*2)+1), FALSE)</f>
        <v>8.8999999999999996E-2</v>
      </c>
      <c r="L208" s="42">
        <f t="shared" si="24"/>
        <v>5.7999999999999996E-2</v>
      </c>
      <c r="M208" s="42">
        <f t="shared" si="25"/>
        <v>-7.2999999999999995E-2</v>
      </c>
      <c r="N208">
        <f t="shared" si="26"/>
        <v>0.13100000000000001</v>
      </c>
      <c r="O208" t="str">
        <f t="shared" si="23"/>
        <v>NYG</v>
      </c>
    </row>
    <row r="209" spans="1:15">
      <c r="A209">
        <v>2011</v>
      </c>
      <c r="B209" s="3">
        <v>14</v>
      </c>
      <c r="C209" s="7" t="str">
        <f t="shared" si="22"/>
        <v>STL</v>
      </c>
      <c r="D209" s="2">
        <f t="shared" si="27"/>
        <v>0.10200000000000001</v>
      </c>
      <c r="E209" t="s">
        <v>81</v>
      </c>
      <c r="F209" t="s">
        <v>79</v>
      </c>
      <c r="H209" s="8">
        <f>VLOOKUP(E209,'DVOA DATA'!$A$1:$AK$35,IF('Solver Model &amp; Output'!$M$3&lt;3,('Solver Model &amp; Output'!$M$3)*2,('Solver Model &amp; Output'!$M$3+1)*2), FALSE)</f>
        <v>-0.14799999999999999</v>
      </c>
      <c r="I209" s="8">
        <f>VLOOKUP(F209,'DVOA DATA'!$A$1:$AK$35,IF('Solver Model &amp; Output'!$M$3&lt;3,('Solver Model &amp; Output'!$M$3)*2,('Solver Model &amp; Output'!$M$3+1)*2), FALSE)</f>
        <v>-0.23699999999999999</v>
      </c>
      <c r="J209" s="8">
        <f>VLOOKUP(E209,'DVOA DATA'!$A$1:$AK$35,IF('Solver Model &amp; Output'!$M$3&lt;3,(('Solver Model &amp; Output'!$M$3)*2)+1,(('Solver Model &amp; Output'!$M$3+1)*2)+1), FALSE)</f>
        <v>-3.6999999999999998E-2</v>
      </c>
      <c r="K209" s="8">
        <f>VLOOKUP(F209,'DVOA DATA'!$A$1:$AK$35,IF('Solver Model &amp; Output'!$M$3&lt;3,(('Solver Model &amp; Output'!$M$3)*2)+1,(('Solver Model &amp; Output'!$M$3+1)*2)+1), FALSE)</f>
        <v>-2.4E-2</v>
      </c>
      <c r="L209" s="42">
        <f t="shared" si="24"/>
        <v>-0.11099999999999999</v>
      </c>
      <c r="M209" s="42">
        <f t="shared" si="25"/>
        <v>-0.21299999999999999</v>
      </c>
      <c r="N209">
        <f t="shared" si="26"/>
        <v>0.10200000000000001</v>
      </c>
      <c r="O209" t="str">
        <f t="shared" si="23"/>
        <v>STL</v>
      </c>
    </row>
    <row r="210" spans="1:15">
      <c r="A210">
        <v>2011</v>
      </c>
      <c r="B210" s="3">
        <v>15</v>
      </c>
      <c r="C210" s="7" t="str">
        <f t="shared" si="22"/>
        <v>ATL</v>
      </c>
      <c r="D210" s="2">
        <f t="shared" si="27"/>
        <v>0.28900000000000003</v>
      </c>
      <c r="E210" t="s">
        <v>67</v>
      </c>
      <c r="F210" t="s">
        <v>54</v>
      </c>
      <c r="H210" s="8">
        <f>VLOOKUP(E210,'DVOA DATA'!$A$1:$AK$35,IF('Solver Model &amp; Output'!$M$3&lt;3,('Solver Model &amp; Output'!$M$3)*2,('Solver Model &amp; Output'!$M$3+1)*2), FALSE)</f>
        <v>4.5999999999999999E-2</v>
      </c>
      <c r="I210" s="8">
        <f>VLOOKUP(F210,'DVOA DATA'!$A$1:$AK$35,IF('Solver Model &amp; Output'!$M$3&lt;3,('Solver Model &amp; Output'!$M$3)*2,('Solver Model &amp; Output'!$M$3+1)*2), FALSE)</f>
        <v>0.13</v>
      </c>
      <c r="J210" s="8">
        <f>VLOOKUP(E210,'DVOA DATA'!$A$1:$AK$35,IF('Solver Model &amp; Output'!$M$3&lt;3,(('Solver Model &amp; Output'!$M$3)*2)+1,(('Solver Model &amp; Output'!$M$3+1)*2)+1), FALSE)</f>
        <v>4.1000000000000002E-2</v>
      </c>
      <c r="K210" s="8">
        <f>VLOOKUP(F210,'DVOA DATA'!$A$1:$AK$35,IF('Solver Model &amp; Output'!$M$3&lt;3,(('Solver Model &amp; Output'!$M$3)*2)+1,(('Solver Model &amp; Output'!$M$3+1)*2)+1), FALSE)</f>
        <v>3.5999999999999997E-2</v>
      </c>
      <c r="L210" s="42">
        <f t="shared" si="24"/>
        <v>4.9999999999999975E-3</v>
      </c>
      <c r="M210" s="42">
        <f t="shared" si="25"/>
        <v>9.4E-2</v>
      </c>
      <c r="N210">
        <f t="shared" si="26"/>
        <v>-8.8999999999999996E-2</v>
      </c>
      <c r="O210" t="str">
        <f t="shared" si="23"/>
        <v>ATL</v>
      </c>
    </row>
    <row r="211" spans="1:15">
      <c r="A211">
        <v>2011</v>
      </c>
      <c r="B211" s="3">
        <v>15</v>
      </c>
      <c r="C211" s="7" t="str">
        <f t="shared" si="22"/>
        <v>DAL</v>
      </c>
      <c r="D211" s="2">
        <f t="shared" si="27"/>
        <v>3.0000000000000027E-3</v>
      </c>
      <c r="E211" t="s">
        <v>61</v>
      </c>
      <c r="F211" t="s">
        <v>82</v>
      </c>
      <c r="H211" s="8">
        <f>VLOOKUP(E211,'DVOA DATA'!$A$1:$AK$35,IF('Solver Model &amp; Output'!$M$3&lt;3,('Solver Model &amp; Output'!$M$3)*2,('Solver Model &amp; Output'!$M$3+1)*2), FALSE)</f>
        <v>1.6E-2</v>
      </c>
      <c r="I211" s="8">
        <f>VLOOKUP(F211,'DVOA DATA'!$A$1:$AK$35,IF('Solver Model &amp; Output'!$M$3&lt;3,('Solver Model &amp; Output'!$M$3)*2,('Solver Model &amp; Output'!$M$3+1)*2), FALSE)</f>
        <v>2.8000000000000001E-2</v>
      </c>
      <c r="J211" s="8">
        <f>VLOOKUP(E211,'DVOA DATA'!$A$1:$AK$35,IF('Solver Model &amp; Output'!$M$3&lt;3,(('Solver Model &amp; Output'!$M$3)*2)+1,(('Solver Model &amp; Output'!$M$3+1)*2)+1), FALSE)</f>
        <v>8.8999999999999996E-2</v>
      </c>
      <c r="K211" s="8">
        <f>VLOOKUP(F211,'DVOA DATA'!$A$1:$AK$35,IF('Solver Model &amp; Output'!$M$3&lt;3,(('Solver Model &amp; Output'!$M$3)*2)+1,(('Solver Model &amp; Output'!$M$3+1)*2)+1), FALSE)</f>
        <v>0.104</v>
      </c>
      <c r="L211" s="42">
        <f t="shared" si="24"/>
        <v>-7.2999999999999995E-2</v>
      </c>
      <c r="M211" s="42">
        <f t="shared" si="25"/>
        <v>-7.5999999999999998E-2</v>
      </c>
      <c r="N211">
        <f t="shared" si="26"/>
        <v>3.0000000000000027E-3</v>
      </c>
      <c r="O211" t="str">
        <f t="shared" si="23"/>
        <v>DAL</v>
      </c>
    </row>
    <row r="212" spans="1:15">
      <c r="A212">
        <v>2011</v>
      </c>
      <c r="B212" s="3">
        <v>15</v>
      </c>
      <c r="C212" s="7" t="str">
        <f t="shared" si="22"/>
        <v>MIA</v>
      </c>
      <c r="D212" s="2">
        <f t="shared" si="27"/>
        <v>0.13400000000000001</v>
      </c>
      <c r="E212" t="s">
        <v>69</v>
      </c>
      <c r="F212" t="s">
        <v>56</v>
      </c>
      <c r="H212" s="8">
        <f>VLOOKUP(E212,'DVOA DATA'!$A$1:$AK$35,IF('Solver Model &amp; Output'!$M$3&lt;3,('Solver Model &amp; Output'!$M$3)*2,('Solver Model &amp; Output'!$M$3+1)*2), FALSE)</f>
        <v>0.106</v>
      </c>
      <c r="I212" s="8">
        <f>VLOOKUP(F212,'DVOA DATA'!$A$1:$AK$35,IF('Solver Model &amp; Output'!$M$3&lt;3,('Solver Model &amp; Output'!$M$3)*2,('Solver Model &amp; Output'!$M$3+1)*2), FALSE)</f>
        <v>-2.7E-2</v>
      </c>
      <c r="J212" s="8">
        <f>VLOOKUP(E212,'DVOA DATA'!$A$1:$AK$35,IF('Solver Model &amp; Output'!$M$3&lt;3,(('Solver Model &amp; Output'!$M$3)*2)+1,(('Solver Model &amp; Output'!$M$3+1)*2)+1), FALSE)</f>
        <v>1.7999999999999999E-2</v>
      </c>
      <c r="K212" s="8">
        <f>VLOOKUP(F212,'DVOA DATA'!$A$1:$AK$35,IF('Solver Model &amp; Output'!$M$3&lt;3,(('Solver Model &amp; Output'!$M$3)*2)+1,(('Solver Model &amp; Output'!$M$3+1)*2)+1), FALSE)</f>
        <v>1.9E-2</v>
      </c>
      <c r="L212" s="42">
        <f t="shared" si="24"/>
        <v>8.7999999999999995E-2</v>
      </c>
      <c r="M212" s="42">
        <f t="shared" si="25"/>
        <v>-4.5999999999999999E-2</v>
      </c>
      <c r="N212">
        <f t="shared" si="26"/>
        <v>0.13400000000000001</v>
      </c>
      <c r="O212" t="str">
        <f t="shared" si="23"/>
        <v>MIA</v>
      </c>
    </row>
    <row r="213" spans="1:15">
      <c r="A213">
        <v>2011</v>
      </c>
      <c r="B213" s="3">
        <v>15</v>
      </c>
      <c r="C213" s="7" t="str">
        <f t="shared" si="22"/>
        <v>CHI</v>
      </c>
      <c r="D213" s="2">
        <f t="shared" si="27"/>
        <v>0.439</v>
      </c>
      <c r="E213" t="s">
        <v>79</v>
      </c>
      <c r="F213" t="s">
        <v>58</v>
      </c>
      <c r="H213" s="8">
        <f>VLOOKUP(E213,'DVOA DATA'!$A$1:$AK$35,IF('Solver Model &amp; Output'!$M$3&lt;3,('Solver Model &amp; Output'!$M$3)*2,('Solver Model &amp; Output'!$M$3+1)*2), FALSE)</f>
        <v>-0.23699999999999999</v>
      </c>
      <c r="I213" s="8">
        <f>VLOOKUP(F213,'DVOA DATA'!$A$1:$AK$35,IF('Solver Model &amp; Output'!$M$3&lt;3,('Solver Model &amp; Output'!$M$3)*2,('Solver Model &amp; Output'!$M$3+1)*2), FALSE)</f>
        <v>-0.06</v>
      </c>
      <c r="J213" s="8">
        <f>VLOOKUP(E213,'DVOA DATA'!$A$1:$AK$35,IF('Solver Model &amp; Output'!$M$3&lt;3,(('Solver Model &amp; Output'!$M$3)*2)+1,(('Solver Model &amp; Output'!$M$3+1)*2)+1), FALSE)</f>
        <v>-2.4E-2</v>
      </c>
      <c r="K213" s="8">
        <f>VLOOKUP(F213,'DVOA DATA'!$A$1:$AK$35,IF('Solver Model &amp; Output'!$M$3&lt;3,(('Solver Model &amp; Output'!$M$3)*2)+1,(('Solver Model &amp; Output'!$M$3+1)*2)+1), FALSE)</f>
        <v>-8.5999999999999993E-2</v>
      </c>
      <c r="L213" s="42">
        <f t="shared" si="24"/>
        <v>-0.21299999999999999</v>
      </c>
      <c r="M213" s="42">
        <f t="shared" si="25"/>
        <v>2.5999999999999995E-2</v>
      </c>
      <c r="N213">
        <f t="shared" si="26"/>
        <v>-0.23899999999999999</v>
      </c>
      <c r="O213" t="str">
        <f t="shared" si="23"/>
        <v>CHI</v>
      </c>
    </row>
    <row r="214" spans="1:15">
      <c r="A214">
        <v>2011</v>
      </c>
      <c r="B214" s="3">
        <v>15</v>
      </c>
      <c r="C214" s="7" t="str">
        <f t="shared" si="22"/>
        <v>IND</v>
      </c>
      <c r="D214" s="2">
        <f t="shared" si="27"/>
        <v>0.41500000000000004</v>
      </c>
      <c r="E214" t="s">
        <v>83</v>
      </c>
      <c r="F214" t="s">
        <v>66</v>
      </c>
      <c r="H214" s="8">
        <f>VLOOKUP(E214,'DVOA DATA'!$A$1:$AK$35,IF('Solver Model &amp; Output'!$M$3&lt;3,('Solver Model &amp; Output'!$M$3)*2,('Solver Model &amp; Output'!$M$3+1)*2), FALSE)</f>
        <v>-9.9000000000000005E-2</v>
      </c>
      <c r="I214" s="8">
        <f>VLOOKUP(F214,'DVOA DATA'!$A$1:$AK$35,IF('Solver Model &amp; Output'!$M$3&lt;3,('Solver Model &amp; Output'!$M$3)*2,('Solver Model &amp; Output'!$M$3+1)*2), FALSE)</f>
        <v>0.104</v>
      </c>
      <c r="J214" s="8">
        <f>VLOOKUP(E214,'DVOA DATA'!$A$1:$AK$35,IF('Solver Model &amp; Output'!$M$3&lt;3,(('Solver Model &amp; Output'!$M$3)*2)+1,(('Solver Model &amp; Output'!$M$3+1)*2)+1), FALSE)</f>
        <v>0.104</v>
      </c>
      <c r="K214" s="8">
        <f>VLOOKUP(F214,'DVOA DATA'!$A$1:$AK$35,IF('Solver Model &amp; Output'!$M$3&lt;3,(('Solver Model &amp; Output'!$M$3)*2)+1,(('Solver Model &amp; Output'!$M$3+1)*2)+1), FALSE)</f>
        <v>9.1999999999999998E-2</v>
      </c>
      <c r="L214" s="42">
        <f t="shared" si="24"/>
        <v>-0.20300000000000001</v>
      </c>
      <c r="M214" s="42">
        <f t="shared" si="25"/>
        <v>1.1999999999999997E-2</v>
      </c>
      <c r="N214">
        <f t="shared" si="26"/>
        <v>-0.21500000000000002</v>
      </c>
      <c r="O214" t="str">
        <f t="shared" si="23"/>
        <v>IND</v>
      </c>
    </row>
    <row r="215" spans="1:15">
      <c r="A215">
        <v>2011</v>
      </c>
      <c r="B215" s="3">
        <v>15</v>
      </c>
      <c r="C215" s="7" t="str">
        <f t="shared" si="22"/>
        <v>HOU</v>
      </c>
      <c r="D215" s="2">
        <f t="shared" si="27"/>
        <v>0.432</v>
      </c>
      <c r="E215" t="s">
        <v>57</v>
      </c>
      <c r="F215" t="s">
        <v>65</v>
      </c>
      <c r="H215" s="8">
        <f>VLOOKUP(E215,'DVOA DATA'!$A$1:$AK$35,IF('Solver Model &amp; Output'!$M$3&lt;3,('Solver Model &amp; Output'!$M$3)*2,('Solver Model &amp; Output'!$M$3+1)*2), FALSE)</f>
        <v>-0.14099999999999999</v>
      </c>
      <c r="I215" s="8">
        <f>VLOOKUP(F215,'DVOA DATA'!$A$1:$AK$35,IF('Solver Model &amp; Output'!$M$3&lt;3,('Solver Model &amp; Output'!$M$3)*2,('Solver Model &amp; Output'!$M$3+1)*2), FALSE)</f>
        <v>0.2</v>
      </c>
      <c r="J215" s="8">
        <f>VLOOKUP(E215,'DVOA DATA'!$A$1:$AK$35,IF('Solver Model &amp; Output'!$M$3&lt;3,(('Solver Model &amp; Output'!$M$3)*2)+1,(('Solver Model &amp; Output'!$M$3+1)*2)+1), FALSE)</f>
        <v>2.9000000000000001E-2</v>
      </c>
      <c r="K215" s="8">
        <f>VLOOKUP(F215,'DVOA DATA'!$A$1:$AK$35,IF('Solver Model &amp; Output'!$M$3&lt;3,(('Solver Model &amp; Output'!$M$3)*2)+1,(('Solver Model &amp; Output'!$M$3+1)*2)+1), FALSE)</f>
        <v>0.13800000000000001</v>
      </c>
      <c r="L215" s="42">
        <f t="shared" si="24"/>
        <v>-0.16999999999999998</v>
      </c>
      <c r="M215" s="42">
        <f t="shared" si="25"/>
        <v>6.2E-2</v>
      </c>
      <c r="N215">
        <f t="shared" si="26"/>
        <v>-0.23199999999999998</v>
      </c>
      <c r="O215" t="str">
        <f t="shared" si="23"/>
        <v>HOU</v>
      </c>
    </row>
    <row r="216" spans="1:15">
      <c r="A216">
        <v>2011</v>
      </c>
      <c r="B216" s="3">
        <v>15</v>
      </c>
      <c r="C216" s="7" t="str">
        <f t="shared" si="22"/>
        <v>GB</v>
      </c>
      <c r="D216" s="2">
        <f t="shared" si="27"/>
        <v>0.24099999999999999</v>
      </c>
      <c r="E216" t="s">
        <v>64</v>
      </c>
      <c r="F216" t="s">
        <v>68</v>
      </c>
      <c r="H216" s="8">
        <f>VLOOKUP(E216,'DVOA DATA'!$A$1:$AK$35,IF('Solver Model &amp; Output'!$M$3&lt;3,('Solver Model &amp; Output'!$M$3)*2,('Solver Model &amp; Output'!$M$3+1)*2), FALSE)</f>
        <v>9.9000000000000005E-2</v>
      </c>
      <c r="I216" s="8">
        <f>VLOOKUP(F216,'DVOA DATA'!$A$1:$AK$35,IF('Solver Model &amp; Output'!$M$3&lt;3,('Solver Model &amp; Output'!$M$3)*2,('Solver Model &amp; Output'!$M$3+1)*2), FALSE)</f>
        <v>-4.7E-2</v>
      </c>
      <c r="J216" s="8">
        <f>VLOOKUP(E216,'DVOA DATA'!$A$1:$AK$35,IF('Solver Model &amp; Output'!$M$3&lt;3,(('Solver Model &amp; Output'!$M$3)*2)+1,(('Solver Model &amp; Output'!$M$3+1)*2)+1), FALSE)</f>
        <v>-2.1999999999999999E-2</v>
      </c>
      <c r="K216" s="8">
        <f>VLOOKUP(F216,'DVOA DATA'!$A$1:$AK$35,IF('Solver Model &amp; Output'!$M$3&lt;3,(('Solver Model &amp; Output'!$M$3)*2)+1,(('Solver Model &amp; Output'!$M$3+1)*2)+1), FALSE)</f>
        <v>7.2999999999999995E-2</v>
      </c>
      <c r="L216" s="42">
        <f t="shared" si="24"/>
        <v>0.121</v>
      </c>
      <c r="M216" s="42">
        <f t="shared" si="25"/>
        <v>-0.12</v>
      </c>
      <c r="N216">
        <f t="shared" si="26"/>
        <v>0.24099999999999999</v>
      </c>
      <c r="O216" t="str">
        <f t="shared" si="23"/>
        <v>GB</v>
      </c>
    </row>
    <row r="217" spans="1:15">
      <c r="A217">
        <v>2011</v>
      </c>
      <c r="B217" s="3">
        <v>15</v>
      </c>
      <c r="C217" s="7" t="str">
        <f t="shared" si="22"/>
        <v>NO</v>
      </c>
      <c r="D217" s="2">
        <f t="shared" si="27"/>
        <v>9.7000000000000003E-2</v>
      </c>
      <c r="E217" t="s">
        <v>72</v>
      </c>
      <c r="F217" t="s">
        <v>70</v>
      </c>
      <c r="H217" s="8">
        <f>VLOOKUP(E217,'DVOA DATA'!$A$1:$AK$35,IF('Solver Model &amp; Output'!$M$3&lt;3,('Solver Model &amp; Output'!$M$3)*2,('Solver Model &amp; Output'!$M$3+1)*2), FALSE)</f>
        <v>0.19600000000000001</v>
      </c>
      <c r="I217" s="8">
        <f>VLOOKUP(F217,'DVOA DATA'!$A$1:$AK$35,IF('Solver Model &amp; Output'!$M$3&lt;3,('Solver Model &amp; Output'!$M$3)*2,('Solver Model &amp; Output'!$M$3+1)*2), FALSE)</f>
        <v>5.7000000000000002E-2</v>
      </c>
      <c r="J217" s="8">
        <f>VLOOKUP(E217,'DVOA DATA'!$A$1:$AK$35,IF('Solver Model &amp; Output'!$M$3&lt;3,(('Solver Model &amp; Output'!$M$3)*2)+1,(('Solver Model &amp; Output'!$M$3+1)*2)+1), FALSE)</f>
        <v>0.112</v>
      </c>
      <c r="K217" s="8">
        <f>VLOOKUP(F217,'DVOA DATA'!$A$1:$AK$35,IF('Solver Model &amp; Output'!$M$3&lt;3,(('Solver Model &amp; Output'!$M$3)*2)+1,(('Solver Model &amp; Output'!$M$3+1)*2)+1), FALSE)</f>
        <v>7.0000000000000007E-2</v>
      </c>
      <c r="L217" s="42">
        <f t="shared" si="24"/>
        <v>8.4000000000000005E-2</v>
      </c>
      <c r="M217" s="42">
        <f t="shared" si="25"/>
        <v>-1.3000000000000005E-2</v>
      </c>
      <c r="N217">
        <f t="shared" si="26"/>
        <v>9.7000000000000003E-2</v>
      </c>
      <c r="O217" t="str">
        <f t="shared" si="23"/>
        <v>NO</v>
      </c>
    </row>
    <row r="218" spans="1:15">
      <c r="A218">
        <v>2011</v>
      </c>
      <c r="B218" s="3">
        <v>15</v>
      </c>
      <c r="C218" s="7" t="str">
        <f t="shared" si="22"/>
        <v>NYG</v>
      </c>
      <c r="D218" s="2">
        <f t="shared" si="27"/>
        <v>0.32900000000000001</v>
      </c>
      <c r="E218" t="s">
        <v>84</v>
      </c>
      <c r="F218" t="s">
        <v>73</v>
      </c>
      <c r="H218" s="8">
        <f>VLOOKUP(E218,'DVOA DATA'!$A$1:$AK$35,IF('Solver Model &amp; Output'!$M$3&lt;3,('Solver Model &amp; Output'!$M$3)*2,('Solver Model &amp; Output'!$M$3+1)*2), FALSE)</f>
        <v>-5.6000000000000001E-2</v>
      </c>
      <c r="I218" s="8">
        <f>VLOOKUP(F218,'DVOA DATA'!$A$1:$AK$35,IF('Solver Model &amp; Output'!$M$3&lt;3,('Solver Model &amp; Output'!$M$3)*2,('Solver Model &amp; Output'!$M$3+1)*2), FALSE)</f>
        <v>5.8999999999999997E-2</v>
      </c>
      <c r="J218" s="8">
        <f>VLOOKUP(E218,'DVOA DATA'!$A$1:$AK$35,IF('Solver Model &amp; Output'!$M$3&lt;3,(('Solver Model &amp; Output'!$M$3)*2)+1,(('Solver Model &amp; Output'!$M$3+1)*2)+1), FALSE)</f>
        <v>1.4999999999999999E-2</v>
      </c>
      <c r="K218" s="8">
        <f>VLOOKUP(F218,'DVOA DATA'!$A$1:$AK$35,IF('Solver Model &amp; Output'!$M$3&lt;3,(('Solver Model &amp; Output'!$M$3)*2)+1,(('Solver Model &amp; Output'!$M$3+1)*2)+1), FALSE)</f>
        <v>1E-3</v>
      </c>
      <c r="L218" s="42">
        <f t="shared" si="24"/>
        <v>-7.1000000000000008E-2</v>
      </c>
      <c r="M218" s="42">
        <f t="shared" si="25"/>
        <v>5.7999999999999996E-2</v>
      </c>
      <c r="N218">
        <f t="shared" si="26"/>
        <v>-0.129</v>
      </c>
      <c r="O218" t="str">
        <f t="shared" si="23"/>
        <v>NYG</v>
      </c>
    </row>
    <row r="219" spans="1:15">
      <c r="A219">
        <v>2011</v>
      </c>
      <c r="B219" s="3">
        <v>15</v>
      </c>
      <c r="C219" s="7" t="str">
        <f t="shared" si="22"/>
        <v>STL</v>
      </c>
      <c r="D219" s="2">
        <f t="shared" si="27"/>
        <v>0.20100000000000001</v>
      </c>
      <c r="E219" t="s">
        <v>59</v>
      </c>
      <c r="F219" t="s">
        <v>81</v>
      </c>
      <c r="H219" s="8">
        <f>VLOOKUP(E219,'DVOA DATA'!$A$1:$AK$35,IF('Solver Model &amp; Output'!$M$3&lt;3,('Solver Model &amp; Output'!$M$3)*2,('Solver Model &amp; Output'!$M$3+1)*2), FALSE)</f>
        <v>-6.3E-2</v>
      </c>
      <c r="I219" s="8">
        <f>VLOOKUP(F219,'DVOA DATA'!$A$1:$AK$35,IF('Solver Model &amp; Output'!$M$3&lt;3,('Solver Model &amp; Output'!$M$3)*2,('Solver Model &amp; Output'!$M$3+1)*2), FALSE)</f>
        <v>-0.14799999999999999</v>
      </c>
      <c r="J219" s="8">
        <f>VLOOKUP(E219,'DVOA DATA'!$A$1:$AK$35,IF('Solver Model &amp; Output'!$M$3&lt;3,(('Solver Model &amp; Output'!$M$3)*2)+1,(('Solver Model &amp; Output'!$M$3+1)*2)+1), FALSE)</f>
        <v>4.9000000000000002E-2</v>
      </c>
      <c r="K219" s="8">
        <f>VLOOKUP(F219,'DVOA DATA'!$A$1:$AK$35,IF('Solver Model &amp; Output'!$M$3&lt;3,(('Solver Model &amp; Output'!$M$3)*2)+1,(('Solver Model &amp; Output'!$M$3+1)*2)+1), FALSE)</f>
        <v>-3.6999999999999998E-2</v>
      </c>
      <c r="L219" s="42">
        <f t="shared" si="24"/>
        <v>-0.112</v>
      </c>
      <c r="M219" s="42">
        <f t="shared" si="25"/>
        <v>-0.11099999999999999</v>
      </c>
      <c r="N219">
        <f t="shared" si="26"/>
        <v>-1.0000000000000148E-3</v>
      </c>
      <c r="O219" t="str">
        <f t="shared" si="23"/>
        <v>STL</v>
      </c>
    </row>
    <row r="220" spans="1:15">
      <c r="A220">
        <v>2011</v>
      </c>
      <c r="B220" s="3">
        <v>15</v>
      </c>
      <c r="C220" s="7" t="str">
        <f t="shared" si="22"/>
        <v>DET</v>
      </c>
      <c r="D220" s="2">
        <f t="shared" si="27"/>
        <v>0.13999999999999999</v>
      </c>
      <c r="E220" t="s">
        <v>63</v>
      </c>
      <c r="F220" t="s">
        <v>75</v>
      </c>
      <c r="H220" s="8">
        <f>VLOOKUP(E220,'DVOA DATA'!$A$1:$AK$35,IF('Solver Model &amp; Output'!$M$3&lt;3,('Solver Model &amp; Output'!$M$3)*2,('Solver Model &amp; Output'!$M$3+1)*2), FALSE)</f>
        <v>5.2999999999999999E-2</v>
      </c>
      <c r="I220" s="8">
        <f>VLOOKUP(F220,'DVOA DATA'!$A$1:$AK$35,IF('Solver Model &amp; Output'!$M$3&lt;3,('Solver Model &amp; Output'!$M$3)*2,('Solver Model &amp; Output'!$M$3+1)*2), FALSE)</f>
        <v>-8.6999999999999994E-2</v>
      </c>
      <c r="J220" s="8">
        <f>VLOOKUP(E220,'DVOA DATA'!$A$1:$AK$35,IF('Solver Model &amp; Output'!$M$3&lt;3,(('Solver Model &amp; Output'!$M$3)*2)+1,(('Solver Model &amp; Output'!$M$3+1)*2)+1), FALSE)</f>
        <v>6.5000000000000002E-2</v>
      </c>
      <c r="K220" s="8">
        <f>VLOOKUP(F220,'DVOA DATA'!$A$1:$AK$35,IF('Solver Model &amp; Output'!$M$3&lt;3,(('Solver Model &amp; Output'!$M$3)*2)+1,(('Solver Model &amp; Output'!$M$3+1)*2)+1), FALSE)</f>
        <v>6.5000000000000002E-2</v>
      </c>
      <c r="L220" s="42">
        <f t="shared" si="24"/>
        <v>-1.2000000000000004E-2</v>
      </c>
      <c r="M220" s="42">
        <f t="shared" si="25"/>
        <v>-0.152</v>
      </c>
      <c r="N220">
        <f t="shared" si="26"/>
        <v>0.13999999999999999</v>
      </c>
      <c r="O220" t="str">
        <f t="shared" si="23"/>
        <v>DET</v>
      </c>
    </row>
    <row r="221" spans="1:15">
      <c r="A221">
        <v>2011</v>
      </c>
      <c r="B221" s="3">
        <v>15</v>
      </c>
      <c r="C221" s="7" t="str">
        <f t="shared" si="22"/>
        <v>CLE</v>
      </c>
      <c r="D221" s="2">
        <f t="shared" si="27"/>
        <v>6.2000000000000013E-2</v>
      </c>
      <c r="E221" t="s">
        <v>60</v>
      </c>
      <c r="F221" t="s">
        <v>53</v>
      </c>
      <c r="H221" s="8">
        <f>VLOOKUP(E221,'DVOA DATA'!$A$1:$AK$35,IF('Solver Model &amp; Output'!$M$3&lt;3,('Solver Model &amp; Output'!$M$3)*2,('Solver Model &amp; Output'!$M$3+1)*2), FALSE)</f>
        <v>-0.03</v>
      </c>
      <c r="I221" s="8">
        <f>VLOOKUP(F221,'DVOA DATA'!$A$1:$AK$35,IF('Solver Model &amp; Output'!$M$3&lt;3,('Solver Model &amp; Output'!$M$3)*2,('Solver Model &amp; Output'!$M$3+1)*2), FALSE)</f>
        <v>-4.8000000000000001E-2</v>
      </c>
      <c r="J221" s="8">
        <f>VLOOKUP(E221,'DVOA DATA'!$A$1:$AK$35,IF('Solver Model &amp; Output'!$M$3&lt;3,(('Solver Model &amp; Output'!$M$3)*2)+1,(('Solver Model &amp; Output'!$M$3+1)*2)+1), FALSE)</f>
        <v>4.8000000000000001E-2</v>
      </c>
      <c r="K221" s="8">
        <f>VLOOKUP(F221,'DVOA DATA'!$A$1:$AK$35,IF('Solver Model &amp; Output'!$M$3&lt;3,(('Solver Model &amp; Output'!$M$3)*2)+1,(('Solver Model &amp; Output'!$M$3+1)*2)+1), FALSE)</f>
        <v>9.1999999999999998E-2</v>
      </c>
      <c r="L221" s="42">
        <f t="shared" si="24"/>
        <v>-7.8E-2</v>
      </c>
      <c r="M221" s="42">
        <f t="shared" si="25"/>
        <v>-0.14000000000000001</v>
      </c>
      <c r="N221">
        <f t="shared" si="26"/>
        <v>6.2000000000000013E-2</v>
      </c>
      <c r="O221" t="str">
        <f t="shared" si="23"/>
        <v>CLE</v>
      </c>
    </row>
    <row r="222" spans="1:15">
      <c r="A222">
        <v>2011</v>
      </c>
      <c r="B222" s="3">
        <v>15</v>
      </c>
      <c r="C222" s="7" t="str">
        <f t="shared" si="22"/>
        <v>NE</v>
      </c>
      <c r="D222" s="2">
        <f t="shared" si="27"/>
        <v>0.42100000000000004</v>
      </c>
      <c r="E222" t="s">
        <v>71</v>
      </c>
      <c r="F222" t="s">
        <v>62</v>
      </c>
      <c r="H222" s="8">
        <f>VLOOKUP(E222,'DVOA DATA'!$A$1:$AK$35,IF('Solver Model &amp; Output'!$M$3&lt;3,('Solver Model &amp; Output'!$M$3)*2,('Solver Model &amp; Output'!$M$3+1)*2), FALSE)</f>
        <v>0.309</v>
      </c>
      <c r="I222" s="8">
        <f>VLOOKUP(F222,'DVOA DATA'!$A$1:$AK$35,IF('Solver Model &amp; Output'!$M$3&lt;3,('Solver Model &amp; Output'!$M$3)*2,('Solver Model &amp; Output'!$M$3+1)*2), FALSE)</f>
        <v>-4.2999999999999997E-2</v>
      </c>
      <c r="J222" s="8">
        <f>VLOOKUP(E222,'DVOA DATA'!$A$1:$AK$35,IF('Solver Model &amp; Output'!$M$3&lt;3,(('Solver Model &amp; Output'!$M$3)*2)+1,(('Solver Model &amp; Output'!$M$3+1)*2)+1), FALSE)</f>
        <v>3.6999999999999998E-2</v>
      </c>
      <c r="K222" s="8">
        <f>VLOOKUP(F222,'DVOA DATA'!$A$1:$AK$35,IF('Solver Model &amp; Output'!$M$3&lt;3,(('Solver Model &amp; Output'!$M$3)*2)+1,(('Solver Model &amp; Output'!$M$3+1)*2)+1), FALSE)</f>
        <v>0.106</v>
      </c>
      <c r="L222" s="42">
        <f t="shared" si="24"/>
        <v>0.27200000000000002</v>
      </c>
      <c r="M222" s="42">
        <f t="shared" si="25"/>
        <v>-0.14899999999999999</v>
      </c>
      <c r="N222">
        <f t="shared" si="26"/>
        <v>0.42100000000000004</v>
      </c>
      <c r="O222" t="str">
        <f t="shared" si="23"/>
        <v>NE</v>
      </c>
    </row>
    <row r="223" spans="1:15">
      <c r="A223">
        <v>2011</v>
      </c>
      <c r="B223" s="3">
        <v>15</v>
      </c>
      <c r="C223" s="7" t="str">
        <f t="shared" si="22"/>
        <v>PHI</v>
      </c>
      <c r="D223" s="2">
        <f t="shared" si="27"/>
        <v>0.23100000000000004</v>
      </c>
      <c r="E223" t="s">
        <v>74</v>
      </c>
      <c r="F223" t="s">
        <v>76</v>
      </c>
      <c r="H223" s="8">
        <f>VLOOKUP(E223,'DVOA DATA'!$A$1:$AK$35,IF('Solver Model &amp; Output'!$M$3&lt;3,('Solver Model &amp; Output'!$M$3)*2,('Solver Model &amp; Output'!$M$3+1)*2), FALSE)</f>
        <v>-2.8000000000000001E-2</v>
      </c>
      <c r="I223" s="8">
        <f>VLOOKUP(F223,'DVOA DATA'!$A$1:$AK$35,IF('Solver Model &amp; Output'!$M$3&lt;3,('Solver Model &amp; Output'!$M$3)*2,('Solver Model &amp; Output'!$M$3+1)*2), FALSE)</f>
        <v>0.123</v>
      </c>
      <c r="J223" s="8">
        <f>VLOOKUP(E223,'DVOA DATA'!$A$1:$AK$35,IF('Solver Model &amp; Output'!$M$3&lt;3,(('Solver Model &amp; Output'!$M$3)*2)+1,(('Solver Model &amp; Output'!$M$3+1)*2)+1), FALSE)</f>
        <v>-0.20499999999999999</v>
      </c>
      <c r="K223" s="8">
        <f>VLOOKUP(F223,'DVOA DATA'!$A$1:$AK$35,IF('Solver Model &amp; Output'!$M$3&lt;3,(('Solver Model &amp; Output'!$M$3)*2)+1,(('Solver Model &amp; Output'!$M$3+1)*2)+1), FALSE)</f>
        <v>-8.5000000000000006E-2</v>
      </c>
      <c r="L223" s="42">
        <f t="shared" si="24"/>
        <v>0.17699999999999999</v>
      </c>
      <c r="M223" s="42">
        <f t="shared" si="25"/>
        <v>0.20800000000000002</v>
      </c>
      <c r="N223">
        <f t="shared" si="26"/>
        <v>-3.1000000000000028E-2</v>
      </c>
      <c r="O223" t="str">
        <f t="shared" si="23"/>
        <v>PHI</v>
      </c>
    </row>
    <row r="224" spans="1:15">
      <c r="A224">
        <v>2011</v>
      </c>
      <c r="B224" s="3">
        <v>15</v>
      </c>
      <c r="C224" s="7" t="str">
        <f t="shared" si="22"/>
        <v>SD</v>
      </c>
      <c r="D224" s="2">
        <f t="shared" si="27"/>
        <v>0.30400000000000005</v>
      </c>
      <c r="E224" t="s">
        <v>55</v>
      </c>
      <c r="F224" t="s">
        <v>78</v>
      </c>
      <c r="H224" s="8">
        <f>VLOOKUP(E224,'DVOA DATA'!$A$1:$AK$35,IF('Solver Model &amp; Output'!$M$3&lt;3,('Solver Model &amp; Output'!$M$3)*2,('Solver Model &amp; Output'!$M$3+1)*2), FALSE)</f>
        <v>0.114</v>
      </c>
      <c r="I224" s="8">
        <f>VLOOKUP(F224,'DVOA DATA'!$A$1:$AK$35,IF('Solver Model &amp; Output'!$M$3&lt;3,('Solver Model &amp; Output'!$M$3)*2,('Solver Model &amp; Output'!$M$3+1)*2), FALSE)</f>
        <v>0.32600000000000001</v>
      </c>
      <c r="J224" s="8">
        <f>VLOOKUP(E224,'DVOA DATA'!$A$1:$AK$35,IF('Solver Model &amp; Output'!$M$3&lt;3,(('Solver Model &amp; Output'!$M$3)*2)+1,(('Solver Model &amp; Output'!$M$3+1)*2)+1), FALSE)</f>
        <v>0.01</v>
      </c>
      <c r="K224" s="8">
        <f>VLOOKUP(F224,'DVOA DATA'!$A$1:$AK$35,IF('Solver Model &amp; Output'!$M$3&lt;3,(('Solver Model &amp; Output'!$M$3)*2)+1,(('Solver Model &amp; Output'!$M$3+1)*2)+1), FALSE)</f>
        <v>0.11799999999999999</v>
      </c>
      <c r="L224" s="42">
        <f t="shared" si="24"/>
        <v>0.10400000000000001</v>
      </c>
      <c r="M224" s="42">
        <f t="shared" si="25"/>
        <v>0.20800000000000002</v>
      </c>
      <c r="N224">
        <f t="shared" si="26"/>
        <v>-0.10400000000000001</v>
      </c>
      <c r="O224" t="str">
        <f t="shared" si="23"/>
        <v>SD</v>
      </c>
    </row>
    <row r="225" spans="1:15">
      <c r="A225">
        <v>2011</v>
      </c>
      <c r="B225" s="3">
        <v>15</v>
      </c>
      <c r="C225" s="7" t="str">
        <f t="shared" si="22"/>
        <v>PIT</v>
      </c>
      <c r="D225" s="2">
        <f t="shared" si="27"/>
        <v>0.36800000000000005</v>
      </c>
      <c r="E225" t="s">
        <v>77</v>
      </c>
      <c r="F225" t="s">
        <v>80</v>
      </c>
      <c r="H225" s="8">
        <f>VLOOKUP(E225,'DVOA DATA'!$A$1:$AK$35,IF('Solver Model &amp; Output'!$M$3&lt;3,('Solver Model &amp; Output'!$M$3)*2,('Solver Model &amp; Output'!$M$3+1)*2), FALSE)</f>
        <v>0.16900000000000001</v>
      </c>
      <c r="I225" s="8">
        <f>VLOOKUP(F225,'DVOA DATA'!$A$1:$AK$35,IF('Solver Model &amp; Output'!$M$3&lt;3,('Solver Model &amp; Output'!$M$3)*2,('Solver Model &amp; Output'!$M$3+1)*2), FALSE)</f>
        <v>-5.8999999999999997E-2</v>
      </c>
      <c r="J225" s="8">
        <f>VLOOKUP(E225,'DVOA DATA'!$A$1:$AK$35,IF('Solver Model &amp; Output'!$M$3&lt;3,(('Solver Model &amp; Output'!$M$3)*2)+1,(('Solver Model &amp; Output'!$M$3+1)*2)+1), FALSE)</f>
        <v>-0.126</v>
      </c>
      <c r="K225" s="8">
        <f>VLOOKUP(F225,'DVOA DATA'!$A$1:$AK$35,IF('Solver Model &amp; Output'!$M$3&lt;3,(('Solver Model &amp; Output'!$M$3)*2)+1,(('Solver Model &amp; Output'!$M$3+1)*2)+1), FALSE)</f>
        <v>1.4E-2</v>
      </c>
      <c r="L225" s="42">
        <f t="shared" si="24"/>
        <v>0.29500000000000004</v>
      </c>
      <c r="M225" s="42">
        <f t="shared" si="25"/>
        <v>-7.2999999999999995E-2</v>
      </c>
      <c r="N225">
        <f t="shared" si="26"/>
        <v>0.36800000000000005</v>
      </c>
      <c r="O225" t="str">
        <f t="shared" si="23"/>
        <v>PIT</v>
      </c>
    </row>
    <row r="226" spans="1:15">
      <c r="A226">
        <v>2011</v>
      </c>
      <c r="B226" s="3">
        <v>16</v>
      </c>
      <c r="C226" s="7" t="str">
        <f t="shared" si="22"/>
        <v>HOU</v>
      </c>
      <c r="D226" s="2">
        <f t="shared" si="27"/>
        <v>0.05</v>
      </c>
      <c r="E226" t="s">
        <v>65</v>
      </c>
      <c r="F226" t="s">
        <v>66</v>
      </c>
      <c r="H226" s="8">
        <f>VLOOKUP(E226,'DVOA DATA'!$A$1:$AK$35,IF('Solver Model &amp; Output'!$M$3&lt;3,('Solver Model &amp; Output'!$M$3)*2,('Solver Model &amp; Output'!$M$3+1)*2), FALSE)</f>
        <v>0.2</v>
      </c>
      <c r="I226" s="8">
        <f>VLOOKUP(F226,'DVOA DATA'!$A$1:$AK$35,IF('Solver Model &amp; Output'!$M$3&lt;3,('Solver Model &amp; Output'!$M$3)*2,('Solver Model &amp; Output'!$M$3+1)*2), FALSE)</f>
        <v>0.104</v>
      </c>
      <c r="J226" s="8">
        <f>VLOOKUP(E226,'DVOA DATA'!$A$1:$AK$35,IF('Solver Model &amp; Output'!$M$3&lt;3,(('Solver Model &amp; Output'!$M$3)*2)+1,(('Solver Model &amp; Output'!$M$3+1)*2)+1), FALSE)</f>
        <v>0.13800000000000001</v>
      </c>
      <c r="K226" s="8">
        <f>VLOOKUP(F226,'DVOA DATA'!$A$1:$AK$35,IF('Solver Model &amp; Output'!$M$3&lt;3,(('Solver Model &amp; Output'!$M$3)*2)+1,(('Solver Model &amp; Output'!$M$3+1)*2)+1), FALSE)</f>
        <v>9.1999999999999998E-2</v>
      </c>
      <c r="L226" s="42">
        <f t="shared" si="24"/>
        <v>6.2E-2</v>
      </c>
      <c r="M226" s="42">
        <f t="shared" si="25"/>
        <v>1.1999999999999997E-2</v>
      </c>
      <c r="N226">
        <f t="shared" si="26"/>
        <v>0.05</v>
      </c>
      <c r="O226" t="str">
        <f t="shared" si="23"/>
        <v>HOU</v>
      </c>
    </row>
    <row r="227" spans="1:15">
      <c r="A227">
        <v>2011</v>
      </c>
      <c r="B227" s="3">
        <v>16</v>
      </c>
      <c r="C227" s="7" t="str">
        <f t="shared" si="22"/>
        <v>BUF</v>
      </c>
      <c r="D227" s="2">
        <f t="shared" si="27"/>
        <v>0.30299999999999999</v>
      </c>
      <c r="E227" t="s">
        <v>62</v>
      </c>
      <c r="F227" t="s">
        <v>56</v>
      </c>
      <c r="H227" s="8">
        <f>VLOOKUP(E227,'DVOA DATA'!$A$1:$AK$35,IF('Solver Model &amp; Output'!$M$3&lt;3,('Solver Model &amp; Output'!$M$3)*2,('Solver Model &amp; Output'!$M$3+1)*2), FALSE)</f>
        <v>-4.2999999999999997E-2</v>
      </c>
      <c r="I227" s="8">
        <f>VLOOKUP(F227,'DVOA DATA'!$A$1:$AK$35,IF('Solver Model &amp; Output'!$M$3&lt;3,('Solver Model &amp; Output'!$M$3)*2,('Solver Model &amp; Output'!$M$3+1)*2), FALSE)</f>
        <v>-2.7E-2</v>
      </c>
      <c r="J227" s="8">
        <f>VLOOKUP(E227,'DVOA DATA'!$A$1:$AK$35,IF('Solver Model &amp; Output'!$M$3&lt;3,(('Solver Model &amp; Output'!$M$3)*2)+1,(('Solver Model &amp; Output'!$M$3+1)*2)+1), FALSE)</f>
        <v>0.106</v>
      </c>
      <c r="K227" s="8">
        <f>VLOOKUP(F227,'DVOA DATA'!$A$1:$AK$35,IF('Solver Model &amp; Output'!$M$3&lt;3,(('Solver Model &amp; Output'!$M$3)*2)+1,(('Solver Model &amp; Output'!$M$3+1)*2)+1), FALSE)</f>
        <v>1.9E-2</v>
      </c>
      <c r="L227" s="42">
        <f t="shared" si="24"/>
        <v>-0.14899999999999999</v>
      </c>
      <c r="M227" s="42">
        <f t="shared" si="25"/>
        <v>-4.5999999999999999E-2</v>
      </c>
      <c r="N227">
        <f t="shared" si="26"/>
        <v>-0.10299999999999999</v>
      </c>
      <c r="O227" t="str">
        <f t="shared" si="23"/>
        <v>BUF</v>
      </c>
    </row>
    <row r="228" spans="1:15">
      <c r="A228">
        <v>2011</v>
      </c>
      <c r="B228" s="3">
        <v>16</v>
      </c>
      <c r="C228" s="7" t="str">
        <f t="shared" si="22"/>
        <v>TB</v>
      </c>
      <c r="D228" s="2">
        <f t="shared" si="27"/>
        <v>9.3999999999999986E-2</v>
      </c>
      <c r="E228" t="s">
        <v>82</v>
      </c>
      <c r="F228" t="s">
        <v>57</v>
      </c>
      <c r="H228" s="8">
        <f>VLOOKUP(E228,'DVOA DATA'!$A$1:$AK$35,IF('Solver Model &amp; Output'!$M$3&lt;3,('Solver Model &amp; Output'!$M$3)*2,('Solver Model &amp; Output'!$M$3+1)*2), FALSE)</f>
        <v>2.8000000000000001E-2</v>
      </c>
      <c r="I228" s="8">
        <f>VLOOKUP(F228,'DVOA DATA'!$A$1:$AK$35,IF('Solver Model &amp; Output'!$M$3&lt;3,('Solver Model &amp; Output'!$M$3)*2,('Solver Model &amp; Output'!$M$3+1)*2), FALSE)</f>
        <v>-0.14099999999999999</v>
      </c>
      <c r="J228" s="8">
        <f>VLOOKUP(E228,'DVOA DATA'!$A$1:$AK$35,IF('Solver Model &amp; Output'!$M$3&lt;3,(('Solver Model &amp; Output'!$M$3)*2)+1,(('Solver Model &amp; Output'!$M$3+1)*2)+1), FALSE)</f>
        <v>0.104</v>
      </c>
      <c r="K228" s="8">
        <f>VLOOKUP(F228,'DVOA DATA'!$A$1:$AK$35,IF('Solver Model &amp; Output'!$M$3&lt;3,(('Solver Model &amp; Output'!$M$3)*2)+1,(('Solver Model &amp; Output'!$M$3+1)*2)+1), FALSE)</f>
        <v>2.9000000000000001E-2</v>
      </c>
      <c r="L228" s="42">
        <f t="shared" si="24"/>
        <v>-7.5999999999999998E-2</v>
      </c>
      <c r="M228" s="42">
        <f t="shared" si="25"/>
        <v>-0.16999999999999998</v>
      </c>
      <c r="N228">
        <f t="shared" si="26"/>
        <v>9.3999999999999986E-2</v>
      </c>
      <c r="O228" t="str">
        <f t="shared" si="23"/>
        <v>TB</v>
      </c>
    </row>
    <row r="229" spans="1:15">
      <c r="A229">
        <v>2011</v>
      </c>
      <c r="B229" s="3">
        <v>16</v>
      </c>
      <c r="C229" s="7" t="str">
        <f t="shared" si="22"/>
        <v>CIN</v>
      </c>
      <c r="D229" s="2">
        <f t="shared" si="27"/>
        <v>0.22800000000000004</v>
      </c>
      <c r="E229" t="s">
        <v>53</v>
      </c>
      <c r="F229" t="s">
        <v>59</v>
      </c>
      <c r="H229" s="8">
        <f>VLOOKUP(E229,'DVOA DATA'!$A$1:$AK$35,IF('Solver Model &amp; Output'!$M$3&lt;3,('Solver Model &amp; Output'!$M$3)*2,('Solver Model &amp; Output'!$M$3+1)*2), FALSE)</f>
        <v>-4.8000000000000001E-2</v>
      </c>
      <c r="I229" s="8">
        <f>VLOOKUP(F229,'DVOA DATA'!$A$1:$AK$35,IF('Solver Model &amp; Output'!$M$3&lt;3,('Solver Model &amp; Output'!$M$3)*2,('Solver Model &amp; Output'!$M$3+1)*2), FALSE)</f>
        <v>-6.3E-2</v>
      </c>
      <c r="J229" s="8">
        <f>VLOOKUP(E229,'DVOA DATA'!$A$1:$AK$35,IF('Solver Model &amp; Output'!$M$3&lt;3,(('Solver Model &amp; Output'!$M$3)*2)+1,(('Solver Model &amp; Output'!$M$3+1)*2)+1), FALSE)</f>
        <v>9.1999999999999998E-2</v>
      </c>
      <c r="K229" s="8">
        <f>VLOOKUP(F229,'DVOA DATA'!$A$1:$AK$35,IF('Solver Model &amp; Output'!$M$3&lt;3,(('Solver Model &amp; Output'!$M$3)*2)+1,(('Solver Model &amp; Output'!$M$3+1)*2)+1), FALSE)</f>
        <v>4.9000000000000002E-2</v>
      </c>
      <c r="L229" s="42">
        <f t="shared" si="24"/>
        <v>-0.14000000000000001</v>
      </c>
      <c r="M229" s="42">
        <f t="shared" si="25"/>
        <v>-0.112</v>
      </c>
      <c r="N229">
        <f t="shared" si="26"/>
        <v>-2.8000000000000011E-2</v>
      </c>
      <c r="O229" t="str">
        <f t="shared" si="23"/>
        <v>CIN</v>
      </c>
    </row>
    <row r="230" spans="1:15">
      <c r="A230">
        <v>2011</v>
      </c>
      <c r="B230" s="3">
        <v>16</v>
      </c>
      <c r="C230" s="7" t="str">
        <f t="shared" si="22"/>
        <v>KC</v>
      </c>
      <c r="D230" s="2">
        <f t="shared" si="27"/>
        <v>0.23200000000000001</v>
      </c>
      <c r="E230" t="s">
        <v>75</v>
      </c>
      <c r="F230" t="s">
        <v>68</v>
      </c>
      <c r="H230" s="8">
        <f>VLOOKUP(E230,'DVOA DATA'!$A$1:$AK$35,IF('Solver Model &amp; Output'!$M$3&lt;3,('Solver Model &amp; Output'!$M$3)*2,('Solver Model &amp; Output'!$M$3+1)*2), FALSE)</f>
        <v>-8.6999999999999994E-2</v>
      </c>
      <c r="I230" s="8">
        <f>VLOOKUP(F230,'DVOA DATA'!$A$1:$AK$35,IF('Solver Model &amp; Output'!$M$3&lt;3,('Solver Model &amp; Output'!$M$3)*2,('Solver Model &amp; Output'!$M$3+1)*2), FALSE)</f>
        <v>-4.7E-2</v>
      </c>
      <c r="J230" s="8">
        <f>VLOOKUP(E230,'DVOA DATA'!$A$1:$AK$35,IF('Solver Model &amp; Output'!$M$3&lt;3,(('Solver Model &amp; Output'!$M$3)*2)+1,(('Solver Model &amp; Output'!$M$3+1)*2)+1), FALSE)</f>
        <v>6.5000000000000002E-2</v>
      </c>
      <c r="K230" s="8">
        <f>VLOOKUP(F230,'DVOA DATA'!$A$1:$AK$35,IF('Solver Model &amp; Output'!$M$3&lt;3,(('Solver Model &amp; Output'!$M$3)*2)+1,(('Solver Model &amp; Output'!$M$3+1)*2)+1), FALSE)</f>
        <v>7.2999999999999995E-2</v>
      </c>
      <c r="L230" s="42">
        <f t="shared" si="24"/>
        <v>-0.152</v>
      </c>
      <c r="M230" s="42">
        <f t="shared" si="25"/>
        <v>-0.12</v>
      </c>
      <c r="N230">
        <f t="shared" si="26"/>
        <v>-3.2000000000000001E-2</v>
      </c>
      <c r="O230" t="str">
        <f t="shared" si="23"/>
        <v>KC</v>
      </c>
    </row>
    <row r="231" spans="1:15">
      <c r="A231">
        <v>2011</v>
      </c>
      <c r="B231" s="3">
        <v>16</v>
      </c>
      <c r="C231" s="7" t="str">
        <f t="shared" si="22"/>
        <v>NE</v>
      </c>
      <c r="D231" s="2">
        <f t="shared" si="27"/>
        <v>0.38400000000000001</v>
      </c>
      <c r="E231" t="s">
        <v>69</v>
      </c>
      <c r="F231" t="s">
        <v>71</v>
      </c>
      <c r="H231" s="8">
        <f>VLOOKUP(E231,'DVOA DATA'!$A$1:$AK$35,IF('Solver Model &amp; Output'!$M$3&lt;3,('Solver Model &amp; Output'!$M$3)*2,('Solver Model &amp; Output'!$M$3+1)*2), FALSE)</f>
        <v>0.106</v>
      </c>
      <c r="I231" s="8">
        <f>VLOOKUP(F231,'DVOA DATA'!$A$1:$AK$35,IF('Solver Model &amp; Output'!$M$3&lt;3,('Solver Model &amp; Output'!$M$3)*2,('Solver Model &amp; Output'!$M$3+1)*2), FALSE)</f>
        <v>0.309</v>
      </c>
      <c r="J231" s="8">
        <f>VLOOKUP(E231,'DVOA DATA'!$A$1:$AK$35,IF('Solver Model &amp; Output'!$M$3&lt;3,(('Solver Model &amp; Output'!$M$3)*2)+1,(('Solver Model &amp; Output'!$M$3+1)*2)+1), FALSE)</f>
        <v>1.7999999999999999E-2</v>
      </c>
      <c r="K231" s="8">
        <f>VLOOKUP(F231,'DVOA DATA'!$A$1:$AK$35,IF('Solver Model &amp; Output'!$M$3&lt;3,(('Solver Model &amp; Output'!$M$3)*2)+1,(('Solver Model &amp; Output'!$M$3+1)*2)+1), FALSE)</f>
        <v>3.6999999999999998E-2</v>
      </c>
      <c r="L231" s="42">
        <f t="shared" si="24"/>
        <v>8.7999999999999995E-2</v>
      </c>
      <c r="M231" s="42">
        <f t="shared" si="25"/>
        <v>0.27200000000000002</v>
      </c>
      <c r="N231">
        <f t="shared" si="26"/>
        <v>-0.18400000000000002</v>
      </c>
      <c r="O231" t="str">
        <f t="shared" si="23"/>
        <v>NE</v>
      </c>
    </row>
    <row r="232" spans="1:15">
      <c r="A232">
        <v>2011</v>
      </c>
      <c r="B232" s="3">
        <v>16</v>
      </c>
      <c r="C232" s="7" t="str">
        <f t="shared" si="22"/>
        <v>NYJ</v>
      </c>
      <c r="D232" s="2">
        <f t="shared" si="27"/>
        <v>0.31900000000000001</v>
      </c>
      <c r="E232" t="s">
        <v>73</v>
      </c>
      <c r="F232" t="s">
        <v>74</v>
      </c>
      <c r="H232" s="8">
        <f>VLOOKUP(E232,'DVOA DATA'!$A$1:$AK$35,IF('Solver Model &amp; Output'!$M$3&lt;3,('Solver Model &amp; Output'!$M$3)*2,('Solver Model &amp; Output'!$M$3+1)*2), FALSE)</f>
        <v>5.8999999999999997E-2</v>
      </c>
      <c r="I232" s="8">
        <f>VLOOKUP(F232,'DVOA DATA'!$A$1:$AK$35,IF('Solver Model &amp; Output'!$M$3&lt;3,('Solver Model &amp; Output'!$M$3)*2,('Solver Model &amp; Output'!$M$3+1)*2), FALSE)</f>
        <v>-2.8000000000000001E-2</v>
      </c>
      <c r="J232" s="8">
        <f>VLOOKUP(E232,'DVOA DATA'!$A$1:$AK$35,IF('Solver Model &amp; Output'!$M$3&lt;3,(('Solver Model &amp; Output'!$M$3)*2)+1,(('Solver Model &amp; Output'!$M$3+1)*2)+1), FALSE)</f>
        <v>1E-3</v>
      </c>
      <c r="K232" s="8">
        <f>VLOOKUP(F232,'DVOA DATA'!$A$1:$AK$35,IF('Solver Model &amp; Output'!$M$3&lt;3,(('Solver Model &amp; Output'!$M$3)*2)+1,(('Solver Model &amp; Output'!$M$3+1)*2)+1), FALSE)</f>
        <v>-0.20499999999999999</v>
      </c>
      <c r="L232" s="42">
        <f t="shared" si="24"/>
        <v>5.7999999999999996E-2</v>
      </c>
      <c r="M232" s="42">
        <f t="shared" si="25"/>
        <v>0.17699999999999999</v>
      </c>
      <c r="N232">
        <f t="shared" si="26"/>
        <v>-0.11899999999999999</v>
      </c>
      <c r="O232" t="str">
        <f t="shared" si="23"/>
        <v>NYJ</v>
      </c>
    </row>
    <row r="233" spans="1:15">
      <c r="A233">
        <v>2011</v>
      </c>
      <c r="B233" s="3">
        <v>16</v>
      </c>
      <c r="C233" s="7" t="str">
        <f t="shared" si="22"/>
        <v>JAC</v>
      </c>
      <c r="D233" s="2">
        <f t="shared" si="27"/>
        <v>0.20800000000000002</v>
      </c>
      <c r="E233" t="s">
        <v>67</v>
      </c>
      <c r="F233" t="s">
        <v>83</v>
      </c>
      <c r="H233" s="8">
        <f>VLOOKUP(E233,'DVOA DATA'!$A$1:$AK$35,IF('Solver Model &amp; Output'!$M$3&lt;3,('Solver Model &amp; Output'!$M$3)*2,('Solver Model &amp; Output'!$M$3+1)*2), FALSE)</f>
        <v>4.5999999999999999E-2</v>
      </c>
      <c r="I233" s="8">
        <f>VLOOKUP(F233,'DVOA DATA'!$A$1:$AK$35,IF('Solver Model &amp; Output'!$M$3&lt;3,('Solver Model &amp; Output'!$M$3)*2,('Solver Model &amp; Output'!$M$3+1)*2), FALSE)</f>
        <v>-9.9000000000000005E-2</v>
      </c>
      <c r="J233" s="8">
        <f>VLOOKUP(E233,'DVOA DATA'!$A$1:$AK$35,IF('Solver Model &amp; Output'!$M$3&lt;3,(('Solver Model &amp; Output'!$M$3)*2)+1,(('Solver Model &amp; Output'!$M$3+1)*2)+1), FALSE)</f>
        <v>4.1000000000000002E-2</v>
      </c>
      <c r="K233" s="8">
        <f>VLOOKUP(F233,'DVOA DATA'!$A$1:$AK$35,IF('Solver Model &amp; Output'!$M$3&lt;3,(('Solver Model &amp; Output'!$M$3)*2)+1,(('Solver Model &amp; Output'!$M$3+1)*2)+1), FALSE)</f>
        <v>0.104</v>
      </c>
      <c r="L233" s="42">
        <f t="shared" si="24"/>
        <v>4.9999999999999975E-3</v>
      </c>
      <c r="M233" s="42">
        <f t="shared" si="25"/>
        <v>-0.20300000000000001</v>
      </c>
      <c r="N233">
        <f t="shared" si="26"/>
        <v>0.20800000000000002</v>
      </c>
      <c r="O233" t="str">
        <f t="shared" si="23"/>
        <v>JAC</v>
      </c>
    </row>
    <row r="234" spans="1:15">
      <c r="A234">
        <v>2011</v>
      </c>
      <c r="B234" s="3">
        <v>16</v>
      </c>
      <c r="C234" s="7" t="str">
        <f t="shared" si="22"/>
        <v>PIT</v>
      </c>
      <c r="D234" s="2">
        <f t="shared" si="27"/>
        <v>0.60600000000000009</v>
      </c>
      <c r="E234" t="s">
        <v>81</v>
      </c>
      <c r="F234" t="s">
        <v>77</v>
      </c>
      <c r="H234" s="8">
        <f>VLOOKUP(E234,'DVOA DATA'!$A$1:$AK$35,IF('Solver Model &amp; Output'!$M$3&lt;3,('Solver Model &amp; Output'!$M$3)*2,('Solver Model &amp; Output'!$M$3+1)*2), FALSE)</f>
        <v>-0.14799999999999999</v>
      </c>
      <c r="I234" s="8">
        <f>VLOOKUP(F234,'DVOA DATA'!$A$1:$AK$35,IF('Solver Model &amp; Output'!$M$3&lt;3,('Solver Model &amp; Output'!$M$3)*2,('Solver Model &amp; Output'!$M$3+1)*2), FALSE)</f>
        <v>0.16900000000000001</v>
      </c>
      <c r="J234" s="8">
        <f>VLOOKUP(E234,'DVOA DATA'!$A$1:$AK$35,IF('Solver Model &amp; Output'!$M$3&lt;3,(('Solver Model &amp; Output'!$M$3)*2)+1,(('Solver Model &amp; Output'!$M$3+1)*2)+1), FALSE)</f>
        <v>-3.6999999999999998E-2</v>
      </c>
      <c r="K234" s="8">
        <f>VLOOKUP(F234,'DVOA DATA'!$A$1:$AK$35,IF('Solver Model &amp; Output'!$M$3&lt;3,(('Solver Model &amp; Output'!$M$3)*2)+1,(('Solver Model &amp; Output'!$M$3+1)*2)+1), FALSE)</f>
        <v>-0.126</v>
      </c>
      <c r="L234" s="42">
        <f t="shared" si="24"/>
        <v>-0.11099999999999999</v>
      </c>
      <c r="M234" s="42">
        <f t="shared" si="25"/>
        <v>0.29500000000000004</v>
      </c>
      <c r="N234">
        <f t="shared" si="26"/>
        <v>-0.40600000000000003</v>
      </c>
      <c r="O234" t="str">
        <f t="shared" si="23"/>
        <v>PIT</v>
      </c>
    </row>
    <row r="235" spans="1:15">
      <c r="A235">
        <v>2011</v>
      </c>
      <c r="B235" s="3">
        <v>16</v>
      </c>
      <c r="C235" s="7" t="str">
        <f t="shared" si="22"/>
        <v>BAL</v>
      </c>
      <c r="D235" s="2">
        <f t="shared" si="27"/>
        <v>0.38200000000000001</v>
      </c>
      <c r="E235" t="s">
        <v>60</v>
      </c>
      <c r="F235" t="s">
        <v>55</v>
      </c>
      <c r="H235" s="8">
        <f>VLOOKUP(E235,'DVOA DATA'!$A$1:$AK$35,IF('Solver Model &amp; Output'!$M$3&lt;3,('Solver Model &amp; Output'!$M$3)*2,('Solver Model &amp; Output'!$M$3+1)*2), FALSE)</f>
        <v>-0.03</v>
      </c>
      <c r="I235" s="8">
        <f>VLOOKUP(F235,'DVOA DATA'!$A$1:$AK$35,IF('Solver Model &amp; Output'!$M$3&lt;3,('Solver Model &amp; Output'!$M$3)*2,('Solver Model &amp; Output'!$M$3+1)*2), FALSE)</f>
        <v>0.114</v>
      </c>
      <c r="J235" s="8">
        <f>VLOOKUP(E235,'DVOA DATA'!$A$1:$AK$35,IF('Solver Model &amp; Output'!$M$3&lt;3,(('Solver Model &amp; Output'!$M$3)*2)+1,(('Solver Model &amp; Output'!$M$3+1)*2)+1), FALSE)</f>
        <v>4.8000000000000001E-2</v>
      </c>
      <c r="K235" s="8">
        <f>VLOOKUP(F235,'DVOA DATA'!$A$1:$AK$35,IF('Solver Model &amp; Output'!$M$3&lt;3,(('Solver Model &amp; Output'!$M$3)*2)+1,(('Solver Model &amp; Output'!$M$3+1)*2)+1), FALSE)</f>
        <v>0.01</v>
      </c>
      <c r="L235" s="42">
        <f t="shared" si="24"/>
        <v>-7.8E-2</v>
      </c>
      <c r="M235" s="42">
        <f t="shared" si="25"/>
        <v>0.10400000000000001</v>
      </c>
      <c r="N235">
        <f t="shared" si="26"/>
        <v>-0.182</v>
      </c>
      <c r="O235" t="str">
        <f t="shared" si="23"/>
        <v>BAL</v>
      </c>
    </row>
    <row r="236" spans="1:15">
      <c r="A236">
        <v>2011</v>
      </c>
      <c r="B236" s="3">
        <v>16</v>
      </c>
      <c r="C236" s="7" t="str">
        <f t="shared" si="22"/>
        <v>MIN</v>
      </c>
      <c r="D236" s="2">
        <f t="shared" si="27"/>
        <v>5.8000000000000003E-2</v>
      </c>
      <c r="E236" t="s">
        <v>70</v>
      </c>
      <c r="F236" t="s">
        <v>84</v>
      </c>
      <c r="H236" s="8">
        <f>VLOOKUP(E236,'DVOA DATA'!$A$1:$AK$35,IF('Solver Model &amp; Output'!$M$3&lt;3,('Solver Model &amp; Output'!$M$3)*2,('Solver Model &amp; Output'!$M$3+1)*2), FALSE)</f>
        <v>5.7000000000000002E-2</v>
      </c>
      <c r="I236" s="8">
        <f>VLOOKUP(F236,'DVOA DATA'!$A$1:$AK$35,IF('Solver Model &amp; Output'!$M$3&lt;3,('Solver Model &amp; Output'!$M$3)*2,('Solver Model &amp; Output'!$M$3+1)*2), FALSE)</f>
        <v>-5.6000000000000001E-2</v>
      </c>
      <c r="J236" s="8">
        <f>VLOOKUP(E236,'DVOA DATA'!$A$1:$AK$35,IF('Solver Model &amp; Output'!$M$3&lt;3,(('Solver Model &amp; Output'!$M$3)*2)+1,(('Solver Model &amp; Output'!$M$3+1)*2)+1), FALSE)</f>
        <v>7.0000000000000007E-2</v>
      </c>
      <c r="K236" s="8">
        <f>VLOOKUP(F236,'DVOA DATA'!$A$1:$AK$35,IF('Solver Model &amp; Output'!$M$3&lt;3,(('Solver Model &amp; Output'!$M$3)*2)+1,(('Solver Model &amp; Output'!$M$3+1)*2)+1), FALSE)</f>
        <v>1.4999999999999999E-2</v>
      </c>
      <c r="L236" s="42">
        <f t="shared" si="24"/>
        <v>-1.3000000000000005E-2</v>
      </c>
      <c r="M236" s="42">
        <f t="shared" si="25"/>
        <v>-7.1000000000000008E-2</v>
      </c>
      <c r="N236">
        <f t="shared" si="26"/>
        <v>5.8000000000000003E-2</v>
      </c>
      <c r="O236" t="str">
        <f t="shared" si="23"/>
        <v>MIN</v>
      </c>
    </row>
    <row r="237" spans="1:15">
      <c r="A237">
        <v>2011</v>
      </c>
      <c r="B237" s="3">
        <v>16</v>
      </c>
      <c r="C237" s="7" t="str">
        <f t="shared" si="22"/>
        <v>SD</v>
      </c>
      <c r="D237" s="2">
        <f t="shared" si="27"/>
        <v>0.22000000000000003</v>
      </c>
      <c r="E237" t="s">
        <v>78</v>
      </c>
      <c r="F237" t="s">
        <v>63</v>
      </c>
      <c r="H237" s="8">
        <f>VLOOKUP(E237,'DVOA DATA'!$A$1:$AK$35,IF('Solver Model &amp; Output'!$M$3&lt;3,('Solver Model &amp; Output'!$M$3)*2,('Solver Model &amp; Output'!$M$3+1)*2), FALSE)</f>
        <v>0.32600000000000001</v>
      </c>
      <c r="I237" s="8">
        <f>VLOOKUP(F237,'DVOA DATA'!$A$1:$AK$35,IF('Solver Model &amp; Output'!$M$3&lt;3,('Solver Model &amp; Output'!$M$3)*2,('Solver Model &amp; Output'!$M$3+1)*2), FALSE)</f>
        <v>5.2999999999999999E-2</v>
      </c>
      <c r="J237" s="8">
        <f>VLOOKUP(E237,'DVOA DATA'!$A$1:$AK$35,IF('Solver Model &amp; Output'!$M$3&lt;3,(('Solver Model &amp; Output'!$M$3)*2)+1,(('Solver Model &amp; Output'!$M$3+1)*2)+1), FALSE)</f>
        <v>0.11799999999999999</v>
      </c>
      <c r="K237" s="8">
        <f>VLOOKUP(F237,'DVOA DATA'!$A$1:$AK$35,IF('Solver Model &amp; Output'!$M$3&lt;3,(('Solver Model &amp; Output'!$M$3)*2)+1,(('Solver Model &amp; Output'!$M$3+1)*2)+1), FALSE)</f>
        <v>6.5000000000000002E-2</v>
      </c>
      <c r="L237" s="42">
        <f t="shared" si="24"/>
        <v>0.20800000000000002</v>
      </c>
      <c r="M237" s="42">
        <f t="shared" si="25"/>
        <v>-1.2000000000000004E-2</v>
      </c>
      <c r="N237">
        <f t="shared" si="26"/>
        <v>0.22000000000000003</v>
      </c>
      <c r="O237" t="str">
        <f t="shared" si="23"/>
        <v>SD</v>
      </c>
    </row>
    <row r="238" spans="1:15">
      <c r="A238">
        <v>2011</v>
      </c>
      <c r="B238" s="3">
        <v>16</v>
      </c>
      <c r="C238" s="7" t="str">
        <f t="shared" si="22"/>
        <v>PHI</v>
      </c>
      <c r="D238" s="2">
        <f t="shared" si="27"/>
        <v>0.28100000000000003</v>
      </c>
      <c r="E238" t="s">
        <v>76</v>
      </c>
      <c r="F238" t="s">
        <v>61</v>
      </c>
      <c r="H238" s="8">
        <f>VLOOKUP(E238,'DVOA DATA'!$A$1:$AK$35,IF('Solver Model &amp; Output'!$M$3&lt;3,('Solver Model &amp; Output'!$M$3)*2,('Solver Model &amp; Output'!$M$3+1)*2), FALSE)</f>
        <v>0.123</v>
      </c>
      <c r="I238" s="8">
        <f>VLOOKUP(F238,'DVOA DATA'!$A$1:$AK$35,IF('Solver Model &amp; Output'!$M$3&lt;3,('Solver Model &amp; Output'!$M$3)*2,('Solver Model &amp; Output'!$M$3+1)*2), FALSE)</f>
        <v>1.6E-2</v>
      </c>
      <c r="J238" s="8">
        <f>VLOOKUP(E238,'DVOA DATA'!$A$1:$AK$35,IF('Solver Model &amp; Output'!$M$3&lt;3,(('Solver Model &amp; Output'!$M$3)*2)+1,(('Solver Model &amp; Output'!$M$3+1)*2)+1), FALSE)</f>
        <v>-8.5000000000000006E-2</v>
      </c>
      <c r="K238" s="8">
        <f>VLOOKUP(F238,'DVOA DATA'!$A$1:$AK$35,IF('Solver Model &amp; Output'!$M$3&lt;3,(('Solver Model &amp; Output'!$M$3)*2)+1,(('Solver Model &amp; Output'!$M$3+1)*2)+1), FALSE)</f>
        <v>8.8999999999999996E-2</v>
      </c>
      <c r="L238" s="42">
        <f t="shared" si="24"/>
        <v>0.20800000000000002</v>
      </c>
      <c r="M238" s="42">
        <f t="shared" si="25"/>
        <v>-7.2999999999999995E-2</v>
      </c>
      <c r="N238">
        <f t="shared" si="26"/>
        <v>0.28100000000000003</v>
      </c>
      <c r="O238" t="str">
        <f t="shared" si="23"/>
        <v>PHI</v>
      </c>
    </row>
    <row r="239" spans="1:15">
      <c r="A239">
        <v>2011</v>
      </c>
      <c r="B239" s="3">
        <v>16</v>
      </c>
      <c r="C239" s="7" t="str">
        <f t="shared" si="22"/>
        <v>SF</v>
      </c>
      <c r="D239" s="2">
        <f t="shared" si="27"/>
        <v>0.14000000000000001</v>
      </c>
      <c r="E239" t="s">
        <v>80</v>
      </c>
      <c r="F239" t="s">
        <v>79</v>
      </c>
      <c r="H239" s="8">
        <f>VLOOKUP(E239,'DVOA DATA'!$A$1:$AK$35,IF('Solver Model &amp; Output'!$M$3&lt;3,('Solver Model &amp; Output'!$M$3)*2,('Solver Model &amp; Output'!$M$3+1)*2), FALSE)</f>
        <v>-5.8999999999999997E-2</v>
      </c>
      <c r="I239" s="8">
        <f>VLOOKUP(F239,'DVOA DATA'!$A$1:$AK$35,IF('Solver Model &amp; Output'!$M$3&lt;3,('Solver Model &amp; Output'!$M$3)*2,('Solver Model &amp; Output'!$M$3+1)*2), FALSE)</f>
        <v>-0.23699999999999999</v>
      </c>
      <c r="J239" s="8">
        <f>VLOOKUP(E239,'DVOA DATA'!$A$1:$AK$35,IF('Solver Model &amp; Output'!$M$3&lt;3,(('Solver Model &amp; Output'!$M$3)*2)+1,(('Solver Model &amp; Output'!$M$3+1)*2)+1), FALSE)</f>
        <v>1.4E-2</v>
      </c>
      <c r="K239" s="8">
        <f>VLOOKUP(F239,'DVOA DATA'!$A$1:$AK$35,IF('Solver Model &amp; Output'!$M$3&lt;3,(('Solver Model &amp; Output'!$M$3)*2)+1,(('Solver Model &amp; Output'!$M$3+1)*2)+1), FALSE)</f>
        <v>-2.4E-2</v>
      </c>
      <c r="L239" s="42">
        <f t="shared" si="24"/>
        <v>-7.2999999999999995E-2</v>
      </c>
      <c r="M239" s="42">
        <f t="shared" si="25"/>
        <v>-0.21299999999999999</v>
      </c>
      <c r="N239">
        <f t="shared" si="26"/>
        <v>0.14000000000000001</v>
      </c>
      <c r="O239" t="str">
        <f t="shared" si="23"/>
        <v>SF</v>
      </c>
    </row>
    <row r="240" spans="1:15">
      <c r="A240">
        <v>2011</v>
      </c>
      <c r="B240" s="3">
        <v>16</v>
      </c>
      <c r="C240" s="7" t="str">
        <f t="shared" si="22"/>
        <v>GB</v>
      </c>
      <c r="D240" s="2">
        <f t="shared" si="27"/>
        <v>0.29500000000000004</v>
      </c>
      <c r="E240" t="s">
        <v>58</v>
      </c>
      <c r="F240" t="s">
        <v>64</v>
      </c>
      <c r="H240" s="8">
        <f>VLOOKUP(E240,'DVOA DATA'!$A$1:$AK$35,IF('Solver Model &amp; Output'!$M$3&lt;3,('Solver Model &amp; Output'!$M$3)*2,('Solver Model &amp; Output'!$M$3+1)*2), FALSE)</f>
        <v>-0.06</v>
      </c>
      <c r="I240" s="8">
        <f>VLOOKUP(F240,'DVOA DATA'!$A$1:$AK$35,IF('Solver Model &amp; Output'!$M$3&lt;3,('Solver Model &amp; Output'!$M$3)*2,('Solver Model &amp; Output'!$M$3+1)*2), FALSE)</f>
        <v>9.9000000000000005E-2</v>
      </c>
      <c r="J240" s="8">
        <f>VLOOKUP(E240,'DVOA DATA'!$A$1:$AK$35,IF('Solver Model &amp; Output'!$M$3&lt;3,(('Solver Model &amp; Output'!$M$3)*2)+1,(('Solver Model &amp; Output'!$M$3+1)*2)+1), FALSE)</f>
        <v>-8.5999999999999993E-2</v>
      </c>
      <c r="K240" s="8">
        <f>VLOOKUP(F240,'DVOA DATA'!$A$1:$AK$35,IF('Solver Model &amp; Output'!$M$3&lt;3,(('Solver Model &amp; Output'!$M$3)*2)+1,(('Solver Model &amp; Output'!$M$3+1)*2)+1), FALSE)</f>
        <v>-2.1999999999999999E-2</v>
      </c>
      <c r="L240" s="42">
        <f t="shared" si="24"/>
        <v>2.5999999999999995E-2</v>
      </c>
      <c r="M240" s="42">
        <f t="shared" si="25"/>
        <v>0.121</v>
      </c>
      <c r="N240">
        <f t="shared" si="26"/>
        <v>-9.5000000000000001E-2</v>
      </c>
      <c r="O240" t="str">
        <f t="shared" si="23"/>
        <v>GB</v>
      </c>
    </row>
    <row r="241" spans="1:15">
      <c r="A241">
        <v>2011</v>
      </c>
      <c r="B241" s="3">
        <v>16</v>
      </c>
      <c r="C241" s="7" t="str">
        <f t="shared" si="22"/>
        <v>ATL</v>
      </c>
      <c r="D241" s="2">
        <f t="shared" si="27"/>
        <v>9.999999999999995E-3</v>
      </c>
      <c r="E241" t="s">
        <v>54</v>
      </c>
      <c r="F241" t="s">
        <v>72</v>
      </c>
      <c r="H241" s="8">
        <f>VLOOKUP(E241,'DVOA DATA'!$A$1:$AK$35,IF('Solver Model &amp; Output'!$M$3&lt;3,('Solver Model &amp; Output'!$M$3)*2,('Solver Model &amp; Output'!$M$3+1)*2), FALSE)</f>
        <v>0.13</v>
      </c>
      <c r="I241" s="8">
        <f>VLOOKUP(F241,'DVOA DATA'!$A$1:$AK$35,IF('Solver Model &amp; Output'!$M$3&lt;3,('Solver Model &amp; Output'!$M$3)*2,('Solver Model &amp; Output'!$M$3+1)*2), FALSE)</f>
        <v>0.19600000000000001</v>
      </c>
      <c r="J241" s="8">
        <f>VLOOKUP(E241,'DVOA DATA'!$A$1:$AK$35,IF('Solver Model &amp; Output'!$M$3&lt;3,(('Solver Model &amp; Output'!$M$3)*2)+1,(('Solver Model &amp; Output'!$M$3+1)*2)+1), FALSE)</f>
        <v>3.5999999999999997E-2</v>
      </c>
      <c r="K241" s="8">
        <f>VLOOKUP(F241,'DVOA DATA'!$A$1:$AK$35,IF('Solver Model &amp; Output'!$M$3&lt;3,(('Solver Model &amp; Output'!$M$3)*2)+1,(('Solver Model &amp; Output'!$M$3+1)*2)+1), FALSE)</f>
        <v>0.112</v>
      </c>
      <c r="L241" s="42">
        <f t="shared" si="24"/>
        <v>9.4E-2</v>
      </c>
      <c r="M241" s="42">
        <f t="shared" si="25"/>
        <v>8.4000000000000005E-2</v>
      </c>
      <c r="N241">
        <f t="shared" si="26"/>
        <v>9.999999999999995E-3</v>
      </c>
      <c r="O241" t="str">
        <f t="shared" si="23"/>
        <v>ATL</v>
      </c>
    </row>
    <row r="242" spans="1:15">
      <c r="A242">
        <v>2011</v>
      </c>
      <c r="B242" s="3">
        <v>17</v>
      </c>
      <c r="C242" s="7" t="str">
        <f t="shared" si="22"/>
        <v>ATL</v>
      </c>
      <c r="D242" s="2">
        <f t="shared" si="27"/>
        <v>0.37</v>
      </c>
      <c r="E242" t="s">
        <v>82</v>
      </c>
      <c r="F242" t="s">
        <v>54</v>
      </c>
      <c r="H242" s="8">
        <f>VLOOKUP(E242,'DVOA DATA'!$A$1:$AK$35,IF('Solver Model &amp; Output'!$M$3&lt;3,('Solver Model &amp; Output'!$M$3)*2,('Solver Model &amp; Output'!$M$3+1)*2), FALSE)</f>
        <v>2.8000000000000001E-2</v>
      </c>
      <c r="I242" s="8">
        <f>VLOOKUP(F242,'DVOA DATA'!$A$1:$AK$35,IF('Solver Model &amp; Output'!$M$3&lt;3,('Solver Model &amp; Output'!$M$3)*2,('Solver Model &amp; Output'!$M$3+1)*2), FALSE)</f>
        <v>0.13</v>
      </c>
      <c r="J242" s="8">
        <f>VLOOKUP(E242,'DVOA DATA'!$A$1:$AK$35,IF('Solver Model &amp; Output'!$M$3&lt;3,(('Solver Model &amp; Output'!$M$3)*2)+1,(('Solver Model &amp; Output'!$M$3+1)*2)+1), FALSE)</f>
        <v>0.104</v>
      </c>
      <c r="K242" s="8">
        <f>VLOOKUP(F242,'DVOA DATA'!$A$1:$AK$35,IF('Solver Model &amp; Output'!$M$3&lt;3,(('Solver Model &amp; Output'!$M$3)*2)+1,(('Solver Model &amp; Output'!$M$3+1)*2)+1), FALSE)</f>
        <v>3.5999999999999997E-2</v>
      </c>
      <c r="L242" s="42">
        <f t="shared" si="24"/>
        <v>-7.5999999999999998E-2</v>
      </c>
      <c r="M242" s="42">
        <f t="shared" si="25"/>
        <v>9.4E-2</v>
      </c>
      <c r="N242">
        <f t="shared" si="26"/>
        <v>-0.16999999999999998</v>
      </c>
      <c r="O242" t="str">
        <f t="shared" si="23"/>
        <v>ATL</v>
      </c>
    </row>
    <row r="243" spans="1:15">
      <c r="A243">
        <v>2011</v>
      </c>
      <c r="B243" s="3">
        <v>17</v>
      </c>
      <c r="C243" s="7" t="str">
        <f t="shared" si="22"/>
        <v>BAL</v>
      </c>
      <c r="D243" s="2">
        <f t="shared" si="27"/>
        <v>0.21600000000000003</v>
      </c>
      <c r="E243" t="s">
        <v>55</v>
      </c>
      <c r="F243" t="s">
        <v>59</v>
      </c>
      <c r="H243" s="8">
        <f>VLOOKUP(E243,'DVOA DATA'!$A$1:$AK$35,IF('Solver Model &amp; Output'!$M$3&lt;3,('Solver Model &amp; Output'!$M$3)*2,('Solver Model &amp; Output'!$M$3+1)*2), FALSE)</f>
        <v>0.114</v>
      </c>
      <c r="I243" s="8">
        <f>VLOOKUP(F243,'DVOA DATA'!$A$1:$AK$35,IF('Solver Model &amp; Output'!$M$3&lt;3,('Solver Model &amp; Output'!$M$3)*2,('Solver Model &amp; Output'!$M$3+1)*2), FALSE)</f>
        <v>-6.3E-2</v>
      </c>
      <c r="J243" s="8">
        <f>VLOOKUP(E243,'DVOA DATA'!$A$1:$AK$35,IF('Solver Model &amp; Output'!$M$3&lt;3,(('Solver Model &amp; Output'!$M$3)*2)+1,(('Solver Model &amp; Output'!$M$3+1)*2)+1), FALSE)</f>
        <v>0.01</v>
      </c>
      <c r="K243" s="8">
        <f>VLOOKUP(F243,'DVOA DATA'!$A$1:$AK$35,IF('Solver Model &amp; Output'!$M$3&lt;3,(('Solver Model &amp; Output'!$M$3)*2)+1,(('Solver Model &amp; Output'!$M$3+1)*2)+1), FALSE)</f>
        <v>4.9000000000000002E-2</v>
      </c>
      <c r="L243" s="42">
        <f t="shared" si="24"/>
        <v>0.10400000000000001</v>
      </c>
      <c r="M243" s="42">
        <f t="shared" si="25"/>
        <v>-0.112</v>
      </c>
      <c r="N243">
        <f t="shared" si="26"/>
        <v>0.21600000000000003</v>
      </c>
      <c r="O243" t="str">
        <f t="shared" si="23"/>
        <v>BAL</v>
      </c>
    </row>
    <row r="244" spans="1:15">
      <c r="A244">
        <v>2011</v>
      </c>
      <c r="B244" s="3">
        <v>17</v>
      </c>
      <c r="C244" s="7" t="str">
        <f t="shared" si="22"/>
        <v>PIT</v>
      </c>
      <c r="D244" s="2">
        <f t="shared" si="27"/>
        <v>0.37300000000000005</v>
      </c>
      <c r="E244" t="s">
        <v>77</v>
      </c>
      <c r="F244" t="s">
        <v>60</v>
      </c>
      <c r="H244" s="8">
        <f>VLOOKUP(E244,'DVOA DATA'!$A$1:$AK$35,IF('Solver Model &amp; Output'!$M$3&lt;3,('Solver Model &amp; Output'!$M$3)*2,('Solver Model &amp; Output'!$M$3+1)*2), FALSE)</f>
        <v>0.16900000000000001</v>
      </c>
      <c r="I244" s="8">
        <f>VLOOKUP(F244,'DVOA DATA'!$A$1:$AK$35,IF('Solver Model &amp; Output'!$M$3&lt;3,('Solver Model &amp; Output'!$M$3)*2,('Solver Model &amp; Output'!$M$3+1)*2), FALSE)</f>
        <v>-0.03</v>
      </c>
      <c r="J244" s="8">
        <f>VLOOKUP(E244,'DVOA DATA'!$A$1:$AK$35,IF('Solver Model &amp; Output'!$M$3&lt;3,(('Solver Model &amp; Output'!$M$3)*2)+1,(('Solver Model &amp; Output'!$M$3+1)*2)+1), FALSE)</f>
        <v>-0.126</v>
      </c>
      <c r="K244" s="8">
        <f>VLOOKUP(F244,'DVOA DATA'!$A$1:$AK$35,IF('Solver Model &amp; Output'!$M$3&lt;3,(('Solver Model &amp; Output'!$M$3)*2)+1,(('Solver Model &amp; Output'!$M$3+1)*2)+1), FALSE)</f>
        <v>4.8000000000000001E-2</v>
      </c>
      <c r="L244" s="42">
        <f t="shared" si="24"/>
        <v>0.29500000000000004</v>
      </c>
      <c r="M244" s="42">
        <f t="shared" si="25"/>
        <v>-7.8E-2</v>
      </c>
      <c r="N244">
        <f t="shared" si="26"/>
        <v>0.37300000000000005</v>
      </c>
      <c r="O244" t="str">
        <f t="shared" si="23"/>
        <v>PIT</v>
      </c>
    </row>
    <row r="245" spans="1:15">
      <c r="A245">
        <v>2011</v>
      </c>
      <c r="B245" s="3">
        <v>17</v>
      </c>
      <c r="C245" s="7" t="str">
        <f t="shared" si="22"/>
        <v>GB</v>
      </c>
      <c r="D245" s="2">
        <f t="shared" si="27"/>
        <v>0.33300000000000002</v>
      </c>
      <c r="E245" t="s">
        <v>63</v>
      </c>
      <c r="F245" t="s">
        <v>64</v>
      </c>
      <c r="H245" s="8">
        <f>VLOOKUP(E245,'DVOA DATA'!$A$1:$AK$35,IF('Solver Model &amp; Output'!$M$3&lt;3,('Solver Model &amp; Output'!$M$3)*2,('Solver Model &amp; Output'!$M$3+1)*2), FALSE)</f>
        <v>5.2999999999999999E-2</v>
      </c>
      <c r="I245" s="8">
        <f>VLOOKUP(F245,'DVOA DATA'!$A$1:$AK$35,IF('Solver Model &amp; Output'!$M$3&lt;3,('Solver Model &amp; Output'!$M$3)*2,('Solver Model &amp; Output'!$M$3+1)*2), FALSE)</f>
        <v>9.9000000000000005E-2</v>
      </c>
      <c r="J245" s="8">
        <f>VLOOKUP(E245,'DVOA DATA'!$A$1:$AK$35,IF('Solver Model &amp; Output'!$M$3&lt;3,(('Solver Model &amp; Output'!$M$3)*2)+1,(('Solver Model &amp; Output'!$M$3+1)*2)+1), FALSE)</f>
        <v>6.5000000000000002E-2</v>
      </c>
      <c r="K245" s="8">
        <f>VLOOKUP(F245,'DVOA DATA'!$A$1:$AK$35,IF('Solver Model &amp; Output'!$M$3&lt;3,(('Solver Model &amp; Output'!$M$3)*2)+1,(('Solver Model &amp; Output'!$M$3+1)*2)+1), FALSE)</f>
        <v>-2.1999999999999999E-2</v>
      </c>
      <c r="L245" s="42">
        <f t="shared" si="24"/>
        <v>-1.2000000000000004E-2</v>
      </c>
      <c r="M245" s="42">
        <f t="shared" si="25"/>
        <v>0.121</v>
      </c>
      <c r="N245">
        <f t="shared" si="26"/>
        <v>-0.13300000000000001</v>
      </c>
      <c r="O245" t="str">
        <f t="shared" si="23"/>
        <v>GB</v>
      </c>
    </row>
    <row r="246" spans="1:15">
      <c r="A246">
        <v>2011</v>
      </c>
      <c r="B246" s="3">
        <v>17</v>
      </c>
      <c r="C246" s="7" t="str">
        <f t="shared" si="22"/>
        <v>HOU</v>
      </c>
      <c r="D246" s="2">
        <f t="shared" si="27"/>
        <v>0.46500000000000002</v>
      </c>
      <c r="E246" t="s">
        <v>83</v>
      </c>
      <c r="F246" t="s">
        <v>65</v>
      </c>
      <c r="H246" s="8">
        <f>VLOOKUP(E246,'DVOA DATA'!$A$1:$AK$35,IF('Solver Model &amp; Output'!$M$3&lt;3,('Solver Model &amp; Output'!$M$3)*2,('Solver Model &amp; Output'!$M$3+1)*2), FALSE)</f>
        <v>-9.9000000000000005E-2</v>
      </c>
      <c r="I246" s="8">
        <f>VLOOKUP(F246,'DVOA DATA'!$A$1:$AK$35,IF('Solver Model &amp; Output'!$M$3&lt;3,('Solver Model &amp; Output'!$M$3)*2,('Solver Model &amp; Output'!$M$3+1)*2), FALSE)</f>
        <v>0.2</v>
      </c>
      <c r="J246" s="8">
        <f>VLOOKUP(E246,'DVOA DATA'!$A$1:$AK$35,IF('Solver Model &amp; Output'!$M$3&lt;3,(('Solver Model &amp; Output'!$M$3)*2)+1,(('Solver Model &amp; Output'!$M$3+1)*2)+1), FALSE)</f>
        <v>0.104</v>
      </c>
      <c r="K246" s="8">
        <f>VLOOKUP(F246,'DVOA DATA'!$A$1:$AK$35,IF('Solver Model &amp; Output'!$M$3&lt;3,(('Solver Model &amp; Output'!$M$3)*2)+1,(('Solver Model &amp; Output'!$M$3+1)*2)+1), FALSE)</f>
        <v>0.13800000000000001</v>
      </c>
      <c r="L246" s="42">
        <f t="shared" si="24"/>
        <v>-0.20300000000000001</v>
      </c>
      <c r="M246" s="42">
        <f t="shared" si="25"/>
        <v>6.2E-2</v>
      </c>
      <c r="N246">
        <f t="shared" si="26"/>
        <v>-0.26500000000000001</v>
      </c>
      <c r="O246" t="str">
        <f t="shared" si="23"/>
        <v>HOU</v>
      </c>
    </row>
    <row r="247" spans="1:15">
      <c r="A247">
        <v>2011</v>
      </c>
      <c r="B247" s="3">
        <v>17</v>
      </c>
      <c r="C247" s="7" t="str">
        <f t="shared" si="22"/>
        <v>IND</v>
      </c>
      <c r="D247" s="2">
        <f t="shared" si="27"/>
        <v>6.9999999999999993E-3</v>
      </c>
      <c r="E247" t="s">
        <v>66</v>
      </c>
      <c r="F247" t="s">
        <v>67</v>
      </c>
      <c r="H247" s="8">
        <f>VLOOKUP(E247,'DVOA DATA'!$A$1:$AK$35,IF('Solver Model &amp; Output'!$M$3&lt;3,('Solver Model &amp; Output'!$M$3)*2,('Solver Model &amp; Output'!$M$3+1)*2), FALSE)</f>
        <v>0.104</v>
      </c>
      <c r="I247" s="8">
        <f>VLOOKUP(F247,'DVOA DATA'!$A$1:$AK$35,IF('Solver Model &amp; Output'!$M$3&lt;3,('Solver Model &amp; Output'!$M$3)*2,('Solver Model &amp; Output'!$M$3+1)*2), FALSE)</f>
        <v>4.5999999999999999E-2</v>
      </c>
      <c r="J247" s="8">
        <f>VLOOKUP(E247,'DVOA DATA'!$A$1:$AK$35,IF('Solver Model &amp; Output'!$M$3&lt;3,(('Solver Model &amp; Output'!$M$3)*2)+1,(('Solver Model &amp; Output'!$M$3+1)*2)+1), FALSE)</f>
        <v>9.1999999999999998E-2</v>
      </c>
      <c r="K247" s="8">
        <f>VLOOKUP(F247,'DVOA DATA'!$A$1:$AK$35,IF('Solver Model &amp; Output'!$M$3&lt;3,(('Solver Model &amp; Output'!$M$3)*2)+1,(('Solver Model &amp; Output'!$M$3+1)*2)+1), FALSE)</f>
        <v>4.1000000000000002E-2</v>
      </c>
      <c r="L247" s="42">
        <f t="shared" si="24"/>
        <v>1.1999999999999997E-2</v>
      </c>
      <c r="M247" s="42">
        <f t="shared" si="25"/>
        <v>4.9999999999999975E-3</v>
      </c>
      <c r="N247">
        <f t="shared" si="26"/>
        <v>6.9999999999999993E-3</v>
      </c>
      <c r="O247" t="str">
        <f t="shared" si="23"/>
        <v>IND</v>
      </c>
    </row>
    <row r="248" spans="1:15">
      <c r="A248">
        <v>2011</v>
      </c>
      <c r="B248" s="3">
        <v>17</v>
      </c>
      <c r="C248" s="7" t="str">
        <f t="shared" si="22"/>
        <v>NYJ</v>
      </c>
      <c r="D248" s="2">
        <f t="shared" si="27"/>
        <v>8.8999999999999996E-2</v>
      </c>
      <c r="E248" t="s">
        <v>74</v>
      </c>
      <c r="F248" t="s">
        <v>69</v>
      </c>
      <c r="H248" s="8">
        <f>VLOOKUP(E248,'DVOA DATA'!$A$1:$AK$35,IF('Solver Model &amp; Output'!$M$3&lt;3,('Solver Model &amp; Output'!$M$3)*2,('Solver Model &amp; Output'!$M$3+1)*2), FALSE)</f>
        <v>-2.8000000000000001E-2</v>
      </c>
      <c r="I248" s="8">
        <f>VLOOKUP(F248,'DVOA DATA'!$A$1:$AK$35,IF('Solver Model &amp; Output'!$M$3&lt;3,('Solver Model &amp; Output'!$M$3)*2,('Solver Model &amp; Output'!$M$3+1)*2), FALSE)</f>
        <v>0.106</v>
      </c>
      <c r="J248" s="8">
        <f>VLOOKUP(E248,'DVOA DATA'!$A$1:$AK$35,IF('Solver Model &amp; Output'!$M$3&lt;3,(('Solver Model &amp; Output'!$M$3)*2)+1,(('Solver Model &amp; Output'!$M$3+1)*2)+1), FALSE)</f>
        <v>-0.20499999999999999</v>
      </c>
      <c r="K248" s="8">
        <f>VLOOKUP(F248,'DVOA DATA'!$A$1:$AK$35,IF('Solver Model &amp; Output'!$M$3&lt;3,(('Solver Model &amp; Output'!$M$3)*2)+1,(('Solver Model &amp; Output'!$M$3+1)*2)+1), FALSE)</f>
        <v>1.7999999999999999E-2</v>
      </c>
      <c r="L248" s="42">
        <f t="shared" si="24"/>
        <v>0.17699999999999999</v>
      </c>
      <c r="M248" s="42">
        <f t="shared" si="25"/>
        <v>8.7999999999999995E-2</v>
      </c>
      <c r="N248">
        <f t="shared" si="26"/>
        <v>8.8999999999999996E-2</v>
      </c>
      <c r="O248" t="str">
        <f t="shared" si="23"/>
        <v>NYJ</v>
      </c>
    </row>
    <row r="249" spans="1:15">
      <c r="A249">
        <v>2011</v>
      </c>
      <c r="B249" s="3">
        <v>17</v>
      </c>
      <c r="C249" s="7" t="str">
        <f t="shared" si="22"/>
        <v>CHI</v>
      </c>
      <c r="D249" s="2">
        <f t="shared" si="27"/>
        <v>3.9E-2</v>
      </c>
      <c r="E249" t="s">
        <v>58</v>
      </c>
      <c r="F249" t="s">
        <v>70</v>
      </c>
      <c r="H249" s="8">
        <f>VLOOKUP(E249,'DVOA DATA'!$A$1:$AK$35,IF('Solver Model &amp; Output'!$M$3&lt;3,('Solver Model &amp; Output'!$M$3)*2,('Solver Model &amp; Output'!$M$3+1)*2), FALSE)</f>
        <v>-0.06</v>
      </c>
      <c r="I249" s="8">
        <f>VLOOKUP(F249,'DVOA DATA'!$A$1:$AK$35,IF('Solver Model &amp; Output'!$M$3&lt;3,('Solver Model &amp; Output'!$M$3)*2,('Solver Model &amp; Output'!$M$3+1)*2), FALSE)</f>
        <v>5.7000000000000002E-2</v>
      </c>
      <c r="J249" s="8">
        <f>VLOOKUP(E249,'DVOA DATA'!$A$1:$AK$35,IF('Solver Model &amp; Output'!$M$3&lt;3,(('Solver Model &amp; Output'!$M$3)*2)+1,(('Solver Model &amp; Output'!$M$3+1)*2)+1), FALSE)</f>
        <v>-8.5999999999999993E-2</v>
      </c>
      <c r="K249" s="8">
        <f>VLOOKUP(F249,'DVOA DATA'!$A$1:$AK$35,IF('Solver Model &amp; Output'!$M$3&lt;3,(('Solver Model &amp; Output'!$M$3)*2)+1,(('Solver Model &amp; Output'!$M$3+1)*2)+1), FALSE)</f>
        <v>7.0000000000000007E-2</v>
      </c>
      <c r="L249" s="42">
        <f t="shared" si="24"/>
        <v>2.5999999999999995E-2</v>
      </c>
      <c r="M249" s="42">
        <f t="shared" si="25"/>
        <v>-1.3000000000000005E-2</v>
      </c>
      <c r="N249">
        <f t="shared" si="26"/>
        <v>3.9E-2</v>
      </c>
      <c r="O249" t="str">
        <f t="shared" si="23"/>
        <v>CHI</v>
      </c>
    </row>
    <row r="250" spans="1:15">
      <c r="A250">
        <v>2011</v>
      </c>
      <c r="B250" s="3">
        <v>17</v>
      </c>
      <c r="C250" s="7" t="str">
        <f t="shared" si="22"/>
        <v>NO</v>
      </c>
      <c r="D250" s="2">
        <f t="shared" si="27"/>
        <v>0.45400000000000001</v>
      </c>
      <c r="E250" t="s">
        <v>57</v>
      </c>
      <c r="F250" t="s">
        <v>72</v>
      </c>
      <c r="H250" s="8">
        <f>VLOOKUP(E250,'DVOA DATA'!$A$1:$AK$35,IF('Solver Model &amp; Output'!$M$3&lt;3,('Solver Model &amp; Output'!$M$3)*2,('Solver Model &amp; Output'!$M$3+1)*2), FALSE)</f>
        <v>-0.14099999999999999</v>
      </c>
      <c r="I250" s="8">
        <f>VLOOKUP(F250,'DVOA DATA'!$A$1:$AK$35,IF('Solver Model &amp; Output'!$M$3&lt;3,('Solver Model &amp; Output'!$M$3)*2,('Solver Model &amp; Output'!$M$3+1)*2), FALSE)</f>
        <v>0.19600000000000001</v>
      </c>
      <c r="J250" s="8">
        <f>VLOOKUP(E250,'DVOA DATA'!$A$1:$AK$35,IF('Solver Model &amp; Output'!$M$3&lt;3,(('Solver Model &amp; Output'!$M$3)*2)+1,(('Solver Model &amp; Output'!$M$3+1)*2)+1), FALSE)</f>
        <v>2.9000000000000001E-2</v>
      </c>
      <c r="K250" s="8">
        <f>VLOOKUP(F250,'DVOA DATA'!$A$1:$AK$35,IF('Solver Model &amp; Output'!$M$3&lt;3,(('Solver Model &amp; Output'!$M$3)*2)+1,(('Solver Model &amp; Output'!$M$3+1)*2)+1), FALSE)</f>
        <v>0.112</v>
      </c>
      <c r="L250" s="42">
        <f t="shared" si="24"/>
        <v>-0.16999999999999998</v>
      </c>
      <c r="M250" s="42">
        <f t="shared" si="25"/>
        <v>8.4000000000000005E-2</v>
      </c>
      <c r="N250">
        <f t="shared" si="26"/>
        <v>-0.254</v>
      </c>
      <c r="O250" t="str">
        <f t="shared" si="23"/>
        <v>NO</v>
      </c>
    </row>
    <row r="251" spans="1:15">
      <c r="A251">
        <v>2011</v>
      </c>
      <c r="B251" s="3">
        <v>17</v>
      </c>
      <c r="C251" s="7" t="str">
        <f t="shared" si="22"/>
        <v>NE</v>
      </c>
      <c r="D251" s="2">
        <f t="shared" si="27"/>
        <v>0.51800000000000002</v>
      </c>
      <c r="E251" t="s">
        <v>56</v>
      </c>
      <c r="F251" t="s">
        <v>71</v>
      </c>
      <c r="H251" s="8">
        <f>VLOOKUP(E251,'DVOA DATA'!$A$1:$AK$35,IF('Solver Model &amp; Output'!$M$3&lt;3,('Solver Model &amp; Output'!$M$3)*2,('Solver Model &amp; Output'!$M$3+1)*2), FALSE)</f>
        <v>-2.7E-2</v>
      </c>
      <c r="I251" s="8">
        <f>VLOOKUP(F251,'DVOA DATA'!$A$1:$AK$35,IF('Solver Model &amp; Output'!$M$3&lt;3,('Solver Model &amp; Output'!$M$3)*2,('Solver Model &amp; Output'!$M$3+1)*2), FALSE)</f>
        <v>0.309</v>
      </c>
      <c r="J251" s="8">
        <f>VLOOKUP(E251,'DVOA DATA'!$A$1:$AK$35,IF('Solver Model &amp; Output'!$M$3&lt;3,(('Solver Model &amp; Output'!$M$3)*2)+1,(('Solver Model &amp; Output'!$M$3+1)*2)+1), FALSE)</f>
        <v>1.9E-2</v>
      </c>
      <c r="K251" s="8">
        <f>VLOOKUP(F251,'DVOA DATA'!$A$1:$AK$35,IF('Solver Model &amp; Output'!$M$3&lt;3,(('Solver Model &amp; Output'!$M$3)*2)+1,(('Solver Model &amp; Output'!$M$3+1)*2)+1), FALSE)</f>
        <v>3.6999999999999998E-2</v>
      </c>
      <c r="L251" s="42">
        <f t="shared" si="24"/>
        <v>-4.5999999999999999E-2</v>
      </c>
      <c r="M251" s="42">
        <f t="shared" si="25"/>
        <v>0.27200000000000002</v>
      </c>
      <c r="N251">
        <f t="shared" si="26"/>
        <v>-0.318</v>
      </c>
      <c r="O251" t="str">
        <f t="shared" si="23"/>
        <v>NE</v>
      </c>
    </row>
    <row r="252" spans="1:15">
      <c r="A252">
        <v>2011</v>
      </c>
      <c r="B252" s="3">
        <v>17</v>
      </c>
      <c r="C252" s="7" t="str">
        <f t="shared" si="22"/>
        <v>NYG</v>
      </c>
      <c r="D252" s="2">
        <f t="shared" si="27"/>
        <v>0.33100000000000002</v>
      </c>
      <c r="E252" t="s">
        <v>61</v>
      </c>
      <c r="F252" t="s">
        <v>73</v>
      </c>
      <c r="H252" s="8">
        <f>VLOOKUP(E252,'DVOA DATA'!$A$1:$AK$35,IF('Solver Model &amp; Output'!$M$3&lt;3,('Solver Model &amp; Output'!$M$3)*2,('Solver Model &amp; Output'!$M$3+1)*2), FALSE)</f>
        <v>1.6E-2</v>
      </c>
      <c r="I252" s="8">
        <f>VLOOKUP(F252,'DVOA DATA'!$A$1:$AK$35,IF('Solver Model &amp; Output'!$M$3&lt;3,('Solver Model &amp; Output'!$M$3)*2,('Solver Model &amp; Output'!$M$3+1)*2), FALSE)</f>
        <v>5.8999999999999997E-2</v>
      </c>
      <c r="J252" s="8">
        <f>VLOOKUP(E252,'DVOA DATA'!$A$1:$AK$35,IF('Solver Model &amp; Output'!$M$3&lt;3,(('Solver Model &amp; Output'!$M$3)*2)+1,(('Solver Model &amp; Output'!$M$3+1)*2)+1), FALSE)</f>
        <v>8.8999999999999996E-2</v>
      </c>
      <c r="K252" s="8">
        <f>VLOOKUP(F252,'DVOA DATA'!$A$1:$AK$35,IF('Solver Model &amp; Output'!$M$3&lt;3,(('Solver Model &amp; Output'!$M$3)*2)+1,(('Solver Model &amp; Output'!$M$3+1)*2)+1), FALSE)</f>
        <v>1E-3</v>
      </c>
      <c r="L252" s="42">
        <f t="shared" si="24"/>
        <v>-7.2999999999999995E-2</v>
      </c>
      <c r="M252" s="42">
        <f t="shared" si="25"/>
        <v>5.7999999999999996E-2</v>
      </c>
      <c r="N252">
        <f t="shared" si="26"/>
        <v>-0.13100000000000001</v>
      </c>
      <c r="O252" t="str">
        <f t="shared" si="23"/>
        <v>NYG</v>
      </c>
    </row>
    <row r="253" spans="1:15">
      <c r="A253">
        <v>2011</v>
      </c>
      <c r="B253" s="3">
        <v>17</v>
      </c>
      <c r="C253" s="7" t="str">
        <f t="shared" si="22"/>
        <v>PHI</v>
      </c>
      <c r="D253" s="2">
        <f t="shared" si="27"/>
        <v>0.47900000000000004</v>
      </c>
      <c r="E253" t="s">
        <v>84</v>
      </c>
      <c r="F253" t="s">
        <v>76</v>
      </c>
      <c r="H253" s="8">
        <f>VLOOKUP(E253,'DVOA DATA'!$A$1:$AK$35,IF('Solver Model &amp; Output'!$M$3&lt;3,('Solver Model &amp; Output'!$M$3)*2,('Solver Model &amp; Output'!$M$3+1)*2), FALSE)</f>
        <v>-5.6000000000000001E-2</v>
      </c>
      <c r="I253" s="8">
        <f>VLOOKUP(F253,'DVOA DATA'!$A$1:$AK$35,IF('Solver Model &amp; Output'!$M$3&lt;3,('Solver Model &amp; Output'!$M$3)*2,('Solver Model &amp; Output'!$M$3+1)*2), FALSE)</f>
        <v>0.123</v>
      </c>
      <c r="J253" s="8">
        <f>VLOOKUP(E253,'DVOA DATA'!$A$1:$AK$35,IF('Solver Model &amp; Output'!$M$3&lt;3,(('Solver Model &amp; Output'!$M$3)*2)+1,(('Solver Model &amp; Output'!$M$3+1)*2)+1), FALSE)</f>
        <v>1.4999999999999999E-2</v>
      </c>
      <c r="K253" s="8">
        <f>VLOOKUP(F253,'DVOA DATA'!$A$1:$AK$35,IF('Solver Model &amp; Output'!$M$3&lt;3,(('Solver Model &amp; Output'!$M$3)*2)+1,(('Solver Model &amp; Output'!$M$3+1)*2)+1), FALSE)</f>
        <v>-8.5000000000000006E-2</v>
      </c>
      <c r="L253" s="42">
        <f t="shared" si="24"/>
        <v>-7.1000000000000008E-2</v>
      </c>
      <c r="M253" s="42">
        <f t="shared" si="25"/>
        <v>0.20800000000000002</v>
      </c>
      <c r="N253">
        <f t="shared" si="26"/>
        <v>-0.27900000000000003</v>
      </c>
      <c r="O253" t="str">
        <f t="shared" si="23"/>
        <v>PHI</v>
      </c>
    </row>
    <row r="254" spans="1:15">
      <c r="A254">
        <v>2011</v>
      </c>
      <c r="B254" s="3">
        <v>17</v>
      </c>
      <c r="C254" s="7" t="str">
        <f t="shared" si="22"/>
        <v>SF</v>
      </c>
      <c r="D254" s="2">
        <f t="shared" si="27"/>
        <v>3.7999999999999992E-2</v>
      </c>
      <c r="E254" t="s">
        <v>80</v>
      </c>
      <c r="F254" t="s">
        <v>81</v>
      </c>
      <c r="H254" s="8">
        <f>VLOOKUP(E254,'DVOA DATA'!$A$1:$AK$35,IF('Solver Model &amp; Output'!$M$3&lt;3,('Solver Model &amp; Output'!$M$3)*2,('Solver Model &amp; Output'!$M$3+1)*2), FALSE)</f>
        <v>-5.8999999999999997E-2</v>
      </c>
      <c r="I254" s="8">
        <f>VLOOKUP(F254,'DVOA DATA'!$A$1:$AK$35,IF('Solver Model &amp; Output'!$M$3&lt;3,('Solver Model &amp; Output'!$M$3)*2,('Solver Model &amp; Output'!$M$3+1)*2), FALSE)</f>
        <v>-0.14799999999999999</v>
      </c>
      <c r="J254" s="8">
        <f>VLOOKUP(E254,'DVOA DATA'!$A$1:$AK$35,IF('Solver Model &amp; Output'!$M$3&lt;3,(('Solver Model &amp; Output'!$M$3)*2)+1,(('Solver Model &amp; Output'!$M$3+1)*2)+1), FALSE)</f>
        <v>1.4E-2</v>
      </c>
      <c r="K254" s="8">
        <f>VLOOKUP(F254,'DVOA DATA'!$A$1:$AK$35,IF('Solver Model &amp; Output'!$M$3&lt;3,(('Solver Model &amp; Output'!$M$3)*2)+1,(('Solver Model &amp; Output'!$M$3+1)*2)+1), FALSE)</f>
        <v>-3.6999999999999998E-2</v>
      </c>
      <c r="L254" s="42">
        <f t="shared" si="24"/>
        <v>-7.2999999999999995E-2</v>
      </c>
      <c r="M254" s="42">
        <f t="shared" si="25"/>
        <v>-0.11099999999999999</v>
      </c>
      <c r="N254">
        <f t="shared" si="26"/>
        <v>3.7999999999999992E-2</v>
      </c>
      <c r="O254" t="str">
        <f t="shared" si="23"/>
        <v>SF</v>
      </c>
    </row>
    <row r="255" spans="1:15">
      <c r="A255">
        <v>2011</v>
      </c>
      <c r="B255" s="3">
        <v>17</v>
      </c>
      <c r="C255" s="7" t="str">
        <f t="shared" si="22"/>
        <v>ARI</v>
      </c>
      <c r="D255" s="2">
        <f t="shared" si="27"/>
        <v>0.27300000000000002</v>
      </c>
      <c r="E255" t="s">
        <v>79</v>
      </c>
      <c r="F255" t="s">
        <v>53</v>
      </c>
      <c r="H255" s="8">
        <f>VLOOKUP(E255,'DVOA DATA'!$A$1:$AK$35,IF('Solver Model &amp; Output'!$M$3&lt;3,('Solver Model &amp; Output'!$M$3)*2,('Solver Model &amp; Output'!$M$3+1)*2), FALSE)</f>
        <v>-0.23699999999999999</v>
      </c>
      <c r="I255" s="8">
        <f>VLOOKUP(F255,'DVOA DATA'!$A$1:$AK$35,IF('Solver Model &amp; Output'!$M$3&lt;3,('Solver Model &amp; Output'!$M$3)*2,('Solver Model &amp; Output'!$M$3+1)*2), FALSE)</f>
        <v>-4.8000000000000001E-2</v>
      </c>
      <c r="J255" s="8">
        <f>VLOOKUP(E255,'DVOA DATA'!$A$1:$AK$35,IF('Solver Model &amp; Output'!$M$3&lt;3,(('Solver Model &amp; Output'!$M$3)*2)+1,(('Solver Model &amp; Output'!$M$3+1)*2)+1), FALSE)</f>
        <v>-2.4E-2</v>
      </c>
      <c r="K255" s="8">
        <f>VLOOKUP(F255,'DVOA DATA'!$A$1:$AK$35,IF('Solver Model &amp; Output'!$M$3&lt;3,(('Solver Model &amp; Output'!$M$3)*2)+1,(('Solver Model &amp; Output'!$M$3+1)*2)+1), FALSE)</f>
        <v>9.1999999999999998E-2</v>
      </c>
      <c r="L255" s="42">
        <f t="shared" si="24"/>
        <v>-0.21299999999999999</v>
      </c>
      <c r="M255" s="42">
        <f t="shared" si="25"/>
        <v>-0.14000000000000001</v>
      </c>
      <c r="N255">
        <f t="shared" si="26"/>
        <v>-7.2999999999999982E-2</v>
      </c>
      <c r="O255" t="str">
        <f t="shared" si="23"/>
        <v>ARI</v>
      </c>
    </row>
    <row r="256" spans="1:15">
      <c r="A256">
        <v>2011</v>
      </c>
      <c r="B256" s="3">
        <v>17</v>
      </c>
      <c r="C256" s="7" t="str">
        <f t="shared" si="22"/>
        <v>KC</v>
      </c>
      <c r="D256" s="2">
        <f t="shared" si="27"/>
        <v>2.8999999999999998E-2</v>
      </c>
      <c r="E256" t="s">
        <v>68</v>
      </c>
      <c r="F256" t="s">
        <v>62</v>
      </c>
      <c r="H256" s="8">
        <f>VLOOKUP(E256,'DVOA DATA'!$A$1:$AK$35,IF('Solver Model &amp; Output'!$M$3&lt;3,('Solver Model &amp; Output'!$M$3)*2,('Solver Model &amp; Output'!$M$3+1)*2), FALSE)</f>
        <v>-4.7E-2</v>
      </c>
      <c r="I256" s="8">
        <f>VLOOKUP(F256,'DVOA DATA'!$A$1:$AK$35,IF('Solver Model &amp; Output'!$M$3&lt;3,('Solver Model &amp; Output'!$M$3)*2,('Solver Model &amp; Output'!$M$3+1)*2), FALSE)</f>
        <v>-4.2999999999999997E-2</v>
      </c>
      <c r="J256" s="8">
        <f>VLOOKUP(E256,'DVOA DATA'!$A$1:$AK$35,IF('Solver Model &amp; Output'!$M$3&lt;3,(('Solver Model &amp; Output'!$M$3)*2)+1,(('Solver Model &amp; Output'!$M$3+1)*2)+1), FALSE)</f>
        <v>7.2999999999999995E-2</v>
      </c>
      <c r="K256" s="8">
        <f>VLOOKUP(F256,'DVOA DATA'!$A$1:$AK$35,IF('Solver Model &amp; Output'!$M$3&lt;3,(('Solver Model &amp; Output'!$M$3)*2)+1,(('Solver Model &amp; Output'!$M$3+1)*2)+1), FALSE)</f>
        <v>0.106</v>
      </c>
      <c r="L256" s="42">
        <f t="shared" si="24"/>
        <v>-0.12</v>
      </c>
      <c r="M256" s="42">
        <f t="shared" si="25"/>
        <v>-0.14899999999999999</v>
      </c>
      <c r="N256">
        <f t="shared" si="26"/>
        <v>2.8999999999999998E-2</v>
      </c>
      <c r="O256" t="str">
        <f t="shared" si="23"/>
        <v>KC</v>
      </c>
    </row>
    <row r="257" spans="1:15">
      <c r="A257">
        <v>2011</v>
      </c>
      <c r="B257" s="3">
        <v>17</v>
      </c>
      <c r="C257" s="7" t="str">
        <f t="shared" si="22"/>
        <v>SD</v>
      </c>
      <c r="D257" s="2">
        <f t="shared" si="27"/>
        <v>0.36</v>
      </c>
      <c r="E257" t="s">
        <v>78</v>
      </c>
      <c r="F257" t="s">
        <v>75</v>
      </c>
      <c r="H257" s="8">
        <f>VLOOKUP(E257,'DVOA DATA'!$A$1:$AK$35,IF('Solver Model &amp; Output'!$M$3&lt;3,('Solver Model &amp; Output'!$M$3)*2,('Solver Model &amp; Output'!$M$3+1)*2), FALSE)</f>
        <v>0.32600000000000001</v>
      </c>
      <c r="I257" s="8">
        <f>VLOOKUP(F257,'DVOA DATA'!$A$1:$AK$35,IF('Solver Model &amp; Output'!$M$3&lt;3,('Solver Model &amp; Output'!$M$3)*2,('Solver Model &amp; Output'!$M$3+1)*2), FALSE)</f>
        <v>-8.6999999999999994E-2</v>
      </c>
      <c r="J257" s="8">
        <f>VLOOKUP(E257,'DVOA DATA'!$A$1:$AK$35,IF('Solver Model &amp; Output'!$M$3&lt;3,(('Solver Model &amp; Output'!$M$3)*2)+1,(('Solver Model &amp; Output'!$M$3+1)*2)+1), FALSE)</f>
        <v>0.11799999999999999</v>
      </c>
      <c r="K257" s="8">
        <f>VLOOKUP(F257,'DVOA DATA'!$A$1:$AK$35,IF('Solver Model &amp; Output'!$M$3&lt;3,(('Solver Model &amp; Output'!$M$3)*2)+1,(('Solver Model &amp; Output'!$M$3+1)*2)+1), FALSE)</f>
        <v>6.5000000000000002E-2</v>
      </c>
      <c r="L257" s="42">
        <f t="shared" si="24"/>
        <v>0.20800000000000002</v>
      </c>
      <c r="M257" s="42">
        <f t="shared" si="25"/>
        <v>-0.152</v>
      </c>
      <c r="N257">
        <f t="shared" si="26"/>
        <v>0.36</v>
      </c>
      <c r="O257" t="str">
        <f t="shared" si="23"/>
        <v>SD</v>
      </c>
    </row>
  </sheetData>
  <pageMargins left="0.7" right="0.7" top="0.75" bottom="0.75" header="0.3" footer="0.3"/>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codeName="Sheet4" enableFormatConditionsCalculation="0"/>
  <dimension ref="A1:AK35"/>
  <sheetViews>
    <sheetView workbookViewId="0">
      <selection activeCell="C23" sqref="C23"/>
    </sheetView>
  </sheetViews>
  <sheetFormatPr defaultColWidth="8.77734375" defaultRowHeight="14.4"/>
  <cols>
    <col min="1" max="16384" width="8.77734375" style="2"/>
  </cols>
  <sheetData>
    <row r="1" spans="1:37">
      <c r="B1" s="45" t="s">
        <v>130</v>
      </c>
      <c r="C1" s="45"/>
      <c r="D1" s="45" t="s">
        <v>0</v>
      </c>
      <c r="E1" s="45"/>
      <c r="F1" s="45" t="s">
        <v>1</v>
      </c>
      <c r="G1" s="45"/>
      <c r="H1" s="45" t="s">
        <v>2</v>
      </c>
      <c r="I1" s="45"/>
      <c r="J1" s="45" t="s">
        <v>3</v>
      </c>
      <c r="K1" s="45"/>
      <c r="L1" s="45" t="s">
        <v>4</v>
      </c>
      <c r="M1" s="45"/>
      <c r="N1" s="45" t="s">
        <v>5</v>
      </c>
      <c r="O1" s="45"/>
      <c r="P1" s="45" t="s">
        <v>6</v>
      </c>
      <c r="Q1" s="45"/>
      <c r="R1" s="45" t="s">
        <v>7</v>
      </c>
      <c r="S1" s="45"/>
      <c r="T1" s="45" t="s">
        <v>8</v>
      </c>
      <c r="U1" s="45"/>
      <c r="V1" s="45" t="s">
        <v>9</v>
      </c>
      <c r="W1" s="45"/>
      <c r="X1" s="45" t="s">
        <v>10</v>
      </c>
      <c r="Y1" s="45"/>
      <c r="Z1" s="45" t="s">
        <v>11</v>
      </c>
      <c r="AA1" s="45"/>
      <c r="AB1" s="45" t="s">
        <v>12</v>
      </c>
      <c r="AC1" s="45"/>
      <c r="AD1" s="45" t="s">
        <v>13</v>
      </c>
      <c r="AE1" s="45"/>
      <c r="AF1" s="45" t="s">
        <v>14</v>
      </c>
      <c r="AG1" s="45"/>
      <c r="AH1" s="45" t="s">
        <v>15</v>
      </c>
      <c r="AI1" s="45"/>
      <c r="AJ1" s="45" t="s">
        <v>16</v>
      </c>
      <c r="AK1" s="45"/>
    </row>
    <row r="2" spans="1:37">
      <c r="B2" s="2" t="s">
        <v>131</v>
      </c>
      <c r="C2" s="2" t="s">
        <v>132</v>
      </c>
      <c r="D2" s="2" t="s">
        <v>131</v>
      </c>
      <c r="E2" s="2" t="s">
        <v>132</v>
      </c>
      <c r="F2" s="2" t="s">
        <v>131</v>
      </c>
      <c r="G2" s="2" t="s">
        <v>132</v>
      </c>
      <c r="H2" s="2" t="s">
        <v>131</v>
      </c>
      <c r="I2" s="2" t="s">
        <v>132</v>
      </c>
      <c r="J2" s="2" t="s">
        <v>131</v>
      </c>
      <c r="K2" s="2" t="s">
        <v>132</v>
      </c>
      <c r="L2" s="2" t="s">
        <v>131</v>
      </c>
      <c r="M2" s="2" t="s">
        <v>132</v>
      </c>
      <c r="N2" s="2" t="s">
        <v>131</v>
      </c>
      <c r="O2" s="2" t="s">
        <v>132</v>
      </c>
      <c r="P2" s="2" t="s">
        <v>131</v>
      </c>
      <c r="Q2" s="2" t="s">
        <v>132</v>
      </c>
      <c r="R2" s="2" t="s">
        <v>131</v>
      </c>
      <c r="S2" s="2" t="s">
        <v>132</v>
      </c>
      <c r="T2" s="2" t="s">
        <v>131</v>
      </c>
      <c r="U2" s="2" t="s">
        <v>132</v>
      </c>
      <c r="V2" s="2" t="s">
        <v>131</v>
      </c>
      <c r="W2" s="2" t="s">
        <v>132</v>
      </c>
      <c r="X2" s="2" t="s">
        <v>131</v>
      </c>
      <c r="Y2" s="2" t="s">
        <v>132</v>
      </c>
      <c r="Z2" s="2" t="s">
        <v>131</v>
      </c>
      <c r="AA2" s="2" t="s">
        <v>132</v>
      </c>
      <c r="AB2" s="2" t="s">
        <v>131</v>
      </c>
      <c r="AC2" s="2" t="s">
        <v>132</v>
      </c>
      <c r="AD2" s="2" t="s">
        <v>131</v>
      </c>
      <c r="AE2" s="2" t="s">
        <v>132</v>
      </c>
      <c r="AF2" s="2" t="s">
        <v>131</v>
      </c>
      <c r="AG2" s="2" t="s">
        <v>132</v>
      </c>
      <c r="AH2" s="2" t="s">
        <v>131</v>
      </c>
      <c r="AI2" s="2" t="s">
        <v>132</v>
      </c>
      <c r="AJ2" s="2" t="s">
        <v>131</v>
      </c>
      <c r="AK2" s="2" t="s">
        <v>132</v>
      </c>
    </row>
    <row r="3" spans="1:37">
      <c r="A3" s="2" t="s">
        <v>133</v>
      </c>
      <c r="B3" s="2" t="s">
        <v>134</v>
      </c>
      <c r="C3" s="2" t="s">
        <v>134</v>
      </c>
      <c r="D3" s="2" t="s">
        <v>134</v>
      </c>
      <c r="E3" s="2" t="s">
        <v>134</v>
      </c>
      <c r="F3" s="2" t="s">
        <v>134</v>
      </c>
      <c r="G3" s="2" t="s">
        <v>134</v>
      </c>
      <c r="H3" s="2" t="s">
        <v>134</v>
      </c>
      <c r="I3" s="2" t="s">
        <v>134</v>
      </c>
      <c r="J3" s="2" t="s">
        <v>134</v>
      </c>
      <c r="K3" s="2" t="s">
        <v>134</v>
      </c>
      <c r="L3" s="2" t="s">
        <v>134</v>
      </c>
      <c r="M3" s="2" t="s">
        <v>134</v>
      </c>
      <c r="N3" s="2" t="s">
        <v>134</v>
      </c>
      <c r="O3" s="2" t="s">
        <v>134</v>
      </c>
      <c r="P3" s="2" t="s">
        <v>134</v>
      </c>
      <c r="Q3" s="2" t="s">
        <v>134</v>
      </c>
      <c r="R3" s="2" t="s">
        <v>134</v>
      </c>
      <c r="S3" s="2" t="s">
        <v>134</v>
      </c>
      <c r="T3" s="2" t="s">
        <v>134</v>
      </c>
      <c r="U3" s="2" t="s">
        <v>134</v>
      </c>
      <c r="V3" s="2" t="s">
        <v>134</v>
      </c>
      <c r="W3" s="2" t="s">
        <v>134</v>
      </c>
      <c r="X3" s="2" t="s">
        <v>134</v>
      </c>
      <c r="Y3" s="2" t="s">
        <v>134</v>
      </c>
      <c r="Z3" s="2" t="s">
        <v>134</v>
      </c>
      <c r="AA3" s="2" t="s">
        <v>134</v>
      </c>
      <c r="AB3" s="2" t="s">
        <v>134</v>
      </c>
      <c r="AC3" s="2" t="s">
        <v>134</v>
      </c>
      <c r="AD3" s="2" t="s">
        <v>134</v>
      </c>
      <c r="AE3" s="2" t="s">
        <v>134</v>
      </c>
      <c r="AF3" s="2" t="s">
        <v>134</v>
      </c>
      <c r="AG3" s="2" t="s">
        <v>134</v>
      </c>
      <c r="AH3" s="2" t="s">
        <v>134</v>
      </c>
      <c r="AI3" s="2" t="s">
        <v>134</v>
      </c>
      <c r="AJ3" s="2" t="s">
        <v>134</v>
      </c>
      <c r="AK3" s="2" t="s">
        <v>134</v>
      </c>
    </row>
    <row r="4" spans="1:37">
      <c r="A4" s="2" t="s">
        <v>53</v>
      </c>
      <c r="B4" s="2">
        <v>-4.8000000000000001E-2</v>
      </c>
      <c r="C4" s="2">
        <v>9.1999999999999998E-2</v>
      </c>
      <c r="D4" s="2">
        <v>0.17399999999999999</v>
      </c>
      <c r="E4" s="2">
        <v>0.29099999999999998</v>
      </c>
      <c r="F4" s="2">
        <v>0.13800000000000001</v>
      </c>
      <c r="G4" s="2">
        <v>0.14199999999999999</v>
      </c>
      <c r="H4" s="2">
        <v>2.3E-2</v>
      </c>
      <c r="I4" s="2">
        <v>8.7999999999999995E-2</v>
      </c>
      <c r="J4" s="2">
        <v>5.0000000000000001E-3</v>
      </c>
      <c r="K4" s="2">
        <v>0.13700000000000001</v>
      </c>
      <c r="L4" s="2">
        <v>-0.105</v>
      </c>
      <c r="M4" s="2">
        <v>0.17299999999999999</v>
      </c>
      <c r="N4" s="2">
        <v>-0.115</v>
      </c>
      <c r="O4" s="2">
        <v>0.186</v>
      </c>
      <c r="P4" s="2">
        <v>-8.5999999999999993E-2</v>
      </c>
      <c r="Q4" s="2">
        <v>0.221</v>
      </c>
      <c r="R4" s="2">
        <v>-9.1999999999999998E-2</v>
      </c>
      <c r="S4" s="2">
        <v>0.20699999999999999</v>
      </c>
      <c r="T4" s="2">
        <v>-0.113</v>
      </c>
      <c r="U4" s="2">
        <v>0.193</v>
      </c>
      <c r="V4" s="2">
        <v>-0.106</v>
      </c>
      <c r="W4" s="2">
        <v>0.14799999999999999</v>
      </c>
      <c r="X4" s="2">
        <v>-0.14399999999999999</v>
      </c>
      <c r="Y4" s="2">
        <v>0.13700000000000001</v>
      </c>
      <c r="Z4" s="2">
        <v>-0.16900000000000001</v>
      </c>
      <c r="AA4" s="2">
        <v>0.13100000000000001</v>
      </c>
    </row>
    <row r="5" spans="1:37">
      <c r="A5" s="2" t="s">
        <v>54</v>
      </c>
      <c r="B5" s="2">
        <v>0.13</v>
      </c>
      <c r="C5" s="2">
        <v>3.5999999999999997E-2</v>
      </c>
      <c r="D5" s="2">
        <v>-0.04</v>
      </c>
      <c r="E5" s="2">
        <v>-0.107</v>
      </c>
      <c r="F5" s="2">
        <v>3.1E-2</v>
      </c>
      <c r="G5" s="2">
        <v>2E-3</v>
      </c>
      <c r="H5" s="2">
        <v>2.1999999999999999E-2</v>
      </c>
      <c r="I5" s="2">
        <v>-4.8000000000000001E-2</v>
      </c>
      <c r="J5" s="2">
        <v>6.3E-2</v>
      </c>
      <c r="K5" s="2">
        <v>1.2E-2</v>
      </c>
      <c r="L5" s="2">
        <v>6.4000000000000001E-2</v>
      </c>
      <c r="M5" s="2">
        <v>3.9E-2</v>
      </c>
      <c r="N5" s="2">
        <v>0.107</v>
      </c>
      <c r="O5" s="2">
        <v>-8.0000000000000002E-3</v>
      </c>
      <c r="P5" s="2">
        <v>6.7000000000000004E-2</v>
      </c>
      <c r="Q5" s="2">
        <v>-2.1000000000000001E-2</v>
      </c>
      <c r="R5" s="2">
        <v>7.2999999999999995E-2</v>
      </c>
      <c r="S5" s="2">
        <v>-4.2000000000000003E-2</v>
      </c>
      <c r="T5" s="2">
        <v>7.5999999999999998E-2</v>
      </c>
      <c r="U5" s="2">
        <v>-8.2000000000000003E-2</v>
      </c>
      <c r="V5" s="2">
        <v>5.6000000000000001E-2</v>
      </c>
      <c r="W5" s="2">
        <v>-6.9000000000000006E-2</v>
      </c>
      <c r="X5" s="2">
        <v>7.9000000000000001E-2</v>
      </c>
      <c r="Y5" s="2">
        <v>-6.5000000000000002E-2</v>
      </c>
      <c r="Z5" s="2">
        <v>0.10299999999999999</v>
      </c>
      <c r="AA5" s="2">
        <v>-6.9000000000000006E-2</v>
      </c>
    </row>
    <row r="6" spans="1:37">
      <c r="A6" s="2" t="s">
        <v>55</v>
      </c>
      <c r="B6" s="2">
        <v>0.114</v>
      </c>
      <c r="C6" s="2">
        <v>0.01</v>
      </c>
      <c r="D6" s="2">
        <v>0.438</v>
      </c>
      <c r="E6" s="2">
        <v>-0.53500000000000003</v>
      </c>
      <c r="F6" s="2">
        <v>-2.5000000000000001E-2</v>
      </c>
      <c r="G6" s="2">
        <v>-0.20100000000000001</v>
      </c>
      <c r="H6" s="2">
        <v>7.5999999999999998E-2</v>
      </c>
      <c r="I6" s="2">
        <v>-0.214</v>
      </c>
      <c r="J6" s="2">
        <v>-1.0999999999999999E-2</v>
      </c>
      <c r="K6" s="2">
        <v>-0.30099999999999999</v>
      </c>
      <c r="L6" s="2">
        <v>-2.5000000000000001E-2</v>
      </c>
      <c r="M6" s="2">
        <v>-0.30599999999999999</v>
      </c>
      <c r="N6" s="2">
        <v>1E-3</v>
      </c>
      <c r="O6" s="2">
        <v>-0.29499999999999998</v>
      </c>
      <c r="P6" s="2">
        <v>-7.0000000000000007E-2</v>
      </c>
      <c r="Q6" s="2">
        <v>-0.309</v>
      </c>
      <c r="R6" s="2">
        <v>-0.04</v>
      </c>
      <c r="S6" s="2">
        <v>-0.29799999999999999</v>
      </c>
      <c r="T6" s="2">
        <v>-4.0000000000000001E-3</v>
      </c>
      <c r="U6" s="2">
        <v>-0.26400000000000001</v>
      </c>
      <c r="V6" s="2">
        <v>2.4E-2</v>
      </c>
      <c r="W6" s="2">
        <v>-0.23300000000000001</v>
      </c>
      <c r="X6" s="2">
        <v>2.7E-2</v>
      </c>
      <c r="Y6" s="2">
        <v>-0.183</v>
      </c>
      <c r="Z6" s="2">
        <v>6.3E-2</v>
      </c>
      <c r="AA6" s="2">
        <v>-0.19400000000000001</v>
      </c>
    </row>
    <row r="7" spans="1:37">
      <c r="A7" s="2" t="s">
        <v>56</v>
      </c>
      <c r="B7" s="2">
        <v>-2.7E-2</v>
      </c>
      <c r="C7" s="2">
        <v>1.9E-2</v>
      </c>
      <c r="D7" s="2">
        <v>0.28399999999999997</v>
      </c>
      <c r="E7" s="2">
        <v>-0.35799999999999998</v>
      </c>
      <c r="F7" s="2">
        <v>0.47799999999999998</v>
      </c>
      <c r="G7" s="2">
        <v>0.124</v>
      </c>
      <c r="H7" s="2">
        <v>0.51500000000000001</v>
      </c>
      <c r="I7" s="2">
        <v>9.5000000000000001E-2</v>
      </c>
      <c r="J7" s="2">
        <v>0.39200000000000002</v>
      </c>
      <c r="K7" s="2">
        <v>5.6000000000000001E-2</v>
      </c>
      <c r="L7" s="2">
        <v>0.34699999999999998</v>
      </c>
      <c r="M7" s="2">
        <v>2.4E-2</v>
      </c>
      <c r="N7" s="2">
        <v>0.313</v>
      </c>
      <c r="O7" s="2">
        <v>8.1000000000000003E-2</v>
      </c>
      <c r="P7" s="2">
        <v>0.318</v>
      </c>
      <c r="Q7" s="2">
        <v>8.5999999999999993E-2</v>
      </c>
      <c r="R7" s="2">
        <v>0.29599999999999999</v>
      </c>
      <c r="S7" s="2">
        <v>2.1999999999999999E-2</v>
      </c>
      <c r="T7" s="2">
        <v>0.22</v>
      </c>
      <c r="U7" s="2">
        <v>7.1999999999999995E-2</v>
      </c>
      <c r="V7" s="2">
        <v>0.16300000000000001</v>
      </c>
      <c r="W7" s="2">
        <v>0.121</v>
      </c>
      <c r="X7" s="2">
        <v>7.2999999999999995E-2</v>
      </c>
      <c r="Y7" s="2">
        <v>0.11600000000000001</v>
      </c>
      <c r="Z7" s="2">
        <v>0.1</v>
      </c>
      <c r="AA7" s="2">
        <v>0.129</v>
      </c>
    </row>
    <row r="8" spans="1:37">
      <c r="A8" s="2" t="s">
        <v>57</v>
      </c>
      <c r="B8" s="2">
        <v>-0.14099999999999999</v>
      </c>
      <c r="C8" s="2">
        <v>2.9000000000000001E-2</v>
      </c>
      <c r="D8" s="2">
        <v>0.183</v>
      </c>
      <c r="E8" s="2">
        <v>0.32500000000000001</v>
      </c>
      <c r="F8" s="2">
        <v>0.127</v>
      </c>
      <c r="G8" s="2">
        <v>0.35099999999999998</v>
      </c>
      <c r="H8" s="2">
        <v>0.106</v>
      </c>
      <c r="I8" s="2">
        <v>0.186</v>
      </c>
      <c r="J8" s="2">
        <v>0.16200000000000001</v>
      </c>
      <c r="K8" s="2">
        <v>0.192</v>
      </c>
      <c r="L8" s="2">
        <v>0.183</v>
      </c>
      <c r="M8" s="2">
        <v>0.19800000000000001</v>
      </c>
      <c r="N8" s="2">
        <v>0.129</v>
      </c>
      <c r="O8" s="2">
        <v>0.22800000000000001</v>
      </c>
      <c r="P8" s="2">
        <v>0.17499999999999999</v>
      </c>
      <c r="Q8" s="2">
        <v>0.182</v>
      </c>
      <c r="R8" s="2">
        <v>0.192</v>
      </c>
      <c r="S8" s="2">
        <v>0.21</v>
      </c>
      <c r="T8" s="2">
        <v>0.20100000000000001</v>
      </c>
      <c r="U8" s="2">
        <v>0.21</v>
      </c>
      <c r="V8" s="2">
        <v>0.156</v>
      </c>
      <c r="W8" s="2">
        <v>0.21</v>
      </c>
      <c r="X8" s="2">
        <v>0.15</v>
      </c>
      <c r="Y8" s="2">
        <v>0.251</v>
      </c>
      <c r="Z8" s="2">
        <v>0.154</v>
      </c>
      <c r="AA8" s="2">
        <v>0.217</v>
      </c>
    </row>
    <row r="9" spans="1:37">
      <c r="A9" s="2" t="s">
        <v>58</v>
      </c>
      <c r="B9" s="2">
        <v>-0.06</v>
      </c>
      <c r="C9" s="2">
        <v>-8.5999999999999993E-2</v>
      </c>
      <c r="D9" s="2">
        <v>-2.5000000000000001E-2</v>
      </c>
      <c r="E9" s="2">
        <v>-8.3000000000000004E-2</v>
      </c>
      <c r="F9" s="2">
        <v>-0.25</v>
      </c>
      <c r="G9" s="2">
        <v>5.8999999999999997E-2</v>
      </c>
      <c r="H9" s="2">
        <v>-0.224</v>
      </c>
      <c r="I9" s="2">
        <v>0.1</v>
      </c>
      <c r="J9" s="2">
        <v>-0.123</v>
      </c>
      <c r="K9" s="2">
        <v>0.123</v>
      </c>
      <c r="L9" s="2">
        <v>-9.0999999999999998E-2</v>
      </c>
      <c r="M9" s="2">
        <v>0.14199999999999999</v>
      </c>
      <c r="N9" s="2">
        <v>-3.6999999999999998E-2</v>
      </c>
      <c r="O9" s="2">
        <v>0.107</v>
      </c>
      <c r="P9" s="2">
        <v>-4.2000000000000003E-2</v>
      </c>
      <c r="Q9" s="2">
        <v>0</v>
      </c>
      <c r="R9" s="2">
        <v>-3.9E-2</v>
      </c>
      <c r="S9" s="2">
        <v>-0.01</v>
      </c>
      <c r="T9" s="2">
        <v>-7.0000000000000001E-3</v>
      </c>
      <c r="U9" s="2">
        <v>-3.1E-2</v>
      </c>
      <c r="V9" s="2">
        <v>-2.9000000000000001E-2</v>
      </c>
      <c r="W9" s="2">
        <v>-0.09</v>
      </c>
      <c r="X9" s="2">
        <v>-8.9999999999999993E-3</v>
      </c>
      <c r="Y9" s="2">
        <v>-9.9000000000000005E-2</v>
      </c>
      <c r="Z9" s="2">
        <v>-2.5999999999999999E-2</v>
      </c>
      <c r="AA9" s="2">
        <v>-0.108</v>
      </c>
    </row>
    <row r="10" spans="1:37">
      <c r="A10" s="2" t="s">
        <v>59</v>
      </c>
      <c r="B10" s="2">
        <v>-6.3E-2</v>
      </c>
      <c r="C10" s="2">
        <v>4.9000000000000002E-2</v>
      </c>
      <c r="D10" s="2">
        <v>-4.0000000000000001E-3</v>
      </c>
      <c r="E10" s="2">
        <v>-0.24399999999999999</v>
      </c>
      <c r="F10" s="2">
        <v>0.17100000000000001</v>
      </c>
      <c r="G10" s="2">
        <v>-9.4E-2</v>
      </c>
      <c r="H10" s="2">
        <v>2.5000000000000001E-2</v>
      </c>
      <c r="I10" s="2">
        <v>-0.14599999999999999</v>
      </c>
      <c r="J10" s="2">
        <v>7.0000000000000001E-3</v>
      </c>
      <c r="K10" s="2">
        <v>-9.9000000000000005E-2</v>
      </c>
      <c r="L10" s="2">
        <v>-7.0000000000000001E-3</v>
      </c>
      <c r="M10" s="2">
        <v>-8.5999999999999993E-2</v>
      </c>
      <c r="N10" s="2">
        <v>3.5000000000000003E-2</v>
      </c>
      <c r="O10" s="2">
        <v>-7.0999999999999994E-2</v>
      </c>
      <c r="P10" s="2">
        <v>3.6999999999999998E-2</v>
      </c>
      <c r="Q10" s="2">
        <v>-6.2E-2</v>
      </c>
      <c r="R10" s="2">
        <v>4.1000000000000002E-2</v>
      </c>
      <c r="S10" s="2">
        <v>-2.9000000000000001E-2</v>
      </c>
      <c r="T10" s="2">
        <v>5.6000000000000001E-2</v>
      </c>
      <c r="U10" s="2">
        <v>-2E-3</v>
      </c>
      <c r="V10" s="2">
        <v>3.6999999999999998E-2</v>
      </c>
      <c r="W10" s="2">
        <v>1.2999999999999999E-2</v>
      </c>
      <c r="X10" s="2">
        <v>7.2999999999999995E-2</v>
      </c>
      <c r="Y10" s="2">
        <v>3.5999999999999997E-2</v>
      </c>
      <c r="Z10" s="2">
        <v>7.5999999999999998E-2</v>
      </c>
      <c r="AA10" s="2">
        <v>3.5999999999999997E-2</v>
      </c>
    </row>
    <row r="11" spans="1:37">
      <c r="A11" s="2" t="s">
        <v>60</v>
      </c>
      <c r="B11" s="2">
        <v>-0.03</v>
      </c>
      <c r="C11" s="2">
        <v>4.8000000000000001E-2</v>
      </c>
      <c r="D11" s="2">
        <v>-0.252</v>
      </c>
      <c r="E11" s="2">
        <v>-6.8000000000000005E-2</v>
      </c>
      <c r="F11" s="2">
        <v>-0.17499999999999999</v>
      </c>
      <c r="G11" s="2">
        <v>-3.2000000000000001E-2</v>
      </c>
      <c r="H11" s="2">
        <v>-0.115</v>
      </c>
      <c r="I11" s="2">
        <v>-2.5000000000000001E-2</v>
      </c>
      <c r="J11" s="2">
        <v>-4.5999999999999999E-2</v>
      </c>
      <c r="K11" s="2">
        <v>6.8000000000000005E-2</v>
      </c>
      <c r="L11" s="2">
        <v>-7.5999999999999998E-2</v>
      </c>
      <c r="M11" s="2">
        <v>7.1999999999999995E-2</v>
      </c>
      <c r="N11" s="2">
        <v>-4.5999999999999999E-2</v>
      </c>
      <c r="O11" s="2">
        <v>7.0999999999999994E-2</v>
      </c>
      <c r="P11" s="2">
        <v>-8.8999999999999996E-2</v>
      </c>
      <c r="Q11" s="2">
        <v>1.2999999999999999E-2</v>
      </c>
      <c r="R11" s="2">
        <v>-9.1999999999999998E-2</v>
      </c>
      <c r="S11" s="2">
        <v>8.0000000000000002E-3</v>
      </c>
      <c r="T11" s="2">
        <v>-0.152</v>
      </c>
      <c r="U11" s="2">
        <v>4.2000000000000003E-2</v>
      </c>
      <c r="V11" s="2">
        <v>-0.12</v>
      </c>
      <c r="W11" s="2">
        <v>3.5999999999999997E-2</v>
      </c>
      <c r="X11" s="2">
        <v>-7.2999999999999995E-2</v>
      </c>
      <c r="Y11" s="2">
        <v>6.8000000000000005E-2</v>
      </c>
      <c r="Z11" s="2">
        <v>-7.0000000000000007E-2</v>
      </c>
      <c r="AA11" s="2">
        <v>7.0999999999999994E-2</v>
      </c>
    </row>
    <row r="12" spans="1:37">
      <c r="A12" s="2" t="s">
        <v>61</v>
      </c>
      <c r="B12" s="2">
        <v>1.6E-2</v>
      </c>
      <c r="C12" s="2">
        <v>8.8999999999999996E-2</v>
      </c>
      <c r="D12" s="2">
        <v>-1.2999999999999999E-2</v>
      </c>
      <c r="E12" s="2">
        <v>-7.1999999999999995E-2</v>
      </c>
      <c r="F12" s="2">
        <v>2.4E-2</v>
      </c>
      <c r="G12" s="2">
        <v>-8.1000000000000003E-2</v>
      </c>
      <c r="H12" s="2">
        <v>-6.9000000000000006E-2</v>
      </c>
      <c r="I12" s="2">
        <v>-8.1000000000000003E-2</v>
      </c>
      <c r="J12" s="2">
        <v>1.7000000000000001E-2</v>
      </c>
      <c r="K12" s="2">
        <v>-3.6999999999999998E-2</v>
      </c>
      <c r="L12" s="2">
        <v>2.1000000000000001E-2</v>
      </c>
      <c r="M12" s="2">
        <v>-5.5E-2</v>
      </c>
      <c r="N12" s="2">
        <v>3.9E-2</v>
      </c>
      <c r="O12" s="2">
        <v>-7.0999999999999994E-2</v>
      </c>
      <c r="P12" s="2">
        <v>8.3000000000000004E-2</v>
      </c>
      <c r="Q12" s="2">
        <v>-0.11600000000000001</v>
      </c>
      <c r="R12" s="2">
        <v>5.6000000000000001E-2</v>
      </c>
      <c r="S12" s="2">
        <v>-2.1000000000000001E-2</v>
      </c>
      <c r="T12" s="2">
        <v>9.5000000000000001E-2</v>
      </c>
      <c r="U12" s="2">
        <v>4.0000000000000001E-3</v>
      </c>
      <c r="V12" s="2">
        <v>0.129</v>
      </c>
      <c r="W12" s="2">
        <v>-2.5000000000000001E-2</v>
      </c>
      <c r="X12" s="2">
        <v>0.13200000000000001</v>
      </c>
      <c r="Y12" s="2">
        <v>-3.0000000000000001E-3</v>
      </c>
      <c r="Z12" s="2">
        <v>0.106</v>
      </c>
      <c r="AA12" s="2">
        <v>6.0000000000000001E-3</v>
      </c>
    </row>
    <row r="13" spans="1:37">
      <c r="A13" s="2" t="s">
        <v>62</v>
      </c>
      <c r="B13" s="2">
        <v>-4.2999999999999997E-2</v>
      </c>
      <c r="C13" s="2">
        <v>0.106</v>
      </c>
      <c r="D13" s="2">
        <v>-0.318</v>
      </c>
      <c r="E13" s="2">
        <v>1.7000000000000001E-2</v>
      </c>
      <c r="F13" s="2">
        <v>-0.08</v>
      </c>
      <c r="G13" s="2">
        <v>0.126</v>
      </c>
      <c r="H13" s="2">
        <v>-0.14599999999999999</v>
      </c>
      <c r="I13" s="2">
        <v>9.8000000000000004E-2</v>
      </c>
      <c r="J13" s="2">
        <v>-6.9000000000000006E-2</v>
      </c>
      <c r="K13" s="2">
        <v>0.13300000000000001</v>
      </c>
      <c r="L13" s="2">
        <v>-2.3E-2</v>
      </c>
      <c r="M13" s="2">
        <v>0.10199999999999999</v>
      </c>
      <c r="N13" s="2">
        <v>-3.2000000000000001E-2</v>
      </c>
      <c r="O13" s="2">
        <v>9.1999999999999998E-2</v>
      </c>
      <c r="P13" s="2">
        <v>-7.5999999999999998E-2</v>
      </c>
      <c r="Q13" s="2">
        <v>6.5000000000000002E-2</v>
      </c>
      <c r="R13" s="2">
        <v>-0.13200000000000001</v>
      </c>
      <c r="S13" s="2">
        <v>9.4E-2</v>
      </c>
      <c r="T13" s="2">
        <v>-7.8E-2</v>
      </c>
      <c r="U13" s="2">
        <v>8.2000000000000003E-2</v>
      </c>
      <c r="V13" s="2">
        <v>-3.1E-2</v>
      </c>
      <c r="W13" s="2">
        <v>0.10100000000000001</v>
      </c>
      <c r="X13" s="2">
        <v>-2.1999999999999999E-2</v>
      </c>
      <c r="Y13" s="2">
        <v>6.3E-2</v>
      </c>
      <c r="Z13" s="2">
        <v>-2.8000000000000001E-2</v>
      </c>
      <c r="AA13" s="2">
        <v>6.0999999999999999E-2</v>
      </c>
    </row>
    <row r="14" spans="1:37">
      <c r="A14" s="2" t="s">
        <v>63</v>
      </c>
      <c r="B14" s="2">
        <v>5.2999999999999999E-2</v>
      </c>
      <c r="C14" s="2">
        <v>6.5000000000000002E-2</v>
      </c>
      <c r="D14" s="2">
        <v>0.22600000000000001</v>
      </c>
      <c r="E14" s="2">
        <v>-0.14499999999999999</v>
      </c>
      <c r="F14" s="2">
        <v>0.13300000000000001</v>
      </c>
      <c r="G14" s="2">
        <v>-0.34200000000000003</v>
      </c>
      <c r="H14" s="2">
        <v>7.5999999999999998E-2</v>
      </c>
      <c r="I14" s="2">
        <v>-0.23</v>
      </c>
      <c r="J14" s="2">
        <v>4.3999999999999997E-2</v>
      </c>
      <c r="K14" s="2">
        <v>-0.14399999999999999</v>
      </c>
      <c r="L14" s="2">
        <v>6.9000000000000006E-2</v>
      </c>
      <c r="M14" s="2">
        <v>-6.9000000000000006E-2</v>
      </c>
      <c r="N14" s="2">
        <v>3.5000000000000003E-2</v>
      </c>
      <c r="O14" s="2">
        <v>-8.8999999999999996E-2</v>
      </c>
      <c r="P14" s="2">
        <v>4.7E-2</v>
      </c>
      <c r="Q14" s="2">
        <v>-0.106</v>
      </c>
      <c r="R14" s="2">
        <v>8.8999999999999996E-2</v>
      </c>
      <c r="S14" s="2">
        <v>-0.112</v>
      </c>
      <c r="T14" s="2">
        <v>8.6999999999999994E-2</v>
      </c>
      <c r="U14" s="2">
        <v>-0.113</v>
      </c>
      <c r="V14" s="2">
        <v>5.0000000000000001E-3</v>
      </c>
      <c r="W14" s="2">
        <v>-0.128</v>
      </c>
      <c r="X14" s="2">
        <v>5.0999999999999997E-2</v>
      </c>
      <c r="Y14" s="2">
        <v>-0.121</v>
      </c>
      <c r="Z14" s="2">
        <v>5.0999999999999997E-2</v>
      </c>
      <c r="AA14" s="2">
        <v>-0.108</v>
      </c>
    </row>
    <row r="15" spans="1:37">
      <c r="A15" s="2" t="s">
        <v>64</v>
      </c>
      <c r="B15" s="2">
        <v>9.9000000000000005E-2</v>
      </c>
      <c r="C15" s="2">
        <v>-2.1999999999999999E-2</v>
      </c>
      <c r="D15" s="2">
        <v>0.59599999999999997</v>
      </c>
      <c r="E15" s="2">
        <v>0.25800000000000001</v>
      </c>
      <c r="F15" s="2">
        <v>0.51100000000000001</v>
      </c>
      <c r="G15" s="2">
        <v>0.113</v>
      </c>
      <c r="H15" s="2">
        <v>0.34699999999999998</v>
      </c>
      <c r="I15" s="2">
        <v>8.5000000000000006E-2</v>
      </c>
      <c r="J15" s="2">
        <v>0.39200000000000002</v>
      </c>
      <c r="K15" s="2">
        <v>8.3000000000000004E-2</v>
      </c>
      <c r="L15" s="2">
        <v>0.34599999999999997</v>
      </c>
      <c r="M15" s="2">
        <v>7.8E-2</v>
      </c>
      <c r="N15" s="2">
        <v>0.35799999999999998</v>
      </c>
      <c r="O15" s="2">
        <v>0.09</v>
      </c>
      <c r="P15" s="2">
        <v>0.373</v>
      </c>
      <c r="Q15" s="2">
        <v>7.2999999999999995E-2</v>
      </c>
      <c r="R15" s="2">
        <v>0.374</v>
      </c>
      <c r="S15" s="2">
        <v>0.08</v>
      </c>
      <c r="T15" s="2">
        <v>0.39300000000000002</v>
      </c>
      <c r="U15" s="2">
        <v>0.107</v>
      </c>
      <c r="V15" s="2">
        <v>0.38300000000000001</v>
      </c>
      <c r="W15" s="2">
        <v>9.0999999999999998E-2</v>
      </c>
      <c r="X15" s="2">
        <v>0.379</v>
      </c>
      <c r="Y15" s="2">
        <v>0.126</v>
      </c>
      <c r="Z15" s="2">
        <v>0.376</v>
      </c>
      <c r="AA15" s="2">
        <v>0.123</v>
      </c>
    </row>
    <row r="16" spans="1:37">
      <c r="A16" s="2" t="s">
        <v>65</v>
      </c>
      <c r="B16" s="2">
        <v>0.2</v>
      </c>
      <c r="C16" s="2">
        <v>0.13800000000000001</v>
      </c>
      <c r="D16" s="2">
        <v>0.20200000000000001</v>
      </c>
      <c r="E16" s="2">
        <v>-0.16900000000000001</v>
      </c>
      <c r="F16" s="2">
        <v>0.248</v>
      </c>
      <c r="G16" s="2">
        <v>-4.3999999999999997E-2</v>
      </c>
      <c r="H16" s="2">
        <v>0.24299999999999999</v>
      </c>
      <c r="I16" s="2">
        <v>0.104</v>
      </c>
      <c r="J16" s="2">
        <v>0.26700000000000002</v>
      </c>
      <c r="K16" s="2">
        <v>0.111</v>
      </c>
      <c r="L16" s="2">
        <v>0.13200000000000001</v>
      </c>
      <c r="M16" s="2">
        <v>4.7E-2</v>
      </c>
      <c r="N16" s="2">
        <v>9.7000000000000003E-2</v>
      </c>
      <c r="O16" s="2">
        <v>6.4000000000000001E-2</v>
      </c>
      <c r="P16" s="2">
        <v>0.17199999999999999</v>
      </c>
      <c r="Q16" s="2">
        <v>-4.0000000000000001E-3</v>
      </c>
      <c r="R16" s="2">
        <v>0.185</v>
      </c>
      <c r="S16" s="2">
        <v>-0.01</v>
      </c>
      <c r="T16" s="2">
        <v>0.20300000000000001</v>
      </c>
      <c r="U16" s="2">
        <v>-3.6999999999999998E-2</v>
      </c>
      <c r="V16" s="2">
        <v>0.246</v>
      </c>
      <c r="W16" s="2">
        <v>-7.4999999999999997E-2</v>
      </c>
      <c r="X16" s="2">
        <v>0.248</v>
      </c>
      <c r="Y16" s="2">
        <v>-8.7999999999999995E-2</v>
      </c>
      <c r="Z16" s="2">
        <v>0.23799999999999999</v>
      </c>
      <c r="AA16" s="2">
        <v>-8.8999999999999996E-2</v>
      </c>
    </row>
    <row r="17" spans="1:27">
      <c r="A17" s="2" t="s">
        <v>66</v>
      </c>
      <c r="B17" s="2">
        <v>0.104</v>
      </c>
      <c r="C17" s="2">
        <v>9.1999999999999998E-2</v>
      </c>
      <c r="D17" s="2">
        <v>-0.39500000000000002</v>
      </c>
      <c r="E17" s="2">
        <v>0.16400000000000001</v>
      </c>
      <c r="F17" s="2">
        <v>-0.159</v>
      </c>
      <c r="G17" s="2">
        <v>-8.0000000000000002E-3</v>
      </c>
      <c r="H17" s="2">
        <v>-0.15</v>
      </c>
      <c r="I17" s="2">
        <v>-3.6999999999999998E-2</v>
      </c>
      <c r="J17" s="2">
        <v>-0.14399999999999999</v>
      </c>
      <c r="K17" s="2">
        <v>4.8000000000000001E-2</v>
      </c>
      <c r="L17" s="2">
        <v>-2.8000000000000001E-2</v>
      </c>
      <c r="M17" s="2">
        <v>0.14499999999999999</v>
      </c>
      <c r="N17" s="2">
        <v>-1.4999999999999999E-2</v>
      </c>
      <c r="O17" s="2">
        <v>0.17699999999999999</v>
      </c>
      <c r="P17" s="2">
        <v>-4.2999999999999997E-2</v>
      </c>
      <c r="Q17" s="2">
        <v>0.26200000000000001</v>
      </c>
      <c r="R17" s="2">
        <v>-5.8000000000000003E-2</v>
      </c>
      <c r="S17" s="2">
        <v>0.251</v>
      </c>
      <c r="T17" s="2">
        <v>-9.6000000000000002E-2</v>
      </c>
      <c r="U17" s="2">
        <v>0.24</v>
      </c>
      <c r="V17" s="2">
        <v>-0.159</v>
      </c>
      <c r="W17" s="2">
        <v>0.216</v>
      </c>
      <c r="X17" s="2">
        <v>-0.16400000000000001</v>
      </c>
      <c r="Y17" s="2">
        <v>0.20300000000000001</v>
      </c>
      <c r="Z17" s="2">
        <v>-0.161</v>
      </c>
      <c r="AA17" s="2">
        <v>0.19500000000000001</v>
      </c>
    </row>
    <row r="18" spans="1:27">
      <c r="A18" s="2" t="s">
        <v>67</v>
      </c>
      <c r="B18" s="2">
        <v>4.5999999999999999E-2</v>
      </c>
      <c r="C18" s="2">
        <v>4.1000000000000002E-2</v>
      </c>
      <c r="D18" s="2">
        <v>-1.4999999999999999E-2</v>
      </c>
      <c r="E18" s="2">
        <v>5.0999999999999997E-2</v>
      </c>
      <c r="F18" s="2">
        <v>-0.35799999999999998</v>
      </c>
      <c r="G18" s="2">
        <v>-1.4999999999999999E-2</v>
      </c>
      <c r="H18" s="2">
        <v>-0.34799999999999998</v>
      </c>
      <c r="I18" s="2">
        <v>-1.4E-2</v>
      </c>
      <c r="J18" s="2">
        <v>-0.311</v>
      </c>
      <c r="K18" s="2">
        <v>4.2000000000000003E-2</v>
      </c>
      <c r="L18" s="2">
        <v>-0.28899999999999998</v>
      </c>
      <c r="M18" s="2">
        <v>1E-3</v>
      </c>
      <c r="N18" s="2">
        <v>-0.26800000000000002</v>
      </c>
      <c r="O18" s="2">
        <v>-4.0000000000000001E-3</v>
      </c>
      <c r="P18" s="2">
        <v>-0.27800000000000002</v>
      </c>
      <c r="Q18" s="2">
        <v>-7.6999999999999999E-2</v>
      </c>
      <c r="R18" s="2">
        <v>-0.28999999999999998</v>
      </c>
      <c r="S18" s="2">
        <v>-4.9000000000000002E-2</v>
      </c>
      <c r="T18" s="2">
        <v>-0.28299999999999997</v>
      </c>
      <c r="U18" s="2">
        <v>-7.2999999999999995E-2</v>
      </c>
      <c r="V18" s="2">
        <v>-0.26900000000000002</v>
      </c>
      <c r="W18" s="2">
        <v>-0.129</v>
      </c>
      <c r="X18" s="2">
        <v>-0.23599999999999999</v>
      </c>
      <c r="Y18" s="2">
        <v>-0.1</v>
      </c>
      <c r="Z18" s="2">
        <v>-0.222</v>
      </c>
      <c r="AA18" s="2">
        <v>-0.14099999999999999</v>
      </c>
    </row>
    <row r="19" spans="1:27">
      <c r="A19" s="2" t="s">
        <v>68</v>
      </c>
      <c r="B19" s="2">
        <v>-4.7E-2</v>
      </c>
      <c r="C19" s="2">
        <v>7.2999999999999995E-2</v>
      </c>
      <c r="D19" s="2">
        <v>-0.34</v>
      </c>
      <c r="E19" s="2">
        <v>0.40899999999999997</v>
      </c>
      <c r="F19" s="2">
        <v>-0.47</v>
      </c>
      <c r="G19" s="2">
        <v>0.246</v>
      </c>
      <c r="H19" s="2">
        <v>-0.375</v>
      </c>
      <c r="I19" s="2">
        <v>0.185</v>
      </c>
      <c r="J19" s="2">
        <v>-0.23499999999999999</v>
      </c>
      <c r="K19" s="2">
        <v>0.11600000000000001</v>
      </c>
      <c r="L19" s="2">
        <v>-4.4999999999999998E-2</v>
      </c>
      <c r="M19" s="2">
        <v>0.161</v>
      </c>
      <c r="N19" s="2">
        <v>-6.5000000000000002E-2</v>
      </c>
      <c r="O19" s="2">
        <v>0.16500000000000001</v>
      </c>
      <c r="P19" s="2">
        <v>-7.3999999999999996E-2</v>
      </c>
      <c r="Q19" s="2">
        <v>2.7E-2</v>
      </c>
      <c r="R19" s="2">
        <v>-0.104</v>
      </c>
      <c r="S19" s="2">
        <v>1.6E-2</v>
      </c>
      <c r="T19" s="2">
        <v>-0.14199999999999999</v>
      </c>
      <c r="U19" s="2">
        <v>8.6999999999999994E-2</v>
      </c>
      <c r="V19" s="2">
        <v>-0.13200000000000001</v>
      </c>
      <c r="W19" s="2">
        <v>0.112</v>
      </c>
      <c r="X19" s="2">
        <v>-0.16600000000000001</v>
      </c>
      <c r="Y19" s="2">
        <v>0.106</v>
      </c>
      <c r="Z19" s="2">
        <v>-0.18099999999999999</v>
      </c>
      <c r="AA19" s="2">
        <v>8.7999999999999995E-2</v>
      </c>
    </row>
    <row r="20" spans="1:27">
      <c r="A20" s="2" t="s">
        <v>69</v>
      </c>
      <c r="B20" s="2">
        <v>0.106</v>
      </c>
      <c r="C20" s="2">
        <v>1.7999999999999999E-2</v>
      </c>
      <c r="D20" s="2">
        <v>0.18</v>
      </c>
      <c r="E20" s="2">
        <v>0.54</v>
      </c>
      <c r="F20" s="2">
        <v>0.16200000000000001</v>
      </c>
      <c r="G20" s="2">
        <v>0.377</v>
      </c>
      <c r="H20" s="2">
        <v>0.123</v>
      </c>
      <c r="I20" s="2">
        <v>0.27800000000000002</v>
      </c>
      <c r="J20" s="2">
        <v>8.2000000000000003E-2</v>
      </c>
      <c r="K20" s="2">
        <v>0.215</v>
      </c>
      <c r="L20" s="2">
        <v>8.1000000000000003E-2</v>
      </c>
      <c r="M20" s="2">
        <v>0.223</v>
      </c>
      <c r="N20" s="2">
        <v>-2.4E-2</v>
      </c>
      <c r="O20" s="2">
        <v>0.223</v>
      </c>
      <c r="P20" s="2">
        <v>-4.8000000000000001E-2</v>
      </c>
      <c r="Q20" s="2">
        <v>0.155</v>
      </c>
      <c r="R20" s="2">
        <v>-2.9000000000000001E-2</v>
      </c>
      <c r="S20" s="2">
        <v>0.16700000000000001</v>
      </c>
      <c r="T20" s="2">
        <v>5.6000000000000001E-2</v>
      </c>
      <c r="U20" s="2">
        <v>0.157</v>
      </c>
      <c r="V20" s="2">
        <v>3.1E-2</v>
      </c>
      <c r="W20" s="2">
        <v>0.109</v>
      </c>
      <c r="X20" s="2">
        <v>3.1E-2</v>
      </c>
      <c r="Y20" s="2">
        <v>3.1E-2</v>
      </c>
      <c r="Z20" s="2">
        <v>5.0000000000000001E-3</v>
      </c>
      <c r="AA20" s="2">
        <v>2.8000000000000001E-2</v>
      </c>
    </row>
    <row r="21" spans="1:27">
      <c r="A21" s="2" t="s">
        <v>70</v>
      </c>
      <c r="B21" s="2">
        <v>5.7000000000000002E-2</v>
      </c>
      <c r="C21" s="2">
        <v>7.0000000000000007E-2</v>
      </c>
      <c r="D21" s="2">
        <v>-0.23699999999999999</v>
      </c>
      <c r="E21" s="2">
        <v>8.9999999999999993E-3</v>
      </c>
      <c r="F21" s="2">
        <v>0.125</v>
      </c>
      <c r="G21" s="2">
        <v>0.108</v>
      </c>
      <c r="H21" s="2">
        <v>6.2E-2</v>
      </c>
      <c r="I21" s="2">
        <v>7.0999999999999994E-2</v>
      </c>
      <c r="J21" s="2">
        <v>3.9E-2</v>
      </c>
      <c r="K21" s="2">
        <v>9.6000000000000002E-2</v>
      </c>
      <c r="L21" s="2">
        <v>7.3999999999999996E-2</v>
      </c>
      <c r="M21" s="2">
        <v>-1.4E-2</v>
      </c>
      <c r="N21" s="2">
        <v>2.5000000000000001E-2</v>
      </c>
      <c r="O21" s="2">
        <v>3.4000000000000002E-2</v>
      </c>
      <c r="P21" s="2">
        <v>4.4999999999999998E-2</v>
      </c>
      <c r="Q21" s="2">
        <v>7.9000000000000001E-2</v>
      </c>
      <c r="R21" s="2">
        <v>7.1999999999999995E-2</v>
      </c>
      <c r="S21" s="2">
        <v>8.6999999999999994E-2</v>
      </c>
      <c r="T21" s="2">
        <v>7.0000000000000007E-2</v>
      </c>
      <c r="U21" s="2">
        <v>0.09</v>
      </c>
      <c r="V21" s="2">
        <v>4.8000000000000001E-2</v>
      </c>
      <c r="W21" s="2">
        <v>0.11700000000000001</v>
      </c>
      <c r="X21" s="2">
        <v>-3.5000000000000003E-2</v>
      </c>
      <c r="Y21" s="2">
        <v>9.1999999999999998E-2</v>
      </c>
      <c r="Z21" s="2">
        <v>-2.7E-2</v>
      </c>
      <c r="AA21" s="2">
        <v>0.125</v>
      </c>
    </row>
    <row r="22" spans="1:27">
      <c r="A22" s="2" t="s">
        <v>71</v>
      </c>
      <c r="B22" s="2">
        <v>0.309</v>
      </c>
      <c r="C22" s="2">
        <v>3.6999999999999998E-2</v>
      </c>
      <c r="D22" s="2">
        <v>0.56999999999999995</v>
      </c>
      <c r="E22" s="2">
        <v>0.14799999999999999</v>
      </c>
      <c r="F22" s="2">
        <v>0.68600000000000005</v>
      </c>
      <c r="G22" s="2">
        <v>0.13</v>
      </c>
      <c r="H22" s="2">
        <v>0.46400000000000002</v>
      </c>
      <c r="I22" s="2">
        <v>0.222</v>
      </c>
      <c r="J22" s="2">
        <v>0.44800000000000001</v>
      </c>
      <c r="K22" s="2">
        <v>0.15</v>
      </c>
      <c r="L22" s="2">
        <v>0.441</v>
      </c>
      <c r="M22" s="2">
        <v>0.192</v>
      </c>
      <c r="N22" s="2">
        <v>0.374</v>
      </c>
      <c r="O22" s="2">
        <v>0.17199999999999999</v>
      </c>
      <c r="P22" s="2">
        <v>0.38200000000000001</v>
      </c>
      <c r="Q22" s="2">
        <v>0.16800000000000001</v>
      </c>
      <c r="R22" s="2">
        <v>0.33800000000000002</v>
      </c>
      <c r="S22" s="2">
        <v>0.16200000000000001</v>
      </c>
      <c r="T22" s="2">
        <v>0.30499999999999999</v>
      </c>
      <c r="U22" s="2">
        <v>0.13800000000000001</v>
      </c>
      <c r="V22" s="2">
        <v>0.33800000000000002</v>
      </c>
      <c r="W22" s="2">
        <v>0.11600000000000001</v>
      </c>
      <c r="X22" s="2">
        <v>0.311</v>
      </c>
      <c r="Y22" s="2">
        <v>9.4E-2</v>
      </c>
      <c r="Z22" s="2">
        <v>0.33500000000000002</v>
      </c>
      <c r="AA22" s="2">
        <v>0.109</v>
      </c>
    </row>
    <row r="23" spans="1:27">
      <c r="A23" s="2" t="s">
        <v>72</v>
      </c>
      <c r="B23" s="2">
        <v>0.19600000000000001</v>
      </c>
      <c r="C23" s="2">
        <v>0.112</v>
      </c>
      <c r="D23" s="2">
        <v>0.39500000000000002</v>
      </c>
      <c r="E23" s="2">
        <v>0.53900000000000003</v>
      </c>
      <c r="F23" s="2">
        <v>0.25800000000000001</v>
      </c>
      <c r="G23" s="2">
        <v>0.155</v>
      </c>
      <c r="H23" s="2">
        <v>0.26100000000000001</v>
      </c>
      <c r="I23" s="2">
        <v>0.19600000000000001</v>
      </c>
      <c r="J23" s="2">
        <v>0.254</v>
      </c>
      <c r="K23" s="2">
        <v>6.8000000000000005E-2</v>
      </c>
      <c r="L23" s="2">
        <v>0.26800000000000002</v>
      </c>
      <c r="M23" s="2">
        <v>0.107</v>
      </c>
      <c r="N23" s="2">
        <v>0.22600000000000001</v>
      </c>
      <c r="O23" s="2">
        <v>0.13600000000000001</v>
      </c>
      <c r="P23" s="2">
        <v>0.3</v>
      </c>
      <c r="Q23" s="2">
        <v>0.10299999999999999</v>
      </c>
      <c r="R23" s="2">
        <v>0.24199999999999999</v>
      </c>
      <c r="S23" s="2">
        <v>0.104</v>
      </c>
      <c r="T23" s="2">
        <v>0.25700000000000001</v>
      </c>
      <c r="U23" s="2">
        <v>0.115</v>
      </c>
      <c r="V23" s="2">
        <v>0.249</v>
      </c>
      <c r="W23" s="2">
        <v>0.10299999999999999</v>
      </c>
      <c r="X23" s="2">
        <v>0.248</v>
      </c>
      <c r="Y23" s="2">
        <v>9.6000000000000002E-2</v>
      </c>
      <c r="Z23" s="2">
        <v>0.312</v>
      </c>
      <c r="AA23" s="2">
        <v>0.112</v>
      </c>
    </row>
    <row r="24" spans="1:27">
      <c r="A24" s="2" t="s">
        <v>73</v>
      </c>
      <c r="B24" s="2">
        <v>5.8999999999999997E-2</v>
      </c>
      <c r="C24" s="2">
        <v>1E-3</v>
      </c>
      <c r="D24" s="2">
        <v>-2.9000000000000001E-2</v>
      </c>
      <c r="E24" s="2">
        <v>0.16800000000000001</v>
      </c>
      <c r="F24" s="2">
        <v>0.115</v>
      </c>
      <c r="G24" s="2">
        <v>-3.0000000000000001E-3</v>
      </c>
      <c r="H24" s="2">
        <v>0.221</v>
      </c>
      <c r="I24" s="2">
        <v>-0.05</v>
      </c>
      <c r="J24" s="2">
        <v>0.214</v>
      </c>
      <c r="K24" s="2">
        <v>-2.7E-2</v>
      </c>
      <c r="L24" s="2">
        <v>0.13200000000000001</v>
      </c>
      <c r="M24" s="2">
        <v>-1.9E-2</v>
      </c>
      <c r="N24" s="2">
        <v>0.188</v>
      </c>
      <c r="O24" s="2">
        <v>-1.6E-2</v>
      </c>
      <c r="P24" s="2">
        <v>0.16500000000000001</v>
      </c>
      <c r="Q24" s="2">
        <v>-5.0000000000000001E-3</v>
      </c>
      <c r="R24" s="2">
        <v>0.19800000000000001</v>
      </c>
      <c r="S24" s="2">
        <v>-2E-3</v>
      </c>
      <c r="T24" s="2">
        <v>0.16900000000000001</v>
      </c>
      <c r="U24" s="2">
        <v>-2.4E-2</v>
      </c>
      <c r="V24" s="2">
        <v>0.182</v>
      </c>
      <c r="W24" s="2">
        <v>-1.4E-2</v>
      </c>
      <c r="X24" s="2">
        <v>0.16800000000000001</v>
      </c>
      <c r="Y24" s="2">
        <v>-0.01</v>
      </c>
      <c r="Z24" s="2">
        <v>0.13300000000000001</v>
      </c>
      <c r="AA24" s="2">
        <v>6.2E-2</v>
      </c>
    </row>
    <row r="25" spans="1:27">
      <c r="A25" s="2" t="s">
        <v>74</v>
      </c>
      <c r="B25" s="2">
        <v>-2.8000000000000001E-2</v>
      </c>
      <c r="C25" s="2">
        <v>-0.20499999999999999</v>
      </c>
      <c r="D25" s="2">
        <v>2.5999999999999999E-2</v>
      </c>
      <c r="E25" s="2">
        <v>-3.7999999999999999E-2</v>
      </c>
      <c r="F25" s="2">
        <v>1E-3</v>
      </c>
      <c r="G25" s="2">
        <v>-0.376</v>
      </c>
      <c r="H25" s="2">
        <v>5.3999999999999999E-2</v>
      </c>
      <c r="I25" s="2">
        <v>-0.107</v>
      </c>
      <c r="J25" s="2">
        <v>-0.151</v>
      </c>
      <c r="K25" s="2">
        <v>-0.16500000000000001</v>
      </c>
      <c r="L25" s="2">
        <v>-3.6999999999999998E-2</v>
      </c>
      <c r="M25" s="2">
        <v>-9.2999999999999999E-2</v>
      </c>
      <c r="N25" s="2">
        <v>-1.4E-2</v>
      </c>
      <c r="O25" s="2">
        <v>-0.153</v>
      </c>
      <c r="P25" s="2">
        <v>3.5000000000000003E-2</v>
      </c>
      <c r="Q25" s="2">
        <v>-0.14699999999999999</v>
      </c>
      <c r="R25" s="2">
        <v>2.5999999999999999E-2</v>
      </c>
      <c r="S25" s="2">
        <v>-0.14399999999999999</v>
      </c>
      <c r="T25" s="2">
        <v>6.3E-2</v>
      </c>
      <c r="U25" s="2">
        <v>-0.19800000000000001</v>
      </c>
      <c r="V25" s="2">
        <v>6.3E-2</v>
      </c>
      <c r="W25" s="2">
        <v>-0.16500000000000001</v>
      </c>
      <c r="X25" s="2">
        <v>1.7000000000000001E-2</v>
      </c>
      <c r="Y25" s="2">
        <v>-0.16</v>
      </c>
      <c r="Z25" s="2">
        <v>4.3999999999999997E-2</v>
      </c>
      <c r="AA25" s="2">
        <v>-0.13600000000000001</v>
      </c>
    </row>
    <row r="26" spans="1:27">
      <c r="A26" s="2" t="s">
        <v>75</v>
      </c>
      <c r="B26" s="2">
        <v>-8.6999999999999994E-2</v>
      </c>
      <c r="C26" s="2">
        <v>6.5000000000000002E-2</v>
      </c>
      <c r="D26" s="2">
        <v>-8.4000000000000005E-2</v>
      </c>
      <c r="E26" s="2">
        <v>-0.36099999999999999</v>
      </c>
      <c r="F26" s="2">
        <v>0.29399999999999998</v>
      </c>
      <c r="G26" s="2">
        <v>0.13200000000000001</v>
      </c>
      <c r="H26" s="2">
        <v>0.36199999999999999</v>
      </c>
      <c r="I26" s="2">
        <v>0.113</v>
      </c>
      <c r="J26" s="2">
        <v>0.32800000000000001</v>
      </c>
      <c r="K26" s="2">
        <v>0.17</v>
      </c>
      <c r="L26" s="2">
        <v>0.249</v>
      </c>
      <c r="M26" s="2">
        <v>9.6000000000000002E-2</v>
      </c>
      <c r="N26" s="2">
        <v>0.216</v>
      </c>
      <c r="O26" s="2">
        <v>0.106</v>
      </c>
      <c r="P26" s="2">
        <v>7.5999999999999998E-2</v>
      </c>
      <c r="Q26" s="2">
        <v>9.4E-2</v>
      </c>
      <c r="R26" s="2">
        <v>8.5000000000000006E-2</v>
      </c>
      <c r="S26" s="2">
        <v>9.4E-2</v>
      </c>
      <c r="T26" s="2">
        <v>7.1999999999999995E-2</v>
      </c>
      <c r="U26" s="2">
        <v>0.14399999999999999</v>
      </c>
      <c r="V26" s="2">
        <v>7.9000000000000001E-2</v>
      </c>
      <c r="W26" s="2">
        <v>0.121</v>
      </c>
      <c r="X26" s="2">
        <v>6.6000000000000003E-2</v>
      </c>
      <c r="Y26" s="2">
        <v>6.9000000000000006E-2</v>
      </c>
      <c r="Z26" s="2">
        <v>7.0999999999999994E-2</v>
      </c>
      <c r="AA26" s="2">
        <v>5.2999999999999999E-2</v>
      </c>
    </row>
    <row r="27" spans="1:27">
      <c r="A27" s="2" t="s">
        <v>76</v>
      </c>
      <c r="B27" s="2">
        <v>0.123</v>
      </c>
      <c r="C27" s="2">
        <v>-8.5000000000000006E-2</v>
      </c>
      <c r="D27" s="2">
        <v>0.28199999999999997</v>
      </c>
      <c r="E27" s="2">
        <v>-2.5000000000000001E-2</v>
      </c>
      <c r="F27" s="2">
        <v>0.16400000000000001</v>
      </c>
      <c r="G27" s="2">
        <v>2.5000000000000001E-2</v>
      </c>
      <c r="H27" s="2">
        <v>3.5999999999999997E-2</v>
      </c>
      <c r="I27" s="2">
        <v>0.11799999999999999</v>
      </c>
      <c r="J27" s="2">
        <v>0.11</v>
      </c>
      <c r="K27" s="2">
        <v>0.216</v>
      </c>
      <c r="L27" s="2">
        <v>0.11</v>
      </c>
      <c r="M27" s="2">
        <v>0.16900000000000001</v>
      </c>
      <c r="N27" s="2">
        <v>0.11600000000000001</v>
      </c>
      <c r="O27" s="2">
        <v>8.7999999999999995E-2</v>
      </c>
      <c r="P27" s="2">
        <v>0.10299999999999999</v>
      </c>
      <c r="Q27" s="2">
        <v>8.8999999999999996E-2</v>
      </c>
      <c r="R27" s="2">
        <v>0.182</v>
      </c>
      <c r="S27" s="2">
        <v>5.8999999999999997E-2</v>
      </c>
      <c r="T27" s="2">
        <v>0.183</v>
      </c>
      <c r="U27" s="2">
        <v>8.5000000000000006E-2</v>
      </c>
      <c r="V27" s="2">
        <v>0.13700000000000001</v>
      </c>
      <c r="W27" s="2">
        <v>6.4000000000000001E-2</v>
      </c>
      <c r="X27" s="2">
        <v>0.124</v>
      </c>
      <c r="Y27" s="2">
        <v>2.8000000000000001E-2</v>
      </c>
      <c r="Z27" s="2">
        <v>0.11</v>
      </c>
      <c r="AA27" s="2">
        <v>7.0000000000000007E-2</v>
      </c>
    </row>
    <row r="28" spans="1:27">
      <c r="A28" s="2" t="s">
        <v>77</v>
      </c>
      <c r="B28" s="2">
        <v>0.16900000000000001</v>
      </c>
      <c r="C28" s="2">
        <v>-0.126</v>
      </c>
      <c r="D28" s="2">
        <v>-0.69499999999999995</v>
      </c>
      <c r="E28" s="2">
        <v>0.29399999999999998</v>
      </c>
      <c r="F28" s="2">
        <v>-8.6999999999999994E-2</v>
      </c>
      <c r="G28" s="2">
        <v>2.1999999999999999E-2</v>
      </c>
      <c r="H28" s="2">
        <v>-6.7000000000000004E-2</v>
      </c>
      <c r="I28" s="2">
        <v>-6.3E-2</v>
      </c>
      <c r="J28" s="2">
        <v>8.0000000000000002E-3</v>
      </c>
      <c r="K28" s="2">
        <v>4.8000000000000001E-2</v>
      </c>
      <c r="L28" s="2">
        <v>0.126</v>
      </c>
      <c r="M28" s="2">
        <v>-0.01</v>
      </c>
      <c r="N28" s="2">
        <v>0.11799999999999999</v>
      </c>
      <c r="O28" s="2">
        <v>-1.2999999999999999E-2</v>
      </c>
      <c r="P28" s="2">
        <v>0.13100000000000001</v>
      </c>
      <c r="Q28" s="2">
        <v>3.2000000000000001E-2</v>
      </c>
      <c r="R28" s="2">
        <v>0.129</v>
      </c>
      <c r="S28" s="2">
        <v>1.2999999999999999E-2</v>
      </c>
      <c r="T28" s="2">
        <v>0.161</v>
      </c>
      <c r="U28" s="2">
        <v>2.5999999999999999E-2</v>
      </c>
      <c r="V28" s="2">
        <v>0.189</v>
      </c>
      <c r="W28" s="2">
        <v>1E-3</v>
      </c>
      <c r="X28" s="2">
        <v>0.18099999999999999</v>
      </c>
      <c r="Y28" s="2">
        <v>-5.0000000000000001E-3</v>
      </c>
      <c r="Z28" s="2">
        <v>0.17399999999999999</v>
      </c>
      <c r="AA28" s="2">
        <v>-0.02</v>
      </c>
    </row>
    <row r="29" spans="1:27">
      <c r="A29" s="2" t="s">
        <v>78</v>
      </c>
      <c r="B29" s="2">
        <v>0.32600000000000001</v>
      </c>
      <c r="C29" s="2">
        <v>0.11799999999999999</v>
      </c>
      <c r="D29" s="2">
        <v>5.1999999999999998E-2</v>
      </c>
      <c r="E29" s="2">
        <v>-0.26</v>
      </c>
      <c r="F29" s="2">
        <v>0.108</v>
      </c>
      <c r="G29" s="2">
        <v>0.32500000000000001</v>
      </c>
      <c r="H29" s="2">
        <v>0.114</v>
      </c>
      <c r="I29" s="2">
        <v>0.152</v>
      </c>
      <c r="J29" s="2">
        <v>0.105</v>
      </c>
      <c r="K29" s="2">
        <v>9.2999999999999999E-2</v>
      </c>
      <c r="L29" s="2">
        <v>8.2000000000000003E-2</v>
      </c>
      <c r="M29" s="2">
        <v>9.0999999999999998E-2</v>
      </c>
      <c r="N29" s="2">
        <v>6.5000000000000002E-2</v>
      </c>
      <c r="O29" s="2">
        <v>0.109</v>
      </c>
      <c r="P29" s="2">
        <v>6.4000000000000001E-2</v>
      </c>
      <c r="Q29" s="2">
        <v>0.126</v>
      </c>
      <c r="R29" s="2">
        <v>3.2000000000000001E-2</v>
      </c>
      <c r="S29" s="2">
        <v>9.9000000000000005E-2</v>
      </c>
      <c r="T29" s="2">
        <v>6.5000000000000002E-2</v>
      </c>
      <c r="U29" s="2">
        <v>0.122</v>
      </c>
      <c r="V29" s="2">
        <v>4.2000000000000003E-2</v>
      </c>
      <c r="W29" s="2">
        <v>0.126</v>
      </c>
      <c r="X29" s="2">
        <v>0.06</v>
      </c>
      <c r="Y29" s="2">
        <v>0.154</v>
      </c>
      <c r="Z29" s="2">
        <v>6.0999999999999999E-2</v>
      </c>
      <c r="AA29" s="2">
        <v>0.14299999999999999</v>
      </c>
    </row>
    <row r="30" spans="1:27">
      <c r="A30" s="2" t="s">
        <v>79</v>
      </c>
      <c r="B30" s="2">
        <v>-0.23699999999999999</v>
      </c>
      <c r="C30" s="2">
        <v>-2.4E-2</v>
      </c>
      <c r="D30" s="2">
        <v>-0.185</v>
      </c>
      <c r="E30" s="2">
        <v>-0.22500000000000001</v>
      </c>
      <c r="F30" s="2">
        <v>-0.313</v>
      </c>
      <c r="G30" s="2">
        <v>0.108</v>
      </c>
      <c r="H30" s="2">
        <v>-0.23899999999999999</v>
      </c>
      <c r="I30" s="2">
        <v>-1.2999999999999999E-2</v>
      </c>
      <c r="J30" s="2">
        <v>-0.11</v>
      </c>
      <c r="K30" s="2">
        <v>6.5000000000000002E-2</v>
      </c>
      <c r="L30" s="2">
        <v>-0.10199999999999999</v>
      </c>
      <c r="M30" s="2">
        <v>4.1000000000000002E-2</v>
      </c>
      <c r="N30" s="2">
        <v>-8.6999999999999994E-2</v>
      </c>
      <c r="O30" s="2">
        <v>3.3000000000000002E-2</v>
      </c>
      <c r="P30" s="2">
        <v>-0.183</v>
      </c>
      <c r="Q30" s="2">
        <v>-1E-3</v>
      </c>
      <c r="R30" s="2">
        <v>-0.14399999999999999</v>
      </c>
      <c r="S30" s="2">
        <v>2E-3</v>
      </c>
      <c r="T30" s="2">
        <v>-0.108</v>
      </c>
      <c r="U30" s="2">
        <v>0.05</v>
      </c>
      <c r="V30" s="2">
        <v>-8.3000000000000004E-2</v>
      </c>
      <c r="W30" s="2">
        <v>4.9000000000000002E-2</v>
      </c>
      <c r="X30" s="2">
        <v>-0.13100000000000001</v>
      </c>
      <c r="Y30" s="2">
        <v>4.0000000000000001E-3</v>
      </c>
      <c r="Z30" s="2">
        <v>-0.11899999999999999</v>
      </c>
      <c r="AA30" s="2">
        <v>2.7E-2</v>
      </c>
    </row>
    <row r="31" spans="1:27">
      <c r="A31" s="2" t="s">
        <v>80</v>
      </c>
      <c r="B31" s="2">
        <v>-5.8999999999999997E-2</v>
      </c>
      <c r="C31" s="2">
        <v>1.4E-2</v>
      </c>
      <c r="D31" s="2">
        <v>-0.28699999999999998</v>
      </c>
      <c r="E31" s="2">
        <v>-0.19600000000000001</v>
      </c>
      <c r="F31" s="2">
        <v>-0.17599999999999999</v>
      </c>
      <c r="G31" s="2">
        <v>-8.3000000000000004E-2</v>
      </c>
      <c r="H31" s="2">
        <v>-0.22700000000000001</v>
      </c>
      <c r="I31" s="2">
        <v>-0.156</v>
      </c>
      <c r="J31" s="2">
        <v>-3.4000000000000002E-2</v>
      </c>
      <c r="K31" s="2">
        <v>-0.05</v>
      </c>
      <c r="L31" s="2">
        <v>7.8E-2</v>
      </c>
      <c r="M31" s="2">
        <v>-0.1</v>
      </c>
      <c r="N31" s="2">
        <v>2.9000000000000001E-2</v>
      </c>
      <c r="O31" s="2">
        <v>-0.112</v>
      </c>
      <c r="P31" s="2">
        <v>0.04</v>
      </c>
      <c r="Q31" s="2">
        <v>-0.106</v>
      </c>
      <c r="R31" s="2">
        <v>0.04</v>
      </c>
      <c r="S31" s="2">
        <v>-0.111</v>
      </c>
      <c r="T31" s="2">
        <v>3.3000000000000002E-2</v>
      </c>
      <c r="U31" s="2">
        <v>-8.8999999999999996E-2</v>
      </c>
      <c r="V31" s="2">
        <v>3.2000000000000001E-2</v>
      </c>
      <c r="W31" s="2">
        <v>-7.4999999999999997E-2</v>
      </c>
      <c r="X31" s="2">
        <v>2.8000000000000001E-2</v>
      </c>
      <c r="Y31" s="2">
        <v>-0.123</v>
      </c>
      <c r="Z31" s="2">
        <v>1.2E-2</v>
      </c>
      <c r="AA31" s="2">
        <v>-9.7000000000000003E-2</v>
      </c>
    </row>
    <row r="32" spans="1:27">
      <c r="A32" s="2" t="s">
        <v>81</v>
      </c>
      <c r="B32" s="2">
        <v>-0.14799999999999999</v>
      </c>
      <c r="C32" s="2">
        <v>-3.6999999999999998E-2</v>
      </c>
      <c r="D32" s="2">
        <v>-0.108</v>
      </c>
      <c r="E32" s="2">
        <v>0.38100000000000001</v>
      </c>
      <c r="F32" s="2">
        <v>-0.14199999999999999</v>
      </c>
      <c r="G32" s="2">
        <v>0.248</v>
      </c>
      <c r="H32" s="2">
        <v>-0.183</v>
      </c>
      <c r="I32" s="2">
        <v>0.28899999999999998</v>
      </c>
      <c r="J32" s="2">
        <v>-0.21099999999999999</v>
      </c>
      <c r="K32" s="2">
        <v>0.17299999999999999</v>
      </c>
      <c r="L32" s="2">
        <v>-0.20100000000000001</v>
      </c>
      <c r="M32" s="2">
        <v>0.187</v>
      </c>
      <c r="N32" s="2">
        <v>-0.158</v>
      </c>
      <c r="O32" s="2">
        <v>0.19700000000000001</v>
      </c>
      <c r="P32" s="2">
        <v>-0.20499999999999999</v>
      </c>
      <c r="Q32" s="2">
        <v>0.251</v>
      </c>
      <c r="R32" s="2">
        <v>-0.20699999999999999</v>
      </c>
      <c r="S32" s="2">
        <v>0.17100000000000001</v>
      </c>
      <c r="T32" s="2">
        <v>-0.19600000000000001</v>
      </c>
      <c r="U32" s="2">
        <v>0.13400000000000001</v>
      </c>
      <c r="V32" s="2">
        <v>-0.182</v>
      </c>
      <c r="W32" s="2">
        <v>0.14099999999999999</v>
      </c>
      <c r="X32" s="2">
        <v>-0.23400000000000001</v>
      </c>
      <c r="Y32" s="2">
        <v>0.11</v>
      </c>
      <c r="Z32" s="2">
        <v>-0.254</v>
      </c>
      <c r="AA32" s="2">
        <v>0.09</v>
      </c>
    </row>
    <row r="33" spans="1:27">
      <c r="A33" s="2" t="s">
        <v>82</v>
      </c>
      <c r="B33" s="2">
        <v>2.8000000000000001E-2</v>
      </c>
      <c r="C33" s="2">
        <v>0.104</v>
      </c>
      <c r="D33" s="2">
        <v>-5.1999999999999998E-2</v>
      </c>
      <c r="E33" s="2">
        <v>0.224</v>
      </c>
      <c r="F33" s="2">
        <v>5.8999999999999997E-2</v>
      </c>
      <c r="G33" s="2">
        <v>0.30299999999999999</v>
      </c>
      <c r="H33" s="2">
        <v>1.7000000000000001E-2</v>
      </c>
      <c r="I33" s="2">
        <v>0.17399999999999999</v>
      </c>
      <c r="J33" s="2">
        <v>0.155</v>
      </c>
      <c r="K33" s="2">
        <v>0.13300000000000001</v>
      </c>
      <c r="L33" s="2">
        <v>6.4000000000000001E-2</v>
      </c>
      <c r="M33" s="2">
        <v>0.19700000000000001</v>
      </c>
      <c r="N33" s="2">
        <v>0.115</v>
      </c>
      <c r="O33" s="2">
        <v>0.16300000000000001</v>
      </c>
      <c r="P33" s="2">
        <v>0.03</v>
      </c>
      <c r="Q33" s="2">
        <v>0.1</v>
      </c>
      <c r="R33" s="2">
        <v>4.2000000000000003E-2</v>
      </c>
      <c r="S33" s="2">
        <v>0.10100000000000001</v>
      </c>
      <c r="T33" s="2">
        <v>5.1999999999999998E-2</v>
      </c>
      <c r="U33" s="2">
        <v>0.14000000000000001</v>
      </c>
      <c r="V33" s="2">
        <v>1.7000000000000001E-2</v>
      </c>
      <c r="W33" s="2">
        <v>0.17399999999999999</v>
      </c>
      <c r="X33" s="2">
        <v>6.3E-2</v>
      </c>
      <c r="Y33" s="2">
        <v>0.16300000000000001</v>
      </c>
      <c r="Z33" s="2">
        <v>3.1E-2</v>
      </c>
      <c r="AA33" s="2">
        <v>0.11</v>
      </c>
    </row>
    <row r="34" spans="1:27">
      <c r="A34" s="2" t="s">
        <v>83</v>
      </c>
      <c r="B34" s="2">
        <v>-9.9000000000000005E-2</v>
      </c>
      <c r="C34" s="2">
        <v>0.104</v>
      </c>
      <c r="D34" s="2">
        <v>0.20200000000000001</v>
      </c>
      <c r="E34" s="2">
        <v>-5.7000000000000002E-2</v>
      </c>
      <c r="F34" s="2">
        <v>0.21199999999999999</v>
      </c>
      <c r="G34" s="2">
        <v>-0.22</v>
      </c>
      <c r="H34" s="2">
        <v>0.17100000000000001</v>
      </c>
      <c r="I34" s="2">
        <v>-0.26200000000000001</v>
      </c>
      <c r="J34" s="2">
        <v>0.26100000000000001</v>
      </c>
      <c r="K34" s="2">
        <v>-0.109</v>
      </c>
      <c r="L34" s="2">
        <v>0.18</v>
      </c>
      <c r="M34" s="2">
        <v>-8.0000000000000002E-3</v>
      </c>
      <c r="N34" s="2">
        <v>0.191</v>
      </c>
      <c r="O34" s="2">
        <v>-7.0000000000000001E-3</v>
      </c>
      <c r="P34" s="2">
        <v>0.125</v>
      </c>
      <c r="Q34" s="2">
        <v>9.9000000000000005E-2</v>
      </c>
      <c r="R34" s="2">
        <v>0.111</v>
      </c>
      <c r="S34" s="2">
        <v>7.6999999999999999E-2</v>
      </c>
      <c r="T34" s="2">
        <v>0.12</v>
      </c>
      <c r="U34" s="2">
        <v>9.6000000000000002E-2</v>
      </c>
      <c r="V34" s="2">
        <v>0.11799999999999999</v>
      </c>
      <c r="W34" s="2">
        <v>5.3999999999999999E-2</v>
      </c>
      <c r="X34" s="2">
        <v>0.104</v>
      </c>
      <c r="Y34" s="2">
        <v>5.5E-2</v>
      </c>
      <c r="Z34" s="2">
        <v>7.3999999999999996E-2</v>
      </c>
      <c r="AA34" s="2">
        <v>2.7E-2</v>
      </c>
    </row>
    <row r="35" spans="1:27">
      <c r="A35" s="2" t="s">
        <v>84</v>
      </c>
      <c r="B35" s="2">
        <v>-5.6000000000000001E-2</v>
      </c>
      <c r="C35" s="2">
        <v>1.4999999999999999E-2</v>
      </c>
      <c r="D35" s="2">
        <v>0.248</v>
      </c>
      <c r="E35" s="2">
        <v>-0.05</v>
      </c>
      <c r="F35" s="2">
        <v>0.155</v>
      </c>
      <c r="G35" s="2">
        <v>1.4999999999999999E-2</v>
      </c>
      <c r="H35" s="2">
        <v>7.2999999999999995E-2</v>
      </c>
      <c r="I35" s="2">
        <v>-3.1E-2</v>
      </c>
      <c r="J35" s="2">
        <v>-4.0000000000000001E-3</v>
      </c>
      <c r="K35" s="2">
        <v>-0.104</v>
      </c>
      <c r="L35" s="2">
        <v>-8.0000000000000002E-3</v>
      </c>
      <c r="M35" s="2">
        <v>-8.2000000000000003E-2</v>
      </c>
      <c r="N35" s="2">
        <v>-6.2E-2</v>
      </c>
      <c r="O35" s="2">
        <v>-7.1999999999999995E-2</v>
      </c>
      <c r="P35" s="2">
        <v>-7.5999999999999998E-2</v>
      </c>
      <c r="Q35" s="2">
        <v>-2.3E-2</v>
      </c>
      <c r="R35" s="2">
        <v>-0.153</v>
      </c>
      <c r="S35" s="2">
        <v>-1.4E-2</v>
      </c>
      <c r="T35" s="2">
        <v>-0.13</v>
      </c>
      <c r="U35" s="2">
        <v>-1E-3</v>
      </c>
      <c r="V35" s="2">
        <v>-0.16500000000000001</v>
      </c>
      <c r="W35" s="2">
        <v>-2.7E-2</v>
      </c>
      <c r="X35" s="2">
        <v>-0.13900000000000001</v>
      </c>
      <c r="Y35" s="2">
        <v>-2.3E-2</v>
      </c>
      <c r="Z35" s="2">
        <v>-0.122</v>
      </c>
      <c r="AA35" s="2">
        <v>3.0000000000000001E-3</v>
      </c>
    </row>
  </sheetData>
  <mergeCells count="18">
    <mergeCell ref="AJ1:AK1"/>
    <mergeCell ref="N1:O1"/>
    <mergeCell ref="P1:Q1"/>
    <mergeCell ref="R1:S1"/>
    <mergeCell ref="T1:U1"/>
    <mergeCell ref="V1:W1"/>
    <mergeCell ref="X1:Y1"/>
    <mergeCell ref="Z1:AA1"/>
    <mergeCell ref="AB1:AC1"/>
    <mergeCell ref="AD1:AE1"/>
    <mergeCell ref="AF1:AG1"/>
    <mergeCell ref="AH1:AI1"/>
    <mergeCell ref="L1:M1"/>
    <mergeCell ref="B1:C1"/>
    <mergeCell ref="D1:E1"/>
    <mergeCell ref="F1:G1"/>
    <mergeCell ref="H1:I1"/>
    <mergeCell ref="J1:K1"/>
  </mergeCell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sheetPr codeName="Sheet5" enableFormatConditionsCalculation="0"/>
  <dimension ref="B1:P21"/>
  <sheetViews>
    <sheetView workbookViewId="0">
      <selection activeCell="L28" sqref="L28"/>
    </sheetView>
  </sheetViews>
  <sheetFormatPr defaultColWidth="8.77734375" defaultRowHeight="14.4"/>
  <cols>
    <col min="2" max="2" width="10.109375" customWidth="1"/>
    <col min="3" max="3" width="7.109375" style="30" customWidth="1"/>
    <col min="4" max="6" width="5.77734375" style="30" bestFit="1" customWidth="1"/>
    <col min="7" max="12" width="5.33203125" style="30" bestFit="1" customWidth="1"/>
    <col min="13" max="13" width="4.6640625" customWidth="1"/>
    <col min="14" max="14" width="6.6640625" style="30" bestFit="1" customWidth="1"/>
    <col min="15" max="15" width="7.33203125" style="30" bestFit="1" customWidth="1"/>
    <col min="16" max="16" width="10.33203125" style="30" bestFit="1" customWidth="1"/>
  </cols>
  <sheetData>
    <row r="1" spans="2:16">
      <c r="B1" t="s">
        <v>107</v>
      </c>
    </row>
    <row r="3" spans="2:16">
      <c r="C3" s="38" t="s">
        <v>104</v>
      </c>
    </row>
    <row r="4" spans="2:16">
      <c r="B4" s="4" t="s">
        <v>103</v>
      </c>
      <c r="C4" s="39">
        <v>0.5</v>
      </c>
      <c r="D4" s="39">
        <v>0.55000000000000004</v>
      </c>
      <c r="E4" s="39">
        <v>0.6</v>
      </c>
      <c r="F4" s="39">
        <v>0.65</v>
      </c>
      <c r="G4" s="39">
        <v>0.7</v>
      </c>
      <c r="H4" s="39">
        <v>0.75</v>
      </c>
      <c r="I4" s="39">
        <v>0.8</v>
      </c>
      <c r="J4" s="39">
        <v>0.85</v>
      </c>
      <c r="K4" s="39">
        <v>0.9</v>
      </c>
      <c r="L4" s="39">
        <v>1</v>
      </c>
      <c r="N4" s="31" t="s">
        <v>99</v>
      </c>
      <c r="O4" s="32" t="s">
        <v>106</v>
      </c>
      <c r="P4" s="33" t="s">
        <v>105</v>
      </c>
    </row>
    <row r="5" spans="2:16">
      <c r="B5" s="37">
        <v>5</v>
      </c>
      <c r="C5" s="40">
        <v>4.0000000000000003E-5</v>
      </c>
      <c r="D5" s="40">
        <v>2.0000000000000001E-4</v>
      </c>
      <c r="E5" s="40">
        <v>8.0000000000000004E-4</v>
      </c>
      <c r="F5" s="40">
        <v>3.0000000000000001E-3</v>
      </c>
      <c r="G5" s="41">
        <v>0.01</v>
      </c>
      <c r="H5" s="41">
        <v>0.04</v>
      </c>
      <c r="I5" s="41">
        <v>0.11</v>
      </c>
      <c r="J5" s="41">
        <v>0.28000000000000003</v>
      </c>
      <c r="K5" s="41">
        <v>0.6</v>
      </c>
      <c r="L5" s="41">
        <v>1</v>
      </c>
      <c r="N5" s="34">
        <v>1</v>
      </c>
      <c r="O5" s="35">
        <f>((VLOOKUP('Solver Model &amp; Output'!$I$3,'Solver Model &amp; Output'!$U$6:$V$14,2,FALSE)^N5)*'Solver Model &amp; Output'!$D$3)</f>
        <v>70</v>
      </c>
      <c r="P5" s="36">
        <f>IF(O5&gt;1.5,1-O5/'Solver Model &amp; Output'!$D$3,1)</f>
        <v>0.30000000000000004</v>
      </c>
    </row>
    <row r="6" spans="2:16">
      <c r="B6" s="37">
        <v>10</v>
      </c>
      <c r="C6" s="40">
        <v>8.0000000000000007E-5</v>
      </c>
      <c r="D6" s="40">
        <v>4.0000000000000002E-4</v>
      </c>
      <c r="E6" s="40">
        <v>2E-3</v>
      </c>
      <c r="F6" s="40">
        <v>7.0000000000000001E-3</v>
      </c>
      <c r="G6" s="41">
        <v>0.02</v>
      </c>
      <c r="H6" s="41">
        <v>7.0000000000000007E-2</v>
      </c>
      <c r="I6" s="41">
        <v>0.2</v>
      </c>
      <c r="J6" s="41">
        <v>0.48</v>
      </c>
      <c r="K6" s="41">
        <v>0.84</v>
      </c>
      <c r="L6" s="41">
        <v>1</v>
      </c>
      <c r="N6" s="34">
        <v>2</v>
      </c>
      <c r="O6" s="35">
        <f>((VLOOKUP('Solver Model &amp; Output'!$I$3,'Solver Model &amp; Output'!$U$6:$V$14,2,FALSE)^N6)*'Solver Model &amp; Output'!$D$3)</f>
        <v>48.999999999999993</v>
      </c>
      <c r="P6" s="36">
        <f>IF(O6&gt;1.5,1-O6/'Solver Model &amp; Output'!$D$3,1)</f>
        <v>0.51</v>
      </c>
    </row>
    <row r="7" spans="2:16">
      <c r="B7" s="37">
        <v>25</v>
      </c>
      <c r="C7" s="40">
        <v>2.0000000000000001E-4</v>
      </c>
      <c r="D7" s="40">
        <v>1E-3</v>
      </c>
      <c r="E7" s="40">
        <v>4.0000000000000001E-3</v>
      </c>
      <c r="F7" s="41">
        <v>0.02</v>
      </c>
      <c r="G7" s="41">
        <v>0.06</v>
      </c>
      <c r="H7" s="41">
        <v>0.17</v>
      </c>
      <c r="I7" s="41">
        <v>0.43</v>
      </c>
      <c r="J7" s="41">
        <v>0.8</v>
      </c>
      <c r="K7" s="41">
        <v>0.99</v>
      </c>
      <c r="L7" s="41">
        <v>1</v>
      </c>
      <c r="N7" s="34">
        <v>3</v>
      </c>
      <c r="O7" s="35">
        <f>((VLOOKUP('Solver Model &amp; Output'!$I$3,'Solver Model &amp; Output'!$U$6:$V$14,2,FALSE)^N7)*'Solver Model &amp; Output'!$D$3)</f>
        <v>34.29999999999999</v>
      </c>
      <c r="P7" s="36">
        <f>IF(O7&gt;1.5,1-O7/'Solver Model &amp; Output'!$D$3,1)</f>
        <v>0.65700000000000003</v>
      </c>
    </row>
    <row r="8" spans="2:16">
      <c r="B8" s="37">
        <v>50</v>
      </c>
      <c r="C8" s="40">
        <v>4.0000000000000002E-4</v>
      </c>
      <c r="D8" s="40">
        <v>2E-3</v>
      </c>
      <c r="E8" s="40">
        <v>8.0000000000000002E-3</v>
      </c>
      <c r="F8" s="41">
        <v>0.03</v>
      </c>
      <c r="G8" s="41">
        <v>0.11</v>
      </c>
      <c r="H8" s="41">
        <v>0.31</v>
      </c>
      <c r="I8" s="41">
        <v>0.68</v>
      </c>
      <c r="J8" s="41">
        <v>0.96</v>
      </c>
      <c r="K8" s="41">
        <v>1</v>
      </c>
      <c r="L8" s="41">
        <v>1</v>
      </c>
      <c r="N8" s="34">
        <v>4</v>
      </c>
      <c r="O8" s="35">
        <f>((VLOOKUP('Solver Model &amp; Output'!$I$3,'Solver Model &amp; Output'!$U$6:$V$14,2,FALSE)^N8)*'Solver Model &amp; Output'!$D$3)</f>
        <v>24.009999999999991</v>
      </c>
      <c r="P8" s="36">
        <f>IF(O8&gt;1.5,1-O8/'Solver Model &amp; Output'!$D$3,1)</f>
        <v>0.75990000000000013</v>
      </c>
    </row>
    <row r="9" spans="2:16">
      <c r="B9" s="37">
        <v>100</v>
      </c>
      <c r="C9" s="40">
        <v>8.0000000000000004E-4</v>
      </c>
      <c r="D9" s="40">
        <v>4.0000000000000001E-3</v>
      </c>
      <c r="E9" s="41">
        <v>0.02</v>
      </c>
      <c r="F9" s="41">
        <v>0.06</v>
      </c>
      <c r="G9" s="41">
        <v>0.21</v>
      </c>
      <c r="H9" s="41">
        <v>0.53</v>
      </c>
      <c r="I9" s="41">
        <v>0.9</v>
      </c>
      <c r="J9" s="41">
        <v>1</v>
      </c>
      <c r="K9" s="41">
        <v>1</v>
      </c>
      <c r="L9" s="41">
        <v>1</v>
      </c>
      <c r="N9" s="34">
        <v>5</v>
      </c>
      <c r="O9" s="35">
        <f>((VLOOKUP('Solver Model &amp; Output'!$I$3,'Solver Model &amp; Output'!$U$6:$V$14,2,FALSE)^N9)*'Solver Model &amp; Output'!$D$3)</f>
        <v>16.806999999999995</v>
      </c>
      <c r="P9" s="36">
        <f>IF(O9&gt;1.5,1-O9/'Solver Model &amp; Output'!$D$3,1)</f>
        <v>0.83193000000000006</v>
      </c>
    </row>
    <row r="10" spans="2:16">
      <c r="B10" s="37">
        <v>250</v>
      </c>
      <c r="C10" s="40">
        <v>2E-3</v>
      </c>
      <c r="D10" s="41">
        <v>0.01</v>
      </c>
      <c r="E10" s="41">
        <v>0.04</v>
      </c>
      <c r="F10" s="41">
        <v>0.15</v>
      </c>
      <c r="G10" s="41">
        <v>0.44</v>
      </c>
      <c r="H10" s="41">
        <v>0.85</v>
      </c>
      <c r="I10" s="41">
        <v>1</v>
      </c>
      <c r="J10" s="41">
        <v>1</v>
      </c>
      <c r="K10" s="41">
        <v>1</v>
      </c>
      <c r="L10" s="41">
        <v>1</v>
      </c>
      <c r="N10" s="34">
        <v>6</v>
      </c>
      <c r="O10" s="35">
        <f>((VLOOKUP('Solver Model &amp; Output'!$I$3,'Solver Model &amp; Output'!$U$6:$V$14,2,FALSE)^N10)*'Solver Model &amp; Output'!$D$3)</f>
        <v>11.764899999999995</v>
      </c>
      <c r="P10" s="36">
        <f>IF(O10&gt;1.5,1-O10/'Solver Model &amp; Output'!$D$3,1)</f>
        <v>0.88235100000000011</v>
      </c>
    </row>
    <row r="11" spans="2:16">
      <c r="B11" s="37">
        <v>500</v>
      </c>
      <c r="C11" s="40">
        <v>4.0000000000000001E-3</v>
      </c>
      <c r="D11" s="41">
        <v>0.02</v>
      </c>
      <c r="E11" s="41">
        <v>0.08</v>
      </c>
      <c r="F11" s="41">
        <v>0.28000000000000003</v>
      </c>
      <c r="G11" s="41">
        <v>0.69</v>
      </c>
      <c r="H11" s="41">
        <v>0.98</v>
      </c>
      <c r="I11" s="41">
        <v>1</v>
      </c>
      <c r="J11" s="41">
        <v>1</v>
      </c>
      <c r="K11" s="41">
        <v>1</v>
      </c>
      <c r="L11" s="41">
        <v>1</v>
      </c>
      <c r="N11" s="34">
        <v>7</v>
      </c>
      <c r="O11" s="35">
        <f>((VLOOKUP('Solver Model &amp; Output'!$I$3,'Solver Model &amp; Output'!$U$6:$V$14,2,FALSE)^N11)*'Solver Model &amp; Output'!$D$3)</f>
        <v>8.2354299999999956</v>
      </c>
      <c r="P11" s="36">
        <f>IF(O11&gt;1.5,1-O11/'Solver Model &amp; Output'!$D$3,1)</f>
        <v>0.91764570000000001</v>
      </c>
    </row>
    <row r="12" spans="2:16">
      <c r="B12" s="37">
        <v>1000</v>
      </c>
      <c r="C12" s="40">
        <v>8.0000000000000002E-3</v>
      </c>
      <c r="D12" s="41">
        <v>0.04</v>
      </c>
      <c r="E12" s="41">
        <v>0.16</v>
      </c>
      <c r="F12" s="41">
        <v>0.48</v>
      </c>
      <c r="G12" s="41">
        <v>0.9</v>
      </c>
      <c r="H12" s="41">
        <v>1</v>
      </c>
      <c r="I12" s="41">
        <v>1</v>
      </c>
      <c r="J12" s="41">
        <v>1</v>
      </c>
      <c r="K12" s="41">
        <v>1</v>
      </c>
      <c r="L12" s="41">
        <v>1</v>
      </c>
      <c r="N12" s="34">
        <v>8</v>
      </c>
      <c r="O12" s="35">
        <f>((VLOOKUP('Solver Model &amp; Output'!$I$3,'Solver Model &amp; Output'!$U$6:$V$14,2,FALSE)^N12)*'Solver Model &amp; Output'!$D$3)</f>
        <v>5.7648009999999967</v>
      </c>
      <c r="P12" s="36">
        <f>IF(O12&gt;1.5,1-O12/'Solver Model &amp; Output'!$D$3,1)</f>
        <v>0.94235199000000003</v>
      </c>
    </row>
    <row r="13" spans="2:16">
      <c r="B13" s="37">
        <v>2500</v>
      </c>
      <c r="C13" s="41">
        <v>0.02</v>
      </c>
      <c r="D13" s="41">
        <v>0.09</v>
      </c>
      <c r="E13" s="41">
        <v>0.35</v>
      </c>
      <c r="F13" s="41">
        <v>0.81</v>
      </c>
      <c r="G13" s="41">
        <v>1</v>
      </c>
      <c r="H13" s="41">
        <v>1</v>
      </c>
      <c r="I13" s="41">
        <v>1</v>
      </c>
      <c r="J13" s="41">
        <v>1</v>
      </c>
      <c r="K13" s="41">
        <v>1</v>
      </c>
      <c r="L13" s="41">
        <v>1</v>
      </c>
      <c r="N13" s="34">
        <v>9</v>
      </c>
      <c r="O13" s="35">
        <f>((VLOOKUP('Solver Model &amp; Output'!$I$3,'Solver Model &amp; Output'!$U$6:$V$14,2,FALSE)^N13)*'Solver Model &amp; Output'!$D$3)</f>
        <v>4.0353606999999974</v>
      </c>
      <c r="P13" s="36">
        <f>IF(O13&gt;1.5,1-O13/'Solver Model &amp; Output'!$D$3,1)</f>
        <v>0.95964639299999999</v>
      </c>
    </row>
    <row r="14" spans="2:16">
      <c r="B14" s="37">
        <v>5000</v>
      </c>
      <c r="C14" s="41">
        <v>0.04</v>
      </c>
      <c r="D14" s="41">
        <v>0.18</v>
      </c>
      <c r="E14" s="41">
        <v>0.56999999999999995</v>
      </c>
      <c r="F14" s="41">
        <v>0.96</v>
      </c>
      <c r="G14" s="41">
        <v>1</v>
      </c>
      <c r="H14" s="41">
        <v>1</v>
      </c>
      <c r="I14" s="41">
        <v>1</v>
      </c>
      <c r="J14" s="41">
        <v>1</v>
      </c>
      <c r="K14" s="41">
        <v>1</v>
      </c>
      <c r="L14" s="41">
        <v>1</v>
      </c>
      <c r="N14" s="34">
        <v>10</v>
      </c>
      <c r="O14" s="35">
        <f>((VLOOKUP('Solver Model &amp; Output'!$I$3,'Solver Model &amp; Output'!$U$6:$V$14,2,FALSE)^N14)*'Solver Model &amp; Output'!$D$3)</f>
        <v>2.8247524899999981</v>
      </c>
      <c r="P14" s="36">
        <f>IF(O14&gt;1.5,1-O14/'Solver Model &amp; Output'!$D$3,1)</f>
        <v>0.97175247510000007</v>
      </c>
    </row>
    <row r="15" spans="2:16">
      <c r="B15" s="37">
        <v>10000</v>
      </c>
      <c r="C15" s="41">
        <v>7.0000000000000007E-2</v>
      </c>
      <c r="D15" s="41">
        <v>0.32</v>
      </c>
      <c r="E15" s="41">
        <v>0.82</v>
      </c>
      <c r="F15" s="41">
        <v>1</v>
      </c>
      <c r="G15" s="41">
        <v>1</v>
      </c>
      <c r="H15" s="41">
        <v>1</v>
      </c>
      <c r="I15" s="41">
        <v>1</v>
      </c>
      <c r="J15" s="41">
        <v>1</v>
      </c>
      <c r="K15" s="41">
        <v>1</v>
      </c>
      <c r="L15" s="41">
        <v>1</v>
      </c>
      <c r="N15" s="34">
        <v>11</v>
      </c>
      <c r="O15" s="35">
        <f>((VLOOKUP('Solver Model &amp; Output'!$I$3,'Solver Model &amp; Output'!$U$6:$V$14,2,FALSE)^N15)*'Solver Model &amp; Output'!$D$3)</f>
        <v>1.9773267429999983</v>
      </c>
      <c r="P15" s="36">
        <f>IF(O15&gt;1.5,1-O15/'Solver Model &amp; Output'!$D$3,1)</f>
        <v>0.98022673257000004</v>
      </c>
    </row>
    <row r="16" spans="2:16">
      <c r="N16" s="34">
        <v>12</v>
      </c>
      <c r="O16" s="35">
        <f>((VLOOKUP('Solver Model &amp; Output'!$I$3,'Solver Model &amp; Output'!$U$6:$V$14,2,FALSE)^N16)*'Solver Model &amp; Output'!$D$3)</f>
        <v>1.3841287200999985</v>
      </c>
      <c r="P16" s="36">
        <f>IF(O16&gt;1.5,1-O16/'Solver Model &amp; Output'!$D$3,1)</f>
        <v>1</v>
      </c>
    </row>
    <row r="17" spans="7:16">
      <c r="N17" s="34">
        <v>13</v>
      </c>
      <c r="O17" s="35">
        <f>((VLOOKUP('Solver Model &amp; Output'!$I$3,'Solver Model &amp; Output'!$U$6:$V$14,2,FALSE)^N17)*'Solver Model &amp; Output'!$D$3)</f>
        <v>0.96889010406999898</v>
      </c>
      <c r="P17" s="36">
        <f>IF(O17&gt;1.5,1-O17/'Solver Model &amp; Output'!$D$3,1)</f>
        <v>1</v>
      </c>
    </row>
    <row r="18" spans="7:16">
      <c r="G18" s="36"/>
      <c r="N18" s="34">
        <v>14</v>
      </c>
      <c r="O18" s="35">
        <f>((VLOOKUP('Solver Model &amp; Output'!$I$3,'Solver Model &amp; Output'!$U$6:$V$14,2,FALSE)^N18)*'Solver Model &amp; Output'!$D$3)</f>
        <v>0.6782230728489993</v>
      </c>
      <c r="P18" s="36">
        <f>IF(O18&gt;1.5,1-O18/'Solver Model &amp; Output'!$D$3,1)</f>
        <v>1</v>
      </c>
    </row>
    <row r="19" spans="7:16">
      <c r="N19" s="34">
        <v>15</v>
      </c>
      <c r="O19" s="35">
        <f>((VLOOKUP('Solver Model &amp; Output'!$I$3,'Solver Model &amp; Output'!$U$6:$V$14,2,FALSE)^N19)*'Solver Model &amp; Output'!$D$3)</f>
        <v>0.47475615099429941</v>
      </c>
      <c r="P19" s="36">
        <f>IF(O19&gt;1.5,1-O19/'Solver Model &amp; Output'!$D$3,1)</f>
        <v>1</v>
      </c>
    </row>
    <row r="20" spans="7:16">
      <c r="N20" s="34">
        <v>16</v>
      </c>
      <c r="O20" s="35">
        <f>((VLOOKUP('Solver Model &amp; Output'!$I$3,'Solver Model &amp; Output'!$U$6:$V$14,2,FALSE)^N20)*'Solver Model &amp; Output'!$D$3)</f>
        <v>0.3323293056960096</v>
      </c>
      <c r="P20" s="36">
        <f>IF(O20&gt;1.5,1-O20/'Solver Model &amp; Output'!$D$3,1)</f>
        <v>1</v>
      </c>
    </row>
    <row r="21" spans="7:16">
      <c r="N21" s="34">
        <v>17</v>
      </c>
      <c r="O21" s="35">
        <f>((VLOOKUP('Solver Model &amp; Output'!$I$3,'Solver Model &amp; Output'!$U$6:$V$14,2,FALSE)^N21)*'Solver Model &amp; Output'!$D$3)</f>
        <v>0.23263051398720669</v>
      </c>
      <c r="P21" s="36">
        <f>IF(O21&gt;1.5,1-O21/'Solver Model &amp; Output'!$D$3,1)</f>
        <v>1</v>
      </c>
    </row>
  </sheetData>
  <phoneticPr fontId="10" type="noConversion"/>
  <printOptions headings="1"/>
  <pageMargins left="0.7" right="0.7" top="0.75" bottom="0.75" header="0.3" footer="0.3"/>
  <pageSetup orientation="portrait" cellComments="asDisplayed"/>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sheetPr codeName="Sheet6" enableFormatConditionsCalculation="0"/>
  <dimension ref="A1:C28"/>
  <sheetViews>
    <sheetView workbookViewId="0"/>
  </sheetViews>
  <sheetFormatPr defaultColWidth="8.77734375" defaultRowHeight="14.4"/>
  <cols>
    <col min="1" max="2" width="36.6640625" customWidth="1"/>
  </cols>
  <sheetData>
    <row r="1" spans="1:3">
      <c r="A1" s="6" t="s">
        <v>112</v>
      </c>
    </row>
    <row r="3" spans="1:3">
      <c r="A3" t="s">
        <v>113</v>
      </c>
      <c r="B3" t="s">
        <v>114</v>
      </c>
      <c r="C3">
        <v>0</v>
      </c>
    </row>
    <row r="4" spans="1:3">
      <c r="A4" t="s">
        <v>115</v>
      </c>
    </row>
    <row r="5" spans="1:3">
      <c r="A5" t="s">
        <v>116</v>
      </c>
    </row>
    <row r="7" spans="1:3">
      <c r="A7" s="6" t="s">
        <v>117</v>
      </c>
      <c r="B7" t="s">
        <v>118</v>
      </c>
    </row>
    <row r="8" spans="1:3">
      <c r="B8">
        <v>2</v>
      </c>
    </row>
    <row r="10" spans="1:3">
      <c r="A10" t="s">
        <v>119</v>
      </c>
    </row>
    <row r="11" spans="1:3">
      <c r="A11" t="e">
        <f>CB_DATA_!#REF!</f>
        <v>#REF!</v>
      </c>
      <c r="B11" t="e">
        <f>#REF!</f>
        <v>#REF!</v>
      </c>
    </row>
    <row r="13" spans="1:3">
      <c r="A13" t="s">
        <v>120</v>
      </c>
    </row>
    <row r="14" spans="1:3">
      <c r="A14" t="s">
        <v>124</v>
      </c>
      <c r="B14" t="s">
        <v>128</v>
      </c>
    </row>
    <row r="16" spans="1:3">
      <c r="A16" t="s">
        <v>121</v>
      </c>
    </row>
    <row r="17" spans="1:2">
      <c r="B17">
        <v>1</v>
      </c>
    </row>
    <row r="19" spans="1:2">
      <c r="A19" t="s">
        <v>122</v>
      </c>
    </row>
    <row r="20" spans="1:2">
      <c r="A20">
        <v>28</v>
      </c>
      <c r="B20">
        <v>26</v>
      </c>
    </row>
    <row r="25" spans="1:2">
      <c r="A25" s="6" t="s">
        <v>123</v>
      </c>
    </row>
    <row r="26" spans="1:2">
      <c r="A26" s="5" t="s">
        <v>125</v>
      </c>
    </row>
    <row r="27" spans="1:2">
      <c r="A27" t="s">
        <v>126</v>
      </c>
    </row>
    <row r="28" spans="1:2">
      <c r="A28" s="5" t="s">
        <v>127</v>
      </c>
    </row>
  </sheetData>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Solver Model &amp; Output</vt:lpstr>
      <vt:lpstr>List of NFL Teams</vt:lpstr>
      <vt:lpstr>Game Data</vt:lpstr>
      <vt:lpstr>DVOA DATA</vt:lpstr>
      <vt:lpstr>Discount Rates</vt:lpstr>
      <vt:lpstr>ListNFLTeams</vt:lpstr>
      <vt:lpstr>NFLTEAMS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Fischer</dc:creator>
  <cp:lastModifiedBy>Greg</cp:lastModifiedBy>
  <dcterms:created xsi:type="dcterms:W3CDTF">2011-11-26T23:30:48Z</dcterms:created>
  <dcterms:modified xsi:type="dcterms:W3CDTF">2011-12-12T18:44:09Z</dcterms:modified>
</cp:coreProperties>
</file>