
<file path=[Content_Types].xml><?xml version="1.0" encoding="utf-8"?>
<Types xmlns="http://schemas.openxmlformats.org/package/2006/content-types">
  <Override PartName="/xl/worksheets/sheet7.xml" ContentType="application/vnd.openxmlformats-officedocument.spreadsheetml.worksheet+xml"/>
  <Override PartName="/xl/comments2.xml" ContentType="application/vnd.openxmlformats-officedocument.spreadsheetml.comments+xml"/>
  <Override PartName="/xl/worksheets/sheet2.xml" ContentType="application/vnd.openxmlformats-officedocument.spreadsheetml.worksheet+xml"/>
  <Override PartName="/xl/sharedStrings.xml" ContentType="application/vnd.openxmlformats-officedocument.spreadsheetml.sharedStrings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worksheets/sheet10.xml" ContentType="application/vnd.openxmlformats-officedocument.spreadsheetml.worksheet+xml"/>
  <Override PartName="/xl/comments4.xml" ContentType="application/vnd.openxmlformats-officedocument.spreadsheetml.comments+xml"/>
  <Default Extension="png" ContentType="image/png"/>
  <Override PartName="/xl/worksheets/sheet4.xml" ContentType="application/vnd.openxmlformats-officedocument.spreadsheetml.worksheet+xml"/>
  <Default Extension="xml" ContentType="application/xml"/>
  <Override PartName="/xl/worksheets/sheet6.xml" ContentType="application/vnd.openxmlformats-officedocument.spreadsheetml.worksheet+xml"/>
  <Override PartName="/docProps/app.xml" ContentType="application/vnd.openxmlformats-officedocument.extended-properties+xml"/>
  <Override PartName="/xl/workbook.xml" ContentType="application/vnd.openxmlformats-officedocument.spreadsheetml.sheet.main+xml"/>
  <Override PartName="/xl/comments1.xml" ContentType="application/vnd.openxmlformats-officedocument.spreadsheetml.comments+xml"/>
  <Override PartName="/xl/worksheets/sheet1.xml" ContentType="application/vnd.openxmlformats-officedocument.spreadsheetml.worksheet+xml"/>
  <Override PartName="/xl/worksheets/sheet8.xml" ContentType="application/vnd.openxmlformats-officedocument.spreadsheetml.worksheet+xml"/>
  <Override PartName="/xl/calcChain.xml" ContentType="application/vnd.openxmlformats-officedocument.spreadsheetml.calcChain+xml"/>
  <Override PartName="/xl/styles.xml" ContentType="application/vnd.openxmlformats-officedocument.spreadsheetml.styles+xml"/>
  <Override PartName="/xl/comments3.xml" ContentType="application/vnd.openxmlformats-officedocument.spreadsheetml.comments+xml"/>
  <Default Extension="vml" ContentType="application/vnd.openxmlformats-officedocument.vmlDrawing"/>
  <Override PartName="/xl/worksheets/sheet3.xml" ContentType="application/vnd.openxmlformats-officedocument.spreadsheetml.worksheet+xml"/>
  <Default Extension="rels" ContentType="application/vnd.openxmlformats-package.relationships+xml"/>
  <Override PartName="/xl/worksheets/sheet5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ate1904="1" showInkAnnotation="0" codeName="ThisWorkbook" autoCompressPictures="0"/>
  <bookViews>
    <workbookView xWindow="1220" yWindow="-20" windowWidth="24580" windowHeight="12400" tabRatio="847" firstSheet="1" activeTab="8"/>
  </bookViews>
  <sheets>
    <sheet name="CB_DATA_" sheetId="8" state="veryHidden" r:id="rId1"/>
    <sheet name="Output (Salad)" sheetId="4" r:id="rId2"/>
    <sheet name="Raw Data (Salad)" sheetId="5" r:id="rId3"/>
    <sheet name="Output (Entree)" sheetId="11" r:id="rId4"/>
    <sheet name="Raw Data (Entree)" sheetId="12" r:id="rId5"/>
    <sheet name="Output (Dessert)" sheetId="6" r:id="rId6"/>
    <sheet name="Raw Data (Dessert)" sheetId="7" r:id="rId7"/>
    <sheet name="Output" sheetId="2" r:id="rId8"/>
    <sheet name="Raw Data" sheetId="1" r:id="rId9"/>
    <sheet name="Food Pairing Data" sheetId="3" r:id="rId10"/>
  </sheets>
  <definedNames>
    <definedName name="CB_c2a4ca25ad9c45058948c8bab25a6d4c" localSheetId="5" hidden="1">'Output (Dessert)'!$C$5</definedName>
    <definedName name="CB_dc66fc9bba3b4954a6a47075ae002dff" localSheetId="5" hidden="1">'Output (Dessert)'!$D$4</definedName>
    <definedName name="CB_e96ab4ed6af644e7af2666d3f7e4a0e4" localSheetId="5" hidden="1">'Output (Dessert)'!$B$5</definedName>
    <definedName name="CBWorkbookPriority" localSheetId="0" hidden="1">-187446016</definedName>
    <definedName name="CBx_31e9e263c1fa4b5d9ce9b4d913d27b7e" localSheetId="0" hidden="1">"'Output (4)'!$A$1"</definedName>
    <definedName name="CBx_4475df2bc39e4164b931122b2929c371" localSheetId="0" hidden="1">"'Output (5)'!$A$1"</definedName>
    <definedName name="CBx_6e60866703e045b98d5efd2ac16233e1" localSheetId="0" hidden="1">"'Output (3)'!$A$1"</definedName>
    <definedName name="CBx_8c120081e1f543098c68e3c904e5ff77" localSheetId="0" hidden="1">"'CB_DATA_'!$A$1"</definedName>
    <definedName name="CBx_Sheet_Guid" localSheetId="0" hidden="1">"'8c120081-e1f5-4309-8c68-e3c904e5ff77"</definedName>
    <definedName name="CBx_Sheet_Guid" localSheetId="5" hidden="1">"'6e608667-03e0-45b9-8d5e-fd2ac16233e1"</definedName>
    <definedName name="CBx_Sheet_Guid" localSheetId="3" hidden="1">"'4475df2b-c39e-4164-b931-122b2929c371"</definedName>
    <definedName name="CBx_StorageType" localSheetId="5" hidden="1">1</definedName>
    <definedName name="CBx_StorageType" localSheetId="3" hidden="1">1</definedName>
    <definedName name="solver_adj" localSheetId="8" hidden="1">'Raw Data'!$J$3:$J$88</definedName>
    <definedName name="solver_adj" localSheetId="6" hidden="1">'Raw Data (Dessert)'!$J$3:$J$88</definedName>
    <definedName name="solver_adj" localSheetId="4" hidden="1">'Raw Data (Entree)'!$J$3:$J$88</definedName>
    <definedName name="solver_adj" localSheetId="2" hidden="1">'Raw Data (Salad)'!$J$2:$J$87</definedName>
    <definedName name="solver_cvg" localSheetId="5" hidden="1">0.0001</definedName>
    <definedName name="solver_cvg" localSheetId="8" hidden="1">0.0001</definedName>
    <definedName name="solver_cvg" localSheetId="6" hidden="1">0.0001</definedName>
    <definedName name="solver_cvg" localSheetId="4" hidden="1">0.0001</definedName>
    <definedName name="solver_cvg" localSheetId="2" hidden="1">0.0001</definedName>
    <definedName name="solver_drv" localSheetId="5" hidden="1">1</definedName>
    <definedName name="solver_drv" localSheetId="8" hidden="1">1</definedName>
    <definedName name="solver_drv" localSheetId="6" hidden="1">1</definedName>
    <definedName name="solver_drv" localSheetId="4" hidden="1">1</definedName>
    <definedName name="solver_drv" localSheetId="2" hidden="1">1</definedName>
    <definedName name="solver_eng" localSheetId="6" hidden="1">1</definedName>
    <definedName name="solver_eng" localSheetId="4" hidden="1">1</definedName>
    <definedName name="solver_est" localSheetId="5" hidden="1">1</definedName>
    <definedName name="solver_est" localSheetId="8" hidden="1">1</definedName>
    <definedName name="solver_est" localSheetId="6" hidden="1">1</definedName>
    <definedName name="solver_est" localSheetId="4" hidden="1">1</definedName>
    <definedName name="solver_est" localSheetId="2" hidden="1">1</definedName>
    <definedName name="solver_itr" localSheetId="5" hidden="1">100</definedName>
    <definedName name="solver_itr" localSheetId="8" hidden="1">100</definedName>
    <definedName name="solver_itr" localSheetId="6" hidden="1">100</definedName>
    <definedName name="solver_itr" localSheetId="4" hidden="1">100</definedName>
    <definedName name="solver_itr" localSheetId="2" hidden="1">100</definedName>
    <definedName name="solver_lhs1" localSheetId="8" hidden="1">'Raw Data'!$J$3:$J$88</definedName>
    <definedName name="solver_lhs1" localSheetId="6" hidden="1">'Raw Data (Dessert)'!$H$93</definedName>
    <definedName name="solver_lhs1" localSheetId="4" hidden="1">'Raw Data (Entree)'!$H$93</definedName>
    <definedName name="solver_lhs1" localSheetId="2" hidden="1">'Raw Data (Salad)'!$J$2:$J$87</definedName>
    <definedName name="solver_lhs2" localSheetId="8" hidden="1">'Raw Data'!$J$89</definedName>
    <definedName name="solver_lhs2" localSheetId="6" hidden="1">'Raw Data (Dessert)'!$J$3:$J$88</definedName>
    <definedName name="solver_lhs2" localSheetId="4" hidden="1">'Raw Data (Entree)'!$J$3:$J$88</definedName>
    <definedName name="solver_lhs2" localSheetId="2" hidden="1">'Raw Data (Salad)'!$J$88</definedName>
    <definedName name="solver_lhs3" localSheetId="8" hidden="1">'Raw Data'!$H$93</definedName>
    <definedName name="solver_lhs3" localSheetId="6" hidden="1">'Raw Data (Dessert)'!$J$89</definedName>
    <definedName name="solver_lhs3" localSheetId="4" hidden="1">'Raw Data (Entree)'!$J$89</definedName>
    <definedName name="solver_lhs3" localSheetId="2" hidden="1">'Raw Data (Salad)'!$H$92</definedName>
    <definedName name="solver_lin" localSheetId="5" hidden="1">2</definedName>
    <definedName name="solver_lin" localSheetId="8" hidden="1">2</definedName>
    <definedName name="solver_lin" localSheetId="6" hidden="1">2</definedName>
    <definedName name="solver_lin" localSheetId="4" hidden="1">2</definedName>
    <definedName name="solver_lin" localSheetId="2" hidden="1">2</definedName>
    <definedName name="solver_mip" localSheetId="6" hidden="1">2147483647</definedName>
    <definedName name="solver_mip" localSheetId="4" hidden="1">2147483647</definedName>
    <definedName name="solver_mni" localSheetId="6" hidden="1">30</definedName>
    <definedName name="solver_mni" localSheetId="4" hidden="1">30</definedName>
    <definedName name="solver_mrt" localSheetId="6" hidden="1">0.075</definedName>
    <definedName name="solver_mrt" localSheetId="4" hidden="1">0.075</definedName>
    <definedName name="solver_msl" localSheetId="6" hidden="1">2</definedName>
    <definedName name="solver_msl" localSheetId="4" hidden="1">2</definedName>
    <definedName name="solver_neg" localSheetId="5" hidden="1">2</definedName>
    <definedName name="solver_neg" localSheetId="8" hidden="1">2</definedName>
    <definedName name="solver_neg" localSheetId="6" hidden="1">2</definedName>
    <definedName name="solver_neg" localSheetId="4" hidden="1">2</definedName>
    <definedName name="solver_neg" localSheetId="2" hidden="1">2</definedName>
    <definedName name="solver_nod" localSheetId="6" hidden="1">2147483647</definedName>
    <definedName name="solver_nod" localSheetId="4" hidden="1">2147483647</definedName>
    <definedName name="solver_num" localSheetId="5" hidden="1">0</definedName>
    <definedName name="solver_num" localSheetId="8" hidden="1">3</definedName>
    <definedName name="solver_num" localSheetId="6" hidden="1">3</definedName>
    <definedName name="solver_num" localSheetId="4" hidden="1">3</definedName>
    <definedName name="solver_num" localSheetId="2" hidden="1">3</definedName>
    <definedName name="solver_nwt" localSheetId="5" hidden="1">1</definedName>
    <definedName name="solver_nwt" localSheetId="8" hidden="1">1</definedName>
    <definedName name="solver_nwt" localSheetId="6" hidden="1">1</definedName>
    <definedName name="solver_nwt" localSheetId="4" hidden="1">1</definedName>
    <definedName name="solver_nwt" localSheetId="2" hidden="1">1</definedName>
    <definedName name="solver_opt" localSheetId="5" hidden="1">'Output (Dessert)'!#REF!</definedName>
    <definedName name="solver_opt" localSheetId="8" hidden="1">'Raw Data'!$G$96</definedName>
    <definedName name="solver_opt" localSheetId="6" hidden="1">'Raw Data (Dessert)'!$G$96</definedName>
    <definedName name="solver_opt" localSheetId="4" hidden="1">'Raw Data (Entree)'!$G$96</definedName>
    <definedName name="solver_opt" localSheetId="2" hidden="1">'Raw Data (Salad)'!$I$89</definedName>
    <definedName name="solver_pre" localSheetId="5" hidden="1">0.000001</definedName>
    <definedName name="solver_pre" localSheetId="8" hidden="1">0.000001</definedName>
    <definedName name="solver_pre" localSheetId="6" hidden="1">0.000001</definedName>
    <definedName name="solver_pre" localSheetId="4" hidden="1">0.000001</definedName>
    <definedName name="solver_pre" localSheetId="2" hidden="1">0.000001</definedName>
    <definedName name="solver_rbv" localSheetId="6" hidden="1">1</definedName>
    <definedName name="solver_rbv" localSheetId="4" hidden="1">1</definedName>
    <definedName name="solver_rel1" localSheetId="8" hidden="1">5</definedName>
    <definedName name="solver_rel1" localSheetId="6" hidden="1">2</definedName>
    <definedName name="solver_rel1" localSheetId="4" hidden="1">2</definedName>
    <definedName name="solver_rel1" localSheetId="2" hidden="1">5</definedName>
    <definedName name="solver_rel2" localSheetId="8" hidden="1">2</definedName>
    <definedName name="solver_rel2" localSheetId="6" hidden="1">5</definedName>
    <definedName name="solver_rel2" localSheetId="4" hidden="1">5</definedName>
    <definedName name="solver_rel2" localSheetId="2" hidden="1">2</definedName>
    <definedName name="solver_rel3" localSheetId="8" hidden="1">2</definedName>
    <definedName name="solver_rel3" localSheetId="6" hidden="1">2</definedName>
    <definedName name="solver_rel3" localSheetId="4" hidden="1">2</definedName>
    <definedName name="solver_rel3" localSheetId="2" hidden="1">2</definedName>
    <definedName name="solver_rhs1" localSheetId="8" hidden="1">binary</definedName>
    <definedName name="solver_rhs1" localSheetId="6" hidden="1">'Raw Data (Dessert)'!$J$93</definedName>
    <definedName name="solver_rhs1" localSheetId="4" hidden="1">'Raw Data (Entree)'!$J$93</definedName>
    <definedName name="solver_rhs1" localSheetId="2" hidden="1">binary</definedName>
    <definedName name="solver_rhs2" localSheetId="8" hidden="1">'Raw Data'!$J$91</definedName>
    <definedName name="solver_rhs2" localSheetId="6" hidden="1">binary</definedName>
    <definedName name="solver_rhs2" localSheetId="4" hidden="1">binary</definedName>
    <definedName name="solver_rhs2" localSheetId="2" hidden="1">'Raw Data (Salad)'!$J$90</definedName>
    <definedName name="solver_rhs3" localSheetId="8" hidden="1">'Raw Data'!$J$93</definedName>
    <definedName name="solver_rhs3" localSheetId="6" hidden="1">'Raw Data (Dessert)'!$J$91</definedName>
    <definedName name="solver_rhs3" localSheetId="4" hidden="1">'Raw Data (Entree)'!$J$91</definedName>
    <definedName name="solver_rhs3" localSheetId="2" hidden="1">'Raw Data (Salad)'!$J$92</definedName>
    <definedName name="solver_rlx" localSheetId="6" hidden="1">1</definedName>
    <definedName name="solver_rlx" localSheetId="4" hidden="1">1</definedName>
    <definedName name="solver_rsd" localSheetId="6" hidden="1">0</definedName>
    <definedName name="solver_rsd" localSheetId="4" hidden="1">0</definedName>
    <definedName name="solver_scl" localSheetId="5" hidden="1">2</definedName>
    <definedName name="solver_scl" localSheetId="8" hidden="1">2</definedName>
    <definedName name="solver_scl" localSheetId="6" hidden="1">2</definedName>
    <definedName name="solver_scl" localSheetId="4" hidden="1">2</definedName>
    <definedName name="solver_scl" localSheetId="2" hidden="1">2</definedName>
    <definedName name="solver_sho" localSheetId="5" hidden="1">2</definedName>
    <definedName name="solver_sho" localSheetId="8" hidden="1">2</definedName>
    <definedName name="solver_sho" localSheetId="6" hidden="1">2</definedName>
    <definedName name="solver_sho" localSheetId="4" hidden="1">2</definedName>
    <definedName name="solver_sho" localSheetId="2" hidden="1">2</definedName>
    <definedName name="solver_ssz" localSheetId="6" hidden="1">100</definedName>
    <definedName name="solver_ssz" localSheetId="4" hidden="1">100</definedName>
    <definedName name="solver_tim" localSheetId="5" hidden="1">100</definedName>
    <definedName name="solver_tim" localSheetId="8" hidden="1">100</definedName>
    <definedName name="solver_tim" localSheetId="6" hidden="1">100</definedName>
    <definedName name="solver_tim" localSheetId="4" hidden="1">100</definedName>
    <definedName name="solver_tim" localSheetId="2" hidden="1">100</definedName>
    <definedName name="solver_tol" localSheetId="5" hidden="1">0.05</definedName>
    <definedName name="solver_tol" localSheetId="8" hidden="1">0.05</definedName>
    <definedName name="solver_tol" localSheetId="6" hidden="1">0.05</definedName>
    <definedName name="solver_tol" localSheetId="4" hidden="1">0.05</definedName>
    <definedName name="solver_tol" localSheetId="2" hidden="1">0.05</definedName>
    <definedName name="solver_typ" localSheetId="5" hidden="1">1</definedName>
    <definedName name="solver_typ" localSheetId="8" hidden="1">1</definedName>
    <definedName name="solver_typ" localSheetId="6" hidden="1">1</definedName>
    <definedName name="solver_typ" localSheetId="4" hidden="1">1</definedName>
    <definedName name="solver_typ" localSheetId="2" hidden="1">1</definedName>
    <definedName name="solver_val" localSheetId="5" hidden="1">0</definedName>
    <definedName name="solver_val" localSheetId="8" hidden="1">0</definedName>
    <definedName name="solver_val" localSheetId="6" hidden="1">0</definedName>
    <definedName name="solver_val" localSheetId="4" hidden="1">0</definedName>
    <definedName name="solver_val" localSheetId="2" hidden="1">0</definedName>
    <definedName name="solver_ver" localSheetId="6" hidden="1">3</definedName>
    <definedName name="solver_ver" localSheetId="4" hidden="1">3</definedName>
  </definedNames>
  <calcPr calcId="130407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E7" i="2"/>
  <c r="I8"/>
  <c r="I9"/>
  <c r="I10"/>
  <c r="I11"/>
  <c r="I12"/>
  <c r="I13"/>
  <c r="I14"/>
  <c r="I15"/>
  <c r="I16"/>
  <c r="I17"/>
  <c r="I18"/>
  <c r="I19"/>
  <c r="F6"/>
  <c r="A12"/>
  <c r="C12"/>
  <c r="E12"/>
  <c r="G12"/>
  <c r="B12"/>
  <c r="D12"/>
  <c r="F12"/>
  <c r="D5" i="6"/>
  <c r="H4"/>
  <c r="H5"/>
  <c r="H6"/>
  <c r="H7"/>
  <c r="H8"/>
  <c r="H9"/>
  <c r="H10"/>
  <c r="H11"/>
  <c r="H12"/>
  <c r="H13"/>
  <c r="H14"/>
  <c r="H15"/>
  <c r="D6"/>
  <c r="F4"/>
  <c r="B11"/>
  <c r="B15"/>
  <c r="B9"/>
  <c r="B13"/>
  <c r="B10"/>
  <c r="B12"/>
  <c r="B14"/>
  <c r="D6" i="11"/>
  <c r="H4"/>
  <c r="H5"/>
  <c r="H6"/>
  <c r="H7"/>
  <c r="H8"/>
  <c r="H9"/>
  <c r="F4"/>
  <c r="H10"/>
  <c r="H11"/>
  <c r="H12"/>
  <c r="H13"/>
  <c r="H14"/>
  <c r="H15"/>
  <c r="B9"/>
  <c r="B10"/>
  <c r="B11"/>
  <c r="B12"/>
  <c r="B13"/>
  <c r="B14"/>
  <c r="B15"/>
  <c r="D6" i="4"/>
  <c r="H4"/>
  <c r="H5"/>
  <c r="H6"/>
  <c r="H7"/>
  <c r="H8"/>
  <c r="H9"/>
  <c r="H10"/>
  <c r="H11"/>
  <c r="H12"/>
  <c r="H13"/>
  <c r="H14"/>
  <c r="H15"/>
  <c r="F4"/>
  <c r="B12"/>
  <c r="B9"/>
  <c r="B11"/>
  <c r="B13"/>
  <c r="B15"/>
  <c r="B14"/>
  <c r="B10"/>
  <c r="F3" i="1"/>
  <c r="G3"/>
  <c r="T3"/>
  <c r="U3"/>
  <c r="V3"/>
  <c r="W3"/>
  <c r="X3"/>
  <c r="Y3"/>
  <c r="Z3"/>
  <c r="AA3"/>
  <c r="AB3"/>
  <c r="AC3"/>
  <c r="AD3"/>
  <c r="AE3"/>
  <c r="AF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F4"/>
  <c r="G4"/>
  <c r="T4"/>
  <c r="U4"/>
  <c r="V4"/>
  <c r="W4"/>
  <c r="X4"/>
  <c r="Y4"/>
  <c r="Z4"/>
  <c r="AA4"/>
  <c r="AB4"/>
  <c r="AC4"/>
  <c r="AD4"/>
  <c r="AE4"/>
  <c r="AF4"/>
  <c r="F5"/>
  <c r="G5"/>
  <c r="T5"/>
  <c r="U5"/>
  <c r="V5"/>
  <c r="W5"/>
  <c r="X5"/>
  <c r="Y5"/>
  <c r="Z5"/>
  <c r="AA5"/>
  <c r="AB5"/>
  <c r="AC5"/>
  <c r="AD5"/>
  <c r="AE5"/>
  <c r="AF5"/>
  <c r="F6"/>
  <c r="G6"/>
  <c r="T6"/>
  <c r="U6"/>
  <c r="V6"/>
  <c r="W6"/>
  <c r="X6"/>
  <c r="Y6"/>
  <c r="Z6"/>
  <c r="AA6"/>
  <c r="AB6"/>
  <c r="AC6"/>
  <c r="AD6"/>
  <c r="AE6"/>
  <c r="AF6"/>
  <c r="F7"/>
  <c r="G7"/>
  <c r="T7"/>
  <c r="U7"/>
  <c r="V7"/>
  <c r="W7"/>
  <c r="X7"/>
  <c r="Y7"/>
  <c r="Z7"/>
  <c r="AA7"/>
  <c r="AB7"/>
  <c r="AC7"/>
  <c r="AD7"/>
  <c r="AE7"/>
  <c r="AF7"/>
  <c r="F8"/>
  <c r="G8"/>
  <c r="T8"/>
  <c r="U8"/>
  <c r="V8"/>
  <c r="W8"/>
  <c r="X8"/>
  <c r="Y8"/>
  <c r="Z8"/>
  <c r="AA8"/>
  <c r="AB8"/>
  <c r="AC8"/>
  <c r="AD8"/>
  <c r="AE8"/>
  <c r="AF8"/>
  <c r="F9"/>
  <c r="G9"/>
  <c r="T9"/>
  <c r="U9"/>
  <c r="V9"/>
  <c r="W9"/>
  <c r="X9"/>
  <c r="Y9"/>
  <c r="Z9"/>
  <c r="AA9"/>
  <c r="AB9"/>
  <c r="AC9"/>
  <c r="AD9"/>
  <c r="AE9"/>
  <c r="AF9"/>
  <c r="F10"/>
  <c r="G10"/>
  <c r="F11"/>
  <c r="G11"/>
  <c r="T11"/>
  <c r="U11"/>
  <c r="V11"/>
  <c r="W11"/>
  <c r="X11"/>
  <c r="Y11"/>
  <c r="Z11"/>
  <c r="AA11"/>
  <c r="AB11"/>
  <c r="AC11"/>
  <c r="AD11"/>
  <c r="AE11"/>
  <c r="AF11"/>
  <c r="F12"/>
  <c r="G12"/>
  <c r="T12"/>
  <c r="U12"/>
  <c r="V12"/>
  <c r="W12"/>
  <c r="X12"/>
  <c r="Y12"/>
  <c r="Z12"/>
  <c r="AA12"/>
  <c r="AB12"/>
  <c r="AC12"/>
  <c r="AD12"/>
  <c r="AE12"/>
  <c r="AF12"/>
  <c r="F13"/>
  <c r="G13"/>
  <c r="T13"/>
  <c r="U13"/>
  <c r="V13"/>
  <c r="W13"/>
  <c r="X13"/>
  <c r="Y13"/>
  <c r="Z13"/>
  <c r="AA13"/>
  <c r="AB13"/>
  <c r="AC13"/>
  <c r="AD13"/>
  <c r="AE13"/>
  <c r="AF13"/>
  <c r="F14"/>
  <c r="G14"/>
  <c r="F15"/>
  <c r="G15"/>
  <c r="T15"/>
  <c r="U15"/>
  <c r="V15"/>
  <c r="W15"/>
  <c r="X15"/>
  <c r="Y15"/>
  <c r="Z15"/>
  <c r="AA15"/>
  <c r="AB15"/>
  <c r="AC15"/>
  <c r="AD15"/>
  <c r="AE15"/>
  <c r="AF15"/>
  <c r="F16"/>
  <c r="G16"/>
  <c r="T16"/>
  <c r="U16"/>
  <c r="V16"/>
  <c r="W16"/>
  <c r="X16"/>
  <c r="Y16"/>
  <c r="Z16"/>
  <c r="AA16"/>
  <c r="AB16"/>
  <c r="AC16"/>
  <c r="AD16"/>
  <c r="AE16"/>
  <c r="AF16"/>
  <c r="F17"/>
  <c r="G17"/>
  <c r="T17"/>
  <c r="U17"/>
  <c r="V17"/>
  <c r="W17"/>
  <c r="X17"/>
  <c r="Y17"/>
  <c r="Z17"/>
  <c r="AA17"/>
  <c r="AB17"/>
  <c r="AC17"/>
  <c r="AD17"/>
  <c r="AE17"/>
  <c r="AF17"/>
  <c r="F18"/>
  <c r="G18"/>
  <c r="T18"/>
  <c r="U18"/>
  <c r="V18"/>
  <c r="W18"/>
  <c r="X18"/>
  <c r="Y18"/>
  <c r="Z18"/>
  <c r="AA18"/>
  <c r="AB18"/>
  <c r="AC18"/>
  <c r="AD18"/>
  <c r="AE18"/>
  <c r="AF18"/>
  <c r="F19"/>
  <c r="G19"/>
  <c r="T19"/>
  <c r="U19"/>
  <c r="V19"/>
  <c r="W19"/>
  <c r="X19"/>
  <c r="Y19"/>
  <c r="Z19"/>
  <c r="AA19"/>
  <c r="AB19"/>
  <c r="AC19"/>
  <c r="AD19"/>
  <c r="AE19"/>
  <c r="AF19"/>
  <c r="F20"/>
  <c r="G20"/>
  <c r="T20"/>
  <c r="U20"/>
  <c r="V20"/>
  <c r="W20"/>
  <c r="X20"/>
  <c r="Y20"/>
  <c r="Z20"/>
  <c r="AA20"/>
  <c r="AB20"/>
  <c r="AC20"/>
  <c r="AD20"/>
  <c r="AE20"/>
  <c r="AF20"/>
  <c r="F21"/>
  <c r="G21"/>
  <c r="T21"/>
  <c r="U21"/>
  <c r="V21"/>
  <c r="W21"/>
  <c r="X21"/>
  <c r="Y21"/>
  <c r="Z21"/>
  <c r="AA21"/>
  <c r="AB21"/>
  <c r="AC21"/>
  <c r="AD21"/>
  <c r="AE21"/>
  <c r="AF21"/>
  <c r="F22"/>
  <c r="G22"/>
  <c r="T22"/>
  <c r="U22"/>
  <c r="V22"/>
  <c r="W22"/>
  <c r="X22"/>
  <c r="Y22"/>
  <c r="Z22"/>
  <c r="AA22"/>
  <c r="AB22"/>
  <c r="AC22"/>
  <c r="AD22"/>
  <c r="AE22"/>
  <c r="AF22"/>
  <c r="F23"/>
  <c r="G23"/>
  <c r="T23"/>
  <c r="U23"/>
  <c r="V23"/>
  <c r="W23"/>
  <c r="X23"/>
  <c r="Y23"/>
  <c r="Z23"/>
  <c r="AA23"/>
  <c r="AB23"/>
  <c r="AC23"/>
  <c r="AD23"/>
  <c r="AE23"/>
  <c r="AF23"/>
  <c r="F24"/>
  <c r="G24"/>
  <c r="T24"/>
  <c r="U24"/>
  <c r="V24"/>
  <c r="W24"/>
  <c r="X24"/>
  <c r="Y24"/>
  <c r="Z24"/>
  <c r="AA24"/>
  <c r="AB24"/>
  <c r="AC24"/>
  <c r="AD24"/>
  <c r="AE24"/>
  <c r="AF24"/>
  <c r="F25"/>
  <c r="G25"/>
  <c r="T25"/>
  <c r="U25"/>
  <c r="V25"/>
  <c r="W25"/>
  <c r="X25"/>
  <c r="Y25"/>
  <c r="Z25"/>
  <c r="AA25"/>
  <c r="AB25"/>
  <c r="AC25"/>
  <c r="AD25"/>
  <c r="AE25"/>
  <c r="AF25"/>
  <c r="F26"/>
  <c r="G26"/>
  <c r="T26"/>
  <c r="U26"/>
  <c r="V26"/>
  <c r="W26"/>
  <c r="X26"/>
  <c r="Y26"/>
  <c r="Z26"/>
  <c r="AA26"/>
  <c r="AB26"/>
  <c r="AC26"/>
  <c r="AD26"/>
  <c r="AE26"/>
  <c r="AF26"/>
  <c r="F27"/>
  <c r="G27"/>
  <c r="T27"/>
  <c r="U27"/>
  <c r="V27"/>
  <c r="W27"/>
  <c r="X27"/>
  <c r="Y27"/>
  <c r="Z27"/>
  <c r="AA27"/>
  <c r="AB27"/>
  <c r="AC27"/>
  <c r="AD27"/>
  <c r="AE27"/>
  <c r="AF27"/>
  <c r="F28"/>
  <c r="G28"/>
  <c r="T28"/>
  <c r="U28"/>
  <c r="V28"/>
  <c r="W28"/>
  <c r="X28"/>
  <c r="Y28"/>
  <c r="Z28"/>
  <c r="AA28"/>
  <c r="AB28"/>
  <c r="AC28"/>
  <c r="AD28"/>
  <c r="AE28"/>
  <c r="AF28"/>
  <c r="F29"/>
  <c r="G29"/>
  <c r="T29"/>
  <c r="U29"/>
  <c r="V29"/>
  <c r="W29"/>
  <c r="X29"/>
  <c r="Y29"/>
  <c r="Z29"/>
  <c r="AA29"/>
  <c r="AB29"/>
  <c r="AC29"/>
  <c r="AD29"/>
  <c r="AE29"/>
  <c r="AF29"/>
  <c r="F30"/>
  <c r="G30"/>
  <c r="T30"/>
  <c r="U30"/>
  <c r="V30"/>
  <c r="W30"/>
  <c r="X30"/>
  <c r="Y30"/>
  <c r="Z30"/>
  <c r="AA30"/>
  <c r="AB30"/>
  <c r="AC30"/>
  <c r="AD30"/>
  <c r="AE30"/>
  <c r="AF30"/>
  <c r="F31"/>
  <c r="G31"/>
  <c r="T31"/>
  <c r="U31"/>
  <c r="V31"/>
  <c r="W31"/>
  <c r="X31"/>
  <c r="Y31"/>
  <c r="Z31"/>
  <c r="AA31"/>
  <c r="AB31"/>
  <c r="AC31"/>
  <c r="AD31"/>
  <c r="AE31"/>
  <c r="AF31"/>
  <c r="F32"/>
  <c r="G32"/>
  <c r="F33"/>
  <c r="G33"/>
  <c r="T33"/>
  <c r="U33"/>
  <c r="V33"/>
  <c r="W33"/>
  <c r="X33"/>
  <c r="Y33"/>
  <c r="Z33"/>
  <c r="AA33"/>
  <c r="AB33"/>
  <c r="AC33"/>
  <c r="AD33"/>
  <c r="AE33"/>
  <c r="AF33"/>
  <c r="F34"/>
  <c r="G34"/>
  <c r="T34"/>
  <c r="U34"/>
  <c r="V34"/>
  <c r="W34"/>
  <c r="X34"/>
  <c r="Y34"/>
  <c r="Z34"/>
  <c r="AA34"/>
  <c r="AB34"/>
  <c r="AC34"/>
  <c r="AD34"/>
  <c r="AE34"/>
  <c r="AF34"/>
  <c r="F35"/>
  <c r="G35"/>
  <c r="T35"/>
  <c r="U35"/>
  <c r="V35"/>
  <c r="W35"/>
  <c r="X35"/>
  <c r="Y35"/>
  <c r="Z35"/>
  <c r="AA35"/>
  <c r="AB35"/>
  <c r="AC35"/>
  <c r="AD35"/>
  <c r="AE35"/>
  <c r="AF35"/>
  <c r="F36"/>
  <c r="G36"/>
  <c r="T36"/>
  <c r="U36"/>
  <c r="V36"/>
  <c r="W36"/>
  <c r="X36"/>
  <c r="Y36"/>
  <c r="Z36"/>
  <c r="AA36"/>
  <c r="AB36"/>
  <c r="AC36"/>
  <c r="AD36"/>
  <c r="AE36"/>
  <c r="AF36"/>
  <c r="F37"/>
  <c r="G37"/>
  <c r="T37"/>
  <c r="U37"/>
  <c r="V37"/>
  <c r="W37"/>
  <c r="X37"/>
  <c r="Y37"/>
  <c r="Z37"/>
  <c r="AA37"/>
  <c r="AB37"/>
  <c r="AC37"/>
  <c r="AD37"/>
  <c r="AE37"/>
  <c r="AF37"/>
  <c r="F38"/>
  <c r="G38"/>
  <c r="T38"/>
  <c r="U38"/>
  <c r="V38"/>
  <c r="W38"/>
  <c r="X38"/>
  <c r="Y38"/>
  <c r="Z38"/>
  <c r="AA38"/>
  <c r="AB38"/>
  <c r="AC38"/>
  <c r="AD38"/>
  <c r="AE38"/>
  <c r="AF38"/>
  <c r="F39"/>
  <c r="G39"/>
  <c r="T39"/>
  <c r="U39"/>
  <c r="V39"/>
  <c r="W39"/>
  <c r="X39"/>
  <c r="Y39"/>
  <c r="Z39"/>
  <c r="AA39"/>
  <c r="AB39"/>
  <c r="AC39"/>
  <c r="AD39"/>
  <c r="AE39"/>
  <c r="AF39"/>
  <c r="F40"/>
  <c r="G40"/>
  <c r="F41"/>
  <c r="G41"/>
  <c r="T41"/>
  <c r="U41"/>
  <c r="V41"/>
  <c r="W41"/>
  <c r="X41"/>
  <c r="Y41"/>
  <c r="Z41"/>
  <c r="AA41"/>
  <c r="AB41"/>
  <c r="AC41"/>
  <c r="AD41"/>
  <c r="AE41"/>
  <c r="AF41"/>
  <c r="F42"/>
  <c r="G42"/>
  <c r="T42"/>
  <c r="U42"/>
  <c r="V42"/>
  <c r="W42"/>
  <c r="X42"/>
  <c r="Y42"/>
  <c r="Z42"/>
  <c r="AA42"/>
  <c r="AB42"/>
  <c r="AC42"/>
  <c r="AD42"/>
  <c r="AE42"/>
  <c r="AF42"/>
  <c r="F43"/>
  <c r="G43"/>
  <c r="T43"/>
  <c r="U43"/>
  <c r="V43"/>
  <c r="W43"/>
  <c r="X43"/>
  <c r="Y43"/>
  <c r="Z43"/>
  <c r="AA43"/>
  <c r="AB43"/>
  <c r="AC43"/>
  <c r="AD43"/>
  <c r="AE43"/>
  <c r="AF43"/>
  <c r="F44"/>
  <c r="G44"/>
  <c r="T44"/>
  <c r="U44"/>
  <c r="V44"/>
  <c r="W44"/>
  <c r="X44"/>
  <c r="Y44"/>
  <c r="Z44"/>
  <c r="AA44"/>
  <c r="AB44"/>
  <c r="AC44"/>
  <c r="AD44"/>
  <c r="AE44"/>
  <c r="AF44"/>
  <c r="F45"/>
  <c r="G45"/>
  <c r="T45"/>
  <c r="U45"/>
  <c r="V45"/>
  <c r="W45"/>
  <c r="X45"/>
  <c r="Y45"/>
  <c r="Z45"/>
  <c r="AA45"/>
  <c r="AB45"/>
  <c r="AC45"/>
  <c r="AD45"/>
  <c r="AE45"/>
  <c r="AF45"/>
  <c r="F46"/>
  <c r="G46"/>
  <c r="T46"/>
  <c r="U46"/>
  <c r="V46"/>
  <c r="W46"/>
  <c r="X46"/>
  <c r="Y46"/>
  <c r="Z46"/>
  <c r="AA46"/>
  <c r="AB46"/>
  <c r="AC46"/>
  <c r="AD46"/>
  <c r="AE46"/>
  <c r="AF46"/>
  <c r="F47"/>
  <c r="G47"/>
  <c r="T47"/>
  <c r="U47"/>
  <c r="V47"/>
  <c r="W47"/>
  <c r="X47"/>
  <c r="Y47"/>
  <c r="Z47"/>
  <c r="AA47"/>
  <c r="AB47"/>
  <c r="AC47"/>
  <c r="AD47"/>
  <c r="AE47"/>
  <c r="AF47"/>
  <c r="F48"/>
  <c r="G48"/>
  <c r="T48"/>
  <c r="U48"/>
  <c r="V48"/>
  <c r="W48"/>
  <c r="X48"/>
  <c r="Y48"/>
  <c r="Z48"/>
  <c r="AA48"/>
  <c r="AB48"/>
  <c r="AC48"/>
  <c r="AD48"/>
  <c r="AE48"/>
  <c r="AF48"/>
  <c r="F49"/>
  <c r="G49"/>
  <c r="T49"/>
  <c r="U49"/>
  <c r="V49"/>
  <c r="W49"/>
  <c r="X49"/>
  <c r="Y49"/>
  <c r="Z49"/>
  <c r="AA49"/>
  <c r="AB49"/>
  <c r="AC49"/>
  <c r="AD49"/>
  <c r="AE49"/>
  <c r="AF49"/>
  <c r="F50"/>
  <c r="G50"/>
  <c r="T50"/>
  <c r="U50"/>
  <c r="V50"/>
  <c r="W50"/>
  <c r="X50"/>
  <c r="Y50"/>
  <c r="Z50"/>
  <c r="AA50"/>
  <c r="AB50"/>
  <c r="AC50"/>
  <c r="AD50"/>
  <c r="AE50"/>
  <c r="AF50"/>
  <c r="F51"/>
  <c r="G51"/>
  <c r="T51"/>
  <c r="U51"/>
  <c r="V51"/>
  <c r="W51"/>
  <c r="X51"/>
  <c r="Y51"/>
  <c r="Z51"/>
  <c r="AA51"/>
  <c r="AB51"/>
  <c r="AC51"/>
  <c r="AD51"/>
  <c r="AE51"/>
  <c r="AF51"/>
  <c r="F52"/>
  <c r="G52"/>
  <c r="T52"/>
  <c r="U52"/>
  <c r="V52"/>
  <c r="W52"/>
  <c r="X52"/>
  <c r="Y52"/>
  <c r="Z52"/>
  <c r="AA52"/>
  <c r="AB52"/>
  <c r="AC52"/>
  <c r="AD52"/>
  <c r="AE52"/>
  <c r="AF52"/>
  <c r="F53"/>
  <c r="G53"/>
  <c r="T53"/>
  <c r="U53"/>
  <c r="V53"/>
  <c r="W53"/>
  <c r="X53"/>
  <c r="Y53"/>
  <c r="Z53"/>
  <c r="AA53"/>
  <c r="AB53"/>
  <c r="AC53"/>
  <c r="AD53"/>
  <c r="AE53"/>
  <c r="AF53"/>
  <c r="F54"/>
  <c r="G54"/>
  <c r="T54"/>
  <c r="U54"/>
  <c r="V54"/>
  <c r="W54"/>
  <c r="X54"/>
  <c r="Y54"/>
  <c r="Z54"/>
  <c r="AA54"/>
  <c r="AB54"/>
  <c r="AC54"/>
  <c r="AD54"/>
  <c r="AE54"/>
  <c r="AF54"/>
  <c r="F55"/>
  <c r="G55"/>
  <c r="T55"/>
  <c r="U55"/>
  <c r="V55"/>
  <c r="W55"/>
  <c r="X55"/>
  <c r="Y55"/>
  <c r="Z55"/>
  <c r="AA55"/>
  <c r="AB55"/>
  <c r="AC55"/>
  <c r="AD55"/>
  <c r="AE55"/>
  <c r="AF55"/>
  <c r="F56"/>
  <c r="G56"/>
  <c r="T56"/>
  <c r="U56"/>
  <c r="V56"/>
  <c r="W56"/>
  <c r="X56"/>
  <c r="Y56"/>
  <c r="Z56"/>
  <c r="AA56"/>
  <c r="AB56"/>
  <c r="AC56"/>
  <c r="AD56"/>
  <c r="AE56"/>
  <c r="AF56"/>
  <c r="F57"/>
  <c r="G57"/>
  <c r="T57"/>
  <c r="U57"/>
  <c r="V57"/>
  <c r="W57"/>
  <c r="X57"/>
  <c r="Y57"/>
  <c r="Z57"/>
  <c r="AA57"/>
  <c r="AB57"/>
  <c r="AC57"/>
  <c r="AD57"/>
  <c r="AE57"/>
  <c r="AF57"/>
  <c r="F58"/>
  <c r="G58"/>
  <c r="T58"/>
  <c r="U58"/>
  <c r="V58"/>
  <c r="W58"/>
  <c r="X58"/>
  <c r="Y58"/>
  <c r="Z58"/>
  <c r="AA58"/>
  <c r="AB58"/>
  <c r="AC58"/>
  <c r="AD58"/>
  <c r="AE58"/>
  <c r="AF58"/>
  <c r="F59"/>
  <c r="G59"/>
  <c r="T59"/>
  <c r="U59"/>
  <c r="V59"/>
  <c r="W59"/>
  <c r="X59"/>
  <c r="Y59"/>
  <c r="Z59"/>
  <c r="AA59"/>
  <c r="AB59"/>
  <c r="AC59"/>
  <c r="AD59"/>
  <c r="AE59"/>
  <c r="AF59"/>
  <c r="F60"/>
  <c r="G60"/>
  <c r="T60"/>
  <c r="U60"/>
  <c r="V60"/>
  <c r="W60"/>
  <c r="X60"/>
  <c r="Y60"/>
  <c r="Z60"/>
  <c r="AA60"/>
  <c r="AB60"/>
  <c r="AC60"/>
  <c r="AD60"/>
  <c r="AE60"/>
  <c r="AF60"/>
  <c r="F61"/>
  <c r="G61"/>
  <c r="F62"/>
  <c r="G62"/>
  <c r="T62"/>
  <c r="U62"/>
  <c r="V62"/>
  <c r="W62"/>
  <c r="X62"/>
  <c r="Y62"/>
  <c r="Z62"/>
  <c r="AA62"/>
  <c r="AB62"/>
  <c r="AC62"/>
  <c r="AD62"/>
  <c r="AE62"/>
  <c r="AF62"/>
  <c r="F63"/>
  <c r="G63"/>
  <c r="T63"/>
  <c r="U63"/>
  <c r="V63"/>
  <c r="W63"/>
  <c r="X63"/>
  <c r="Y63"/>
  <c r="Z63"/>
  <c r="AA63"/>
  <c r="AB63"/>
  <c r="AC63"/>
  <c r="AD63"/>
  <c r="AE63"/>
  <c r="AF63"/>
  <c r="F64"/>
  <c r="G64"/>
  <c r="T64"/>
  <c r="U64"/>
  <c r="V64"/>
  <c r="W64"/>
  <c r="X64"/>
  <c r="Y64"/>
  <c r="Z64"/>
  <c r="AA64"/>
  <c r="AB64"/>
  <c r="AC64"/>
  <c r="AD64"/>
  <c r="AE64"/>
  <c r="AF64"/>
  <c r="F65"/>
  <c r="G65"/>
  <c r="T65"/>
  <c r="U65"/>
  <c r="V65"/>
  <c r="W65"/>
  <c r="X65"/>
  <c r="Y65"/>
  <c r="Z65"/>
  <c r="AA65"/>
  <c r="AB65"/>
  <c r="AC65"/>
  <c r="AD65"/>
  <c r="AE65"/>
  <c r="AF65"/>
  <c r="F66"/>
  <c r="G66"/>
  <c r="T66"/>
  <c r="U66"/>
  <c r="V66"/>
  <c r="W66"/>
  <c r="X66"/>
  <c r="Y66"/>
  <c r="Z66"/>
  <c r="AA66"/>
  <c r="AB66"/>
  <c r="AC66"/>
  <c r="AD66"/>
  <c r="AE66"/>
  <c r="AF66"/>
  <c r="F67"/>
  <c r="G67"/>
  <c r="T67"/>
  <c r="U67"/>
  <c r="V67"/>
  <c r="W67"/>
  <c r="X67"/>
  <c r="Y67"/>
  <c r="Z67"/>
  <c r="AA67"/>
  <c r="AB67"/>
  <c r="AC67"/>
  <c r="AD67"/>
  <c r="AE67"/>
  <c r="AF67"/>
  <c r="F68"/>
  <c r="G68"/>
  <c r="T68"/>
  <c r="U68"/>
  <c r="V68"/>
  <c r="W68"/>
  <c r="X68"/>
  <c r="Y68"/>
  <c r="Z68"/>
  <c r="AA68"/>
  <c r="AB68"/>
  <c r="AC68"/>
  <c r="AD68"/>
  <c r="AE68"/>
  <c r="AF68"/>
  <c r="F69"/>
  <c r="G69"/>
  <c r="T69"/>
  <c r="U69"/>
  <c r="V69"/>
  <c r="W69"/>
  <c r="X69"/>
  <c r="Y69"/>
  <c r="Z69"/>
  <c r="AA69"/>
  <c r="AB69"/>
  <c r="AC69"/>
  <c r="AD69"/>
  <c r="AE69"/>
  <c r="AF69"/>
  <c r="F70"/>
  <c r="G70"/>
  <c r="T70"/>
  <c r="U70"/>
  <c r="V70"/>
  <c r="W70"/>
  <c r="X70"/>
  <c r="Y70"/>
  <c r="Z70"/>
  <c r="AA70"/>
  <c r="AB70"/>
  <c r="AC70"/>
  <c r="AD70"/>
  <c r="AE70"/>
  <c r="AF70"/>
  <c r="F71"/>
  <c r="G71"/>
  <c r="T71"/>
  <c r="U71"/>
  <c r="V71"/>
  <c r="W71"/>
  <c r="X71"/>
  <c r="Y71"/>
  <c r="Z71"/>
  <c r="AA71"/>
  <c r="AB71"/>
  <c r="AC71"/>
  <c r="AD71"/>
  <c r="AE71"/>
  <c r="AF71"/>
  <c r="F72"/>
  <c r="G72"/>
  <c r="T72"/>
  <c r="U72"/>
  <c r="V72"/>
  <c r="W72"/>
  <c r="X72"/>
  <c r="Y72"/>
  <c r="Z72"/>
  <c r="AA72"/>
  <c r="AB72"/>
  <c r="AC72"/>
  <c r="AD72"/>
  <c r="AE72"/>
  <c r="AF72"/>
  <c r="F73"/>
  <c r="G73"/>
  <c r="T73"/>
  <c r="U73"/>
  <c r="V73"/>
  <c r="W73"/>
  <c r="X73"/>
  <c r="Y73"/>
  <c r="Z73"/>
  <c r="AA73"/>
  <c r="AB73"/>
  <c r="AC73"/>
  <c r="AD73"/>
  <c r="AE73"/>
  <c r="AF73"/>
  <c r="F74"/>
  <c r="G74"/>
  <c r="T74"/>
  <c r="U74"/>
  <c r="V74"/>
  <c r="W74"/>
  <c r="X74"/>
  <c r="Y74"/>
  <c r="Z74"/>
  <c r="AA74"/>
  <c r="AB74"/>
  <c r="AC74"/>
  <c r="AD74"/>
  <c r="AE74"/>
  <c r="AF74"/>
  <c r="F75"/>
  <c r="G75"/>
  <c r="T75"/>
  <c r="U75"/>
  <c r="V75"/>
  <c r="W75"/>
  <c r="X75"/>
  <c r="Y75"/>
  <c r="Z75"/>
  <c r="AA75"/>
  <c r="AB75"/>
  <c r="AC75"/>
  <c r="AD75"/>
  <c r="AE75"/>
  <c r="AF75"/>
  <c r="F76"/>
  <c r="G76"/>
  <c r="T76"/>
  <c r="U76"/>
  <c r="V76"/>
  <c r="W76"/>
  <c r="X76"/>
  <c r="Y76"/>
  <c r="Z76"/>
  <c r="AA76"/>
  <c r="AB76"/>
  <c r="AC76"/>
  <c r="AD76"/>
  <c r="AE76"/>
  <c r="AF76"/>
  <c r="F77"/>
  <c r="G77"/>
  <c r="T77"/>
  <c r="U77"/>
  <c r="V77"/>
  <c r="W77"/>
  <c r="X77"/>
  <c r="Y77"/>
  <c r="Z77"/>
  <c r="AA77"/>
  <c r="AB77"/>
  <c r="AC77"/>
  <c r="AD77"/>
  <c r="AE77"/>
  <c r="AF77"/>
  <c r="F78"/>
  <c r="G78"/>
  <c r="T78"/>
  <c r="U78"/>
  <c r="V78"/>
  <c r="W78"/>
  <c r="X78"/>
  <c r="Y78"/>
  <c r="Z78"/>
  <c r="AA78"/>
  <c r="AB78"/>
  <c r="AC78"/>
  <c r="AD78"/>
  <c r="AE78"/>
  <c r="AF78"/>
  <c r="F79"/>
  <c r="G79"/>
  <c r="T79"/>
  <c r="U79"/>
  <c r="V79"/>
  <c r="W79"/>
  <c r="X79"/>
  <c r="Y79"/>
  <c r="Z79"/>
  <c r="AA79"/>
  <c r="AB79"/>
  <c r="AC79"/>
  <c r="AD79"/>
  <c r="AE79"/>
  <c r="AF79"/>
  <c r="F80"/>
  <c r="G80"/>
  <c r="F81"/>
  <c r="G81"/>
  <c r="T81"/>
  <c r="U81"/>
  <c r="V81"/>
  <c r="W81"/>
  <c r="X81"/>
  <c r="Y81"/>
  <c r="Z81"/>
  <c r="AA81"/>
  <c r="AB81"/>
  <c r="AC81"/>
  <c r="AD81"/>
  <c r="AE81"/>
  <c r="AF81"/>
  <c r="F82"/>
  <c r="G82"/>
  <c r="T82"/>
  <c r="U82"/>
  <c r="V82"/>
  <c r="W82"/>
  <c r="X82"/>
  <c r="Y82"/>
  <c r="Z82"/>
  <c r="AA82"/>
  <c r="AB82"/>
  <c r="AC82"/>
  <c r="AD82"/>
  <c r="AE82"/>
  <c r="AF82"/>
  <c r="F83"/>
  <c r="G83"/>
  <c r="F84"/>
  <c r="G84"/>
  <c r="T84"/>
  <c r="U84"/>
  <c r="V84"/>
  <c r="W84"/>
  <c r="X84"/>
  <c r="Y84"/>
  <c r="Z84"/>
  <c r="AA84"/>
  <c r="AB84"/>
  <c r="AC84"/>
  <c r="AD84"/>
  <c r="AE84"/>
  <c r="AF84"/>
  <c r="F85"/>
  <c r="G85"/>
  <c r="T85"/>
  <c r="U85"/>
  <c r="V85"/>
  <c r="W85"/>
  <c r="X85"/>
  <c r="Y85"/>
  <c r="Z85"/>
  <c r="AA85"/>
  <c r="AB85"/>
  <c r="AC85"/>
  <c r="AD85"/>
  <c r="AE85"/>
  <c r="AF85"/>
  <c r="F86"/>
  <c r="G86"/>
  <c r="T86"/>
  <c r="U86"/>
  <c r="V86"/>
  <c r="W86"/>
  <c r="X86"/>
  <c r="Y86"/>
  <c r="Z86"/>
  <c r="AA86"/>
  <c r="AB86"/>
  <c r="AC86"/>
  <c r="AD86"/>
  <c r="AE86"/>
  <c r="AF86"/>
  <c r="F87"/>
  <c r="G87"/>
  <c r="T87"/>
  <c r="U87"/>
  <c r="V87"/>
  <c r="W87"/>
  <c r="X87"/>
  <c r="Y87"/>
  <c r="Z87"/>
  <c r="AA87"/>
  <c r="AB87"/>
  <c r="AC87"/>
  <c r="AD87"/>
  <c r="AE87"/>
  <c r="AF87"/>
  <c r="F88"/>
  <c r="G88"/>
  <c r="T88"/>
  <c r="U88"/>
  <c r="V88"/>
  <c r="W88"/>
  <c r="X88"/>
  <c r="Y88"/>
  <c r="Z88"/>
  <c r="AA88"/>
  <c r="AB88"/>
  <c r="AC88"/>
  <c r="AD88"/>
  <c r="AE88"/>
  <c r="AF88"/>
  <c r="J89"/>
  <c r="E93"/>
  <c r="F93"/>
  <c r="G93"/>
  <c r="H93"/>
  <c r="E3"/>
  <c r="I3"/>
  <c r="E4"/>
  <c r="I4"/>
  <c r="E5"/>
  <c r="I5"/>
  <c r="E6"/>
  <c r="I6"/>
  <c r="E7"/>
  <c r="I7"/>
  <c r="E8"/>
  <c r="I8"/>
  <c r="E9"/>
  <c r="I9"/>
  <c r="E10"/>
  <c r="I10"/>
  <c r="E15"/>
  <c r="I15"/>
  <c r="E16"/>
  <c r="I16"/>
  <c r="E17"/>
  <c r="I17"/>
  <c r="E18"/>
  <c r="I18"/>
  <c r="E19"/>
  <c r="I19"/>
  <c r="E20"/>
  <c r="I20"/>
  <c r="E21"/>
  <c r="I21"/>
  <c r="E22"/>
  <c r="I22"/>
  <c r="E23"/>
  <c r="I23"/>
  <c r="E24"/>
  <c r="I24"/>
  <c r="E25"/>
  <c r="I25"/>
  <c r="E26"/>
  <c r="I26"/>
  <c r="E27"/>
  <c r="I27"/>
  <c r="E28"/>
  <c r="I28"/>
  <c r="E29"/>
  <c r="I29"/>
  <c r="E30"/>
  <c r="I30"/>
  <c r="E31"/>
  <c r="I31"/>
  <c r="E32"/>
  <c r="I32"/>
  <c r="E41"/>
  <c r="I41"/>
  <c r="E42"/>
  <c r="I42"/>
  <c r="E43"/>
  <c r="I43"/>
  <c r="E44"/>
  <c r="I44"/>
  <c r="E45"/>
  <c r="I45"/>
  <c r="E46"/>
  <c r="I46"/>
  <c r="E47"/>
  <c r="I47"/>
  <c r="E48"/>
  <c r="I48"/>
  <c r="E49"/>
  <c r="I49"/>
  <c r="E50"/>
  <c r="I50"/>
  <c r="E51"/>
  <c r="I51"/>
  <c r="E52"/>
  <c r="I52"/>
  <c r="E53"/>
  <c r="I53"/>
  <c r="E54"/>
  <c r="I54"/>
  <c r="E55"/>
  <c r="I55"/>
  <c r="E56"/>
  <c r="I56"/>
  <c r="E57"/>
  <c r="I57"/>
  <c r="E58"/>
  <c r="I58"/>
  <c r="E59"/>
  <c r="I59"/>
  <c r="E60"/>
  <c r="I60"/>
  <c r="E61"/>
  <c r="I61"/>
  <c r="E81"/>
  <c r="I81"/>
  <c r="E82"/>
  <c r="I82"/>
  <c r="E83"/>
  <c r="I83"/>
  <c r="E62"/>
  <c r="I62"/>
  <c r="E63"/>
  <c r="I63"/>
  <c r="E64"/>
  <c r="I64"/>
  <c r="E65"/>
  <c r="I65"/>
  <c r="E66"/>
  <c r="I66"/>
  <c r="E67"/>
  <c r="I67"/>
  <c r="E68"/>
  <c r="I68"/>
  <c r="E69"/>
  <c r="I69"/>
  <c r="E70"/>
  <c r="I70"/>
  <c r="E71"/>
  <c r="I71"/>
  <c r="E72"/>
  <c r="I72"/>
  <c r="E73"/>
  <c r="I73"/>
  <c r="E74"/>
  <c r="I74"/>
  <c r="E75"/>
  <c r="I75"/>
  <c r="E76"/>
  <c r="I76"/>
  <c r="E77"/>
  <c r="I77"/>
  <c r="E78"/>
  <c r="I78"/>
  <c r="E79"/>
  <c r="I79"/>
  <c r="E80"/>
  <c r="I80"/>
  <c r="E11"/>
  <c r="I11"/>
  <c r="E12"/>
  <c r="I12"/>
  <c r="E13"/>
  <c r="I13"/>
  <c r="E14"/>
  <c r="I14"/>
  <c r="E33"/>
  <c r="I33"/>
  <c r="E34"/>
  <c r="I34"/>
  <c r="E35"/>
  <c r="I35"/>
  <c r="E36"/>
  <c r="I36"/>
  <c r="E37"/>
  <c r="I37"/>
  <c r="E38"/>
  <c r="I38"/>
  <c r="E39"/>
  <c r="I39"/>
  <c r="E40"/>
  <c r="I40"/>
  <c r="E84"/>
  <c r="I84"/>
  <c r="E85"/>
  <c r="I85"/>
  <c r="E86"/>
  <c r="I86"/>
  <c r="E87"/>
  <c r="I87"/>
  <c r="E88"/>
  <c r="I88"/>
  <c r="G96"/>
  <c r="C99"/>
  <c r="E99"/>
  <c r="G99"/>
  <c r="I99"/>
  <c r="D99"/>
  <c r="F99"/>
  <c r="H99"/>
  <c r="F3" i="7"/>
  <c r="G3"/>
  <c r="K3"/>
  <c r="U3"/>
  <c r="V3"/>
  <c r="W3"/>
  <c r="X3"/>
  <c r="Y3"/>
  <c r="Z3"/>
  <c r="AA3"/>
  <c r="AB3"/>
  <c r="AC3"/>
  <c r="AD3"/>
  <c r="AE3"/>
  <c r="AF3"/>
  <c r="AG3"/>
  <c r="A4"/>
  <c r="F4"/>
  <c r="G4"/>
  <c r="K4"/>
  <c r="U4"/>
  <c r="V4"/>
  <c r="W4"/>
  <c r="X4"/>
  <c r="Y4"/>
  <c r="Z4"/>
  <c r="AA4"/>
  <c r="AB4"/>
  <c r="AC4"/>
  <c r="AD4"/>
  <c r="AE4"/>
  <c r="AF4"/>
  <c r="AG4"/>
  <c r="A5"/>
  <c r="A6"/>
  <c r="A7"/>
  <c r="A8"/>
  <c r="A9"/>
  <c r="F5"/>
  <c r="G5"/>
  <c r="K5"/>
  <c r="U5"/>
  <c r="V5"/>
  <c r="W5"/>
  <c r="X5"/>
  <c r="Y5"/>
  <c r="Z5"/>
  <c r="AA5"/>
  <c r="AB5"/>
  <c r="AC5"/>
  <c r="AD5"/>
  <c r="AE5"/>
  <c r="AF5"/>
  <c r="AG5"/>
  <c r="F6"/>
  <c r="G6"/>
  <c r="K6"/>
  <c r="U6"/>
  <c r="V6"/>
  <c r="W6"/>
  <c r="X6"/>
  <c r="Y6"/>
  <c r="Z6"/>
  <c r="AA6"/>
  <c r="AB6"/>
  <c r="AC6"/>
  <c r="AD6"/>
  <c r="AE6"/>
  <c r="AF6"/>
  <c r="AG6"/>
  <c r="F7"/>
  <c r="G7"/>
  <c r="K7"/>
  <c r="U7"/>
  <c r="V7"/>
  <c r="W7"/>
  <c r="X7"/>
  <c r="Y7"/>
  <c r="Z7"/>
  <c r="AA7"/>
  <c r="AB7"/>
  <c r="AC7"/>
  <c r="AD7"/>
  <c r="AE7"/>
  <c r="AF7"/>
  <c r="AG7"/>
  <c r="F8"/>
  <c r="G8"/>
  <c r="K8"/>
  <c r="U8"/>
  <c r="V8"/>
  <c r="W8"/>
  <c r="X8"/>
  <c r="Y8"/>
  <c r="Z8"/>
  <c r="AA8"/>
  <c r="AB8"/>
  <c r="AC8"/>
  <c r="AD8"/>
  <c r="AE8"/>
  <c r="AF8"/>
  <c r="F9"/>
  <c r="G9"/>
  <c r="K9"/>
  <c r="U9"/>
  <c r="V9"/>
  <c r="W9"/>
  <c r="X9"/>
  <c r="Y9"/>
  <c r="Z9"/>
  <c r="AA9"/>
  <c r="AB9"/>
  <c r="AC9"/>
  <c r="AD9"/>
  <c r="AE9"/>
  <c r="AF9"/>
  <c r="AG9"/>
  <c r="A10"/>
  <c r="A11"/>
  <c r="A12"/>
  <c r="A13"/>
  <c r="A14"/>
  <c r="A15"/>
  <c r="F10"/>
  <c r="G10"/>
  <c r="K10"/>
  <c r="F11"/>
  <c r="G11"/>
  <c r="K11"/>
  <c r="U11"/>
  <c r="V11"/>
  <c r="W11"/>
  <c r="X11"/>
  <c r="Y11"/>
  <c r="Z11"/>
  <c r="AA11"/>
  <c r="AB11"/>
  <c r="AC11"/>
  <c r="AD11"/>
  <c r="AE11"/>
  <c r="AF11"/>
  <c r="AG11"/>
  <c r="F12"/>
  <c r="G12"/>
  <c r="K12"/>
  <c r="J89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E99"/>
  <c r="U12"/>
  <c r="V12"/>
  <c r="W12"/>
  <c r="X12"/>
  <c r="Y12"/>
  <c r="Z12"/>
  <c r="AA12"/>
  <c r="AB12"/>
  <c r="AC12"/>
  <c r="AD12"/>
  <c r="AE12"/>
  <c r="AF12"/>
  <c r="F13"/>
  <c r="G13"/>
  <c r="U13"/>
  <c r="V13"/>
  <c r="W13"/>
  <c r="X13"/>
  <c r="Y13"/>
  <c r="Z13"/>
  <c r="AA13"/>
  <c r="AB13"/>
  <c r="AC13"/>
  <c r="AD13"/>
  <c r="AE13"/>
  <c r="AF13"/>
  <c r="F14"/>
  <c r="G14"/>
  <c r="F15"/>
  <c r="G15"/>
  <c r="U15"/>
  <c r="V15"/>
  <c r="W15"/>
  <c r="X15"/>
  <c r="Y15"/>
  <c r="Z15"/>
  <c r="AA15"/>
  <c r="AB15"/>
  <c r="AC15"/>
  <c r="AD15"/>
  <c r="AE15"/>
  <c r="AF15"/>
  <c r="AG15"/>
  <c r="A16"/>
  <c r="A17"/>
  <c r="A18"/>
  <c r="F16"/>
  <c r="G16"/>
  <c r="U16"/>
  <c r="V16"/>
  <c r="W16"/>
  <c r="X16"/>
  <c r="Y16"/>
  <c r="Z16"/>
  <c r="AA16"/>
  <c r="AB16"/>
  <c r="AC16"/>
  <c r="AD16"/>
  <c r="AE16"/>
  <c r="AF16"/>
  <c r="F17"/>
  <c r="G17"/>
  <c r="U17"/>
  <c r="V17"/>
  <c r="W17"/>
  <c r="X17"/>
  <c r="Y17"/>
  <c r="Z17"/>
  <c r="AA17"/>
  <c r="AB17"/>
  <c r="AC17"/>
  <c r="AD17"/>
  <c r="AE17"/>
  <c r="AF17"/>
  <c r="AG17"/>
  <c r="F18"/>
  <c r="G18"/>
  <c r="U18"/>
  <c r="V18"/>
  <c r="W18"/>
  <c r="X18"/>
  <c r="Y18"/>
  <c r="Z18"/>
  <c r="AA18"/>
  <c r="AB18"/>
  <c r="AC18"/>
  <c r="AD18"/>
  <c r="AE18"/>
  <c r="AF18"/>
  <c r="AG18"/>
  <c r="A19"/>
  <c r="A20"/>
  <c r="A21"/>
  <c r="A22"/>
  <c r="A23"/>
  <c r="A24"/>
  <c r="A25"/>
  <c r="A26"/>
  <c r="A27"/>
  <c r="F19"/>
  <c r="G19"/>
  <c r="U19"/>
  <c r="V19"/>
  <c r="W19"/>
  <c r="X19"/>
  <c r="Y19"/>
  <c r="Z19"/>
  <c r="AA19"/>
  <c r="AB19"/>
  <c r="AC19"/>
  <c r="AD19"/>
  <c r="AE19"/>
  <c r="AF19"/>
  <c r="AG19"/>
  <c r="F20"/>
  <c r="G20"/>
  <c r="U20"/>
  <c r="V20"/>
  <c r="W20"/>
  <c r="X20"/>
  <c r="Y20"/>
  <c r="Z20"/>
  <c r="AA20"/>
  <c r="AB20"/>
  <c r="AC20"/>
  <c r="AD20"/>
  <c r="AE20"/>
  <c r="AF20"/>
  <c r="AG20"/>
  <c r="F21"/>
  <c r="G21"/>
  <c r="U21"/>
  <c r="V21"/>
  <c r="W21"/>
  <c r="W22"/>
  <c r="W23"/>
  <c r="W24"/>
  <c r="W25"/>
  <c r="W26"/>
  <c r="W27"/>
  <c r="W28"/>
  <c r="W29"/>
  <c r="W30"/>
  <c r="W31"/>
  <c r="W33"/>
  <c r="W34"/>
  <c r="W35"/>
  <c r="W36"/>
  <c r="W37"/>
  <c r="W38"/>
  <c r="W39"/>
  <c r="W41"/>
  <c r="W42"/>
  <c r="W43"/>
  <c r="W44"/>
  <c r="W45"/>
  <c r="W46"/>
  <c r="W47"/>
  <c r="W48"/>
  <c r="W49"/>
  <c r="W50"/>
  <c r="W51"/>
  <c r="W52"/>
  <c r="W53"/>
  <c r="W54"/>
  <c r="W55"/>
  <c r="W56"/>
  <c r="W57"/>
  <c r="W58"/>
  <c r="W59"/>
  <c r="W60"/>
  <c r="W62"/>
  <c r="W63"/>
  <c r="W64"/>
  <c r="W65"/>
  <c r="W66"/>
  <c r="W67"/>
  <c r="W68"/>
  <c r="W69"/>
  <c r="W70"/>
  <c r="W71"/>
  <c r="W72"/>
  <c r="W73"/>
  <c r="W74"/>
  <c r="W75"/>
  <c r="W76"/>
  <c r="W77"/>
  <c r="W78"/>
  <c r="W79"/>
  <c r="W81"/>
  <c r="W82"/>
  <c r="W84"/>
  <c r="W85"/>
  <c r="W86"/>
  <c r="W87"/>
  <c r="W88"/>
  <c r="W89"/>
  <c r="X21"/>
  <c r="Y21"/>
  <c r="Z21"/>
  <c r="AA21"/>
  <c r="AB21"/>
  <c r="AC21"/>
  <c r="AD21"/>
  <c r="AE21"/>
  <c r="AE22"/>
  <c r="AE23"/>
  <c r="AE24"/>
  <c r="AE25"/>
  <c r="AE26"/>
  <c r="AE27"/>
  <c r="AE28"/>
  <c r="AE29"/>
  <c r="AE30"/>
  <c r="AE31"/>
  <c r="AE33"/>
  <c r="AE34"/>
  <c r="AE35"/>
  <c r="AE36"/>
  <c r="AE37"/>
  <c r="AE38"/>
  <c r="AE39"/>
  <c r="AE41"/>
  <c r="AE42"/>
  <c r="AE43"/>
  <c r="AE44"/>
  <c r="AE45"/>
  <c r="AE46"/>
  <c r="AE47"/>
  <c r="AE48"/>
  <c r="AE49"/>
  <c r="AE50"/>
  <c r="AE51"/>
  <c r="AE52"/>
  <c r="AE53"/>
  <c r="AE54"/>
  <c r="AE55"/>
  <c r="AE56"/>
  <c r="AE57"/>
  <c r="AE58"/>
  <c r="AE59"/>
  <c r="AE60"/>
  <c r="AE62"/>
  <c r="AE63"/>
  <c r="AE64"/>
  <c r="AE65"/>
  <c r="AE66"/>
  <c r="AE67"/>
  <c r="AE68"/>
  <c r="AE69"/>
  <c r="AE70"/>
  <c r="AE71"/>
  <c r="AE72"/>
  <c r="AE73"/>
  <c r="AE74"/>
  <c r="AE75"/>
  <c r="AE76"/>
  <c r="AE77"/>
  <c r="AE78"/>
  <c r="AE79"/>
  <c r="AE81"/>
  <c r="AE82"/>
  <c r="AE84"/>
  <c r="AE85"/>
  <c r="AE86"/>
  <c r="AE87"/>
  <c r="AE88"/>
  <c r="AE89"/>
  <c r="AF21"/>
  <c r="AG21"/>
  <c r="F22"/>
  <c r="G22"/>
  <c r="U22"/>
  <c r="V22"/>
  <c r="X22"/>
  <c r="Y22"/>
  <c r="Z22"/>
  <c r="AA22"/>
  <c r="AB22"/>
  <c r="AC22"/>
  <c r="AD22"/>
  <c r="AF22"/>
  <c r="AG22"/>
  <c r="F23"/>
  <c r="G23"/>
  <c r="U23"/>
  <c r="V23"/>
  <c r="X23"/>
  <c r="Y23"/>
  <c r="Z23"/>
  <c r="AA23"/>
  <c r="AB23"/>
  <c r="AC23"/>
  <c r="AD23"/>
  <c r="AF23"/>
  <c r="F24"/>
  <c r="G24"/>
  <c r="U24"/>
  <c r="V24"/>
  <c r="X24"/>
  <c r="Y24"/>
  <c r="Z24"/>
  <c r="AA24"/>
  <c r="AB24"/>
  <c r="AC24"/>
  <c r="AD24"/>
  <c r="AF24"/>
  <c r="F25"/>
  <c r="G25"/>
  <c r="U25"/>
  <c r="V25"/>
  <c r="X25"/>
  <c r="Y25"/>
  <c r="Z25"/>
  <c r="AA25"/>
  <c r="AB25"/>
  <c r="AC25"/>
  <c r="AD25"/>
  <c r="AF25"/>
  <c r="F26"/>
  <c r="G26"/>
  <c r="U26"/>
  <c r="V26"/>
  <c r="X26"/>
  <c r="Y26"/>
  <c r="Z26"/>
  <c r="AA26"/>
  <c r="AB26"/>
  <c r="AC26"/>
  <c r="AD26"/>
  <c r="AF26"/>
  <c r="AG26"/>
  <c r="F27"/>
  <c r="G27"/>
  <c r="U27"/>
  <c r="V27"/>
  <c r="X27"/>
  <c r="Y27"/>
  <c r="Z27"/>
  <c r="AA27"/>
  <c r="AB27"/>
  <c r="AC27"/>
  <c r="AD27"/>
  <c r="AF27"/>
  <c r="AG27"/>
  <c r="A28"/>
  <c r="A29"/>
  <c r="A30"/>
  <c r="A31"/>
  <c r="A32"/>
  <c r="A33"/>
  <c r="A34"/>
  <c r="A35"/>
  <c r="F28"/>
  <c r="G28"/>
  <c r="U28"/>
  <c r="V28"/>
  <c r="X28"/>
  <c r="Y28"/>
  <c r="Z28"/>
  <c r="AA28"/>
  <c r="AB28"/>
  <c r="AC28"/>
  <c r="AD28"/>
  <c r="AF28"/>
  <c r="AG28"/>
  <c r="F29"/>
  <c r="G29"/>
  <c r="U29"/>
  <c r="V29"/>
  <c r="X29"/>
  <c r="Y29"/>
  <c r="Z29"/>
  <c r="AA29"/>
  <c r="AB29"/>
  <c r="AC29"/>
  <c r="AD29"/>
  <c r="AF29"/>
  <c r="AG29"/>
  <c r="F30"/>
  <c r="G30"/>
  <c r="U30"/>
  <c r="V30"/>
  <c r="X30"/>
  <c r="Y30"/>
  <c r="Z30"/>
  <c r="AA30"/>
  <c r="AB30"/>
  <c r="AC30"/>
  <c r="AD30"/>
  <c r="AF30"/>
  <c r="AG30"/>
  <c r="F31"/>
  <c r="G31"/>
  <c r="U31"/>
  <c r="V31"/>
  <c r="X31"/>
  <c r="Y31"/>
  <c r="Z31"/>
  <c r="AA31"/>
  <c r="AB31"/>
  <c r="AC31"/>
  <c r="AD31"/>
  <c r="AF31"/>
  <c r="AG31"/>
  <c r="F32"/>
  <c r="G32"/>
  <c r="F33"/>
  <c r="G33"/>
  <c r="U33"/>
  <c r="V33"/>
  <c r="X33"/>
  <c r="Y33"/>
  <c r="Z33"/>
  <c r="AA33"/>
  <c r="AB33"/>
  <c r="AC33"/>
  <c r="AD33"/>
  <c r="AF33"/>
  <c r="AG33"/>
  <c r="F34"/>
  <c r="G34"/>
  <c r="U34"/>
  <c r="V34"/>
  <c r="X34"/>
  <c r="Y34"/>
  <c r="Z34"/>
  <c r="AA34"/>
  <c r="AB34"/>
  <c r="AC34"/>
  <c r="AD34"/>
  <c r="AF34"/>
  <c r="AG34"/>
  <c r="F35"/>
  <c r="G35"/>
  <c r="U35"/>
  <c r="V35"/>
  <c r="X35"/>
  <c r="Y35"/>
  <c r="Z35"/>
  <c r="AA35"/>
  <c r="AB35"/>
  <c r="AC35"/>
  <c r="AD35"/>
  <c r="AF35"/>
  <c r="AG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F36"/>
  <c r="G36"/>
  <c r="U36"/>
  <c r="V36"/>
  <c r="X36"/>
  <c r="Y36"/>
  <c r="Z36"/>
  <c r="AA36"/>
  <c r="AB36"/>
  <c r="AC36"/>
  <c r="AD36"/>
  <c r="AF36"/>
  <c r="AG36"/>
  <c r="F37"/>
  <c r="G37"/>
  <c r="U37"/>
  <c r="V37"/>
  <c r="X37"/>
  <c r="Y37"/>
  <c r="Z37"/>
  <c r="AA37"/>
  <c r="AB37"/>
  <c r="AC37"/>
  <c r="AD37"/>
  <c r="AF37"/>
  <c r="AG37"/>
  <c r="F38"/>
  <c r="G38"/>
  <c r="U38"/>
  <c r="V38"/>
  <c r="X38"/>
  <c r="Y38"/>
  <c r="Z38"/>
  <c r="AA38"/>
  <c r="AB38"/>
  <c r="AC38"/>
  <c r="AD38"/>
  <c r="AF38"/>
  <c r="AG38"/>
  <c r="F39"/>
  <c r="G39"/>
  <c r="U39"/>
  <c r="V39"/>
  <c r="X39"/>
  <c r="Y39"/>
  <c r="Z39"/>
  <c r="AA39"/>
  <c r="AB39"/>
  <c r="AC39"/>
  <c r="AD39"/>
  <c r="AF39"/>
  <c r="AG39"/>
  <c r="F40"/>
  <c r="G40"/>
  <c r="F41"/>
  <c r="G41"/>
  <c r="U41"/>
  <c r="V41"/>
  <c r="X41"/>
  <c r="Y41"/>
  <c r="Z41"/>
  <c r="AA41"/>
  <c r="AB41"/>
  <c r="AC41"/>
  <c r="AD41"/>
  <c r="AF41"/>
  <c r="AG41"/>
  <c r="F42"/>
  <c r="G42"/>
  <c r="U42"/>
  <c r="V42"/>
  <c r="X42"/>
  <c r="Y42"/>
  <c r="Z42"/>
  <c r="AA42"/>
  <c r="AB42"/>
  <c r="AC42"/>
  <c r="AD42"/>
  <c r="AF42"/>
  <c r="AG42"/>
  <c r="F43"/>
  <c r="G43"/>
  <c r="U43"/>
  <c r="V43"/>
  <c r="X43"/>
  <c r="Y43"/>
  <c r="Z43"/>
  <c r="AA43"/>
  <c r="AB43"/>
  <c r="AC43"/>
  <c r="AD43"/>
  <c r="AF43"/>
  <c r="AG43"/>
  <c r="F44"/>
  <c r="G44"/>
  <c r="U44"/>
  <c r="V44"/>
  <c r="X44"/>
  <c r="Y44"/>
  <c r="Z44"/>
  <c r="AA44"/>
  <c r="AB44"/>
  <c r="AC44"/>
  <c r="AD44"/>
  <c r="AF44"/>
  <c r="AG44"/>
  <c r="F45"/>
  <c r="G45"/>
  <c r="U45"/>
  <c r="V45"/>
  <c r="X45"/>
  <c r="Y45"/>
  <c r="Z45"/>
  <c r="AA45"/>
  <c r="AB45"/>
  <c r="AC45"/>
  <c r="AD45"/>
  <c r="AF45"/>
  <c r="AG45"/>
  <c r="F46"/>
  <c r="G46"/>
  <c r="U46"/>
  <c r="V46"/>
  <c r="X46"/>
  <c r="Y46"/>
  <c r="Z46"/>
  <c r="AA46"/>
  <c r="AB46"/>
  <c r="AC46"/>
  <c r="AD46"/>
  <c r="AF46"/>
  <c r="AG46"/>
  <c r="F47"/>
  <c r="G47"/>
  <c r="U47"/>
  <c r="V47"/>
  <c r="X47"/>
  <c r="Y47"/>
  <c r="Z47"/>
  <c r="AA47"/>
  <c r="AB47"/>
  <c r="AC47"/>
  <c r="AD47"/>
  <c r="AF47"/>
  <c r="AG47"/>
  <c r="F48"/>
  <c r="G48"/>
  <c r="U48"/>
  <c r="V48"/>
  <c r="X48"/>
  <c r="Y48"/>
  <c r="Z48"/>
  <c r="AA48"/>
  <c r="AB48"/>
  <c r="AC48"/>
  <c r="AD48"/>
  <c r="AF48"/>
  <c r="AG48"/>
  <c r="F49"/>
  <c r="G49"/>
  <c r="U49"/>
  <c r="V49"/>
  <c r="X49"/>
  <c r="Y49"/>
  <c r="Z49"/>
  <c r="AA49"/>
  <c r="AB49"/>
  <c r="AC49"/>
  <c r="AD49"/>
  <c r="AF49"/>
  <c r="AG49"/>
  <c r="F50"/>
  <c r="G50"/>
  <c r="U50"/>
  <c r="V50"/>
  <c r="X50"/>
  <c r="Y50"/>
  <c r="Z50"/>
  <c r="AA50"/>
  <c r="AB50"/>
  <c r="AC50"/>
  <c r="AD50"/>
  <c r="AF50"/>
  <c r="AG50"/>
  <c r="F51"/>
  <c r="G51"/>
  <c r="U51"/>
  <c r="V51"/>
  <c r="X51"/>
  <c r="Y51"/>
  <c r="Z51"/>
  <c r="AA51"/>
  <c r="AB51"/>
  <c r="AC51"/>
  <c r="AD51"/>
  <c r="AF51"/>
  <c r="AG51"/>
  <c r="F52"/>
  <c r="G52"/>
  <c r="U52"/>
  <c r="V52"/>
  <c r="X52"/>
  <c r="Y52"/>
  <c r="Z52"/>
  <c r="AA52"/>
  <c r="AB52"/>
  <c r="AC52"/>
  <c r="AD52"/>
  <c r="AF52"/>
  <c r="AG52"/>
  <c r="F53"/>
  <c r="G53"/>
  <c r="U53"/>
  <c r="V53"/>
  <c r="X53"/>
  <c r="Y53"/>
  <c r="Z53"/>
  <c r="AA53"/>
  <c r="AB53"/>
  <c r="AC53"/>
  <c r="AD53"/>
  <c r="AF53"/>
  <c r="AG53"/>
  <c r="F54"/>
  <c r="G54"/>
  <c r="U54"/>
  <c r="V54"/>
  <c r="X54"/>
  <c r="Y54"/>
  <c r="Z54"/>
  <c r="AA54"/>
  <c r="AB54"/>
  <c r="AC54"/>
  <c r="AD54"/>
  <c r="AF54"/>
  <c r="AG54"/>
  <c r="F55"/>
  <c r="G55"/>
  <c r="U55"/>
  <c r="V55"/>
  <c r="X55"/>
  <c r="Y55"/>
  <c r="Z55"/>
  <c r="AA55"/>
  <c r="AB55"/>
  <c r="AC55"/>
  <c r="AD55"/>
  <c r="AF55"/>
  <c r="AG55"/>
  <c r="F56"/>
  <c r="G56"/>
  <c r="U56"/>
  <c r="V56"/>
  <c r="X56"/>
  <c r="Y56"/>
  <c r="Z56"/>
  <c r="AA56"/>
  <c r="AB56"/>
  <c r="AC56"/>
  <c r="AD56"/>
  <c r="AF56"/>
  <c r="AG56"/>
  <c r="F57"/>
  <c r="G57"/>
  <c r="U57"/>
  <c r="V57"/>
  <c r="X57"/>
  <c r="Y57"/>
  <c r="Z57"/>
  <c r="AA57"/>
  <c r="AB57"/>
  <c r="AC57"/>
  <c r="AD57"/>
  <c r="AF57"/>
  <c r="AG57"/>
  <c r="F58"/>
  <c r="G58"/>
  <c r="U58"/>
  <c r="V58"/>
  <c r="X58"/>
  <c r="Y58"/>
  <c r="Z58"/>
  <c r="AA58"/>
  <c r="AB58"/>
  <c r="AC58"/>
  <c r="AD58"/>
  <c r="AF58"/>
  <c r="AG58"/>
  <c r="F59"/>
  <c r="G59"/>
  <c r="U59"/>
  <c r="V59"/>
  <c r="X59"/>
  <c r="Y59"/>
  <c r="Z59"/>
  <c r="AA59"/>
  <c r="AB59"/>
  <c r="AC59"/>
  <c r="AD59"/>
  <c r="AF59"/>
  <c r="AG59"/>
  <c r="F60"/>
  <c r="G60"/>
  <c r="U60"/>
  <c r="V60"/>
  <c r="X60"/>
  <c r="Y60"/>
  <c r="Z60"/>
  <c r="AA60"/>
  <c r="AB60"/>
  <c r="AC60"/>
  <c r="AD60"/>
  <c r="AF60"/>
  <c r="AG60"/>
  <c r="F61"/>
  <c r="G61"/>
  <c r="F62"/>
  <c r="G62"/>
  <c r="U62"/>
  <c r="V62"/>
  <c r="X62"/>
  <c r="Y62"/>
  <c r="Z62"/>
  <c r="AA62"/>
  <c r="AB62"/>
  <c r="AC62"/>
  <c r="AD62"/>
  <c r="AF62"/>
  <c r="AG62"/>
  <c r="F63"/>
  <c r="G63"/>
  <c r="U63"/>
  <c r="V63"/>
  <c r="X63"/>
  <c r="Y63"/>
  <c r="Z63"/>
  <c r="AA63"/>
  <c r="AB63"/>
  <c r="AC63"/>
  <c r="AD63"/>
  <c r="AF63"/>
  <c r="AG63"/>
  <c r="F64"/>
  <c r="G64"/>
  <c r="U64"/>
  <c r="V64"/>
  <c r="X64"/>
  <c r="Y64"/>
  <c r="Z64"/>
  <c r="AA64"/>
  <c r="AB64"/>
  <c r="AC64"/>
  <c r="AD64"/>
  <c r="AF64"/>
  <c r="AG64"/>
  <c r="F65"/>
  <c r="G65"/>
  <c r="U65"/>
  <c r="V65"/>
  <c r="X65"/>
  <c r="Y65"/>
  <c r="Z65"/>
  <c r="AA65"/>
  <c r="AB65"/>
  <c r="AC65"/>
  <c r="AD65"/>
  <c r="AF65"/>
  <c r="AG65"/>
  <c r="F66"/>
  <c r="G66"/>
  <c r="U66"/>
  <c r="V66"/>
  <c r="X66"/>
  <c r="Y66"/>
  <c r="Z66"/>
  <c r="AA66"/>
  <c r="AB66"/>
  <c r="AC66"/>
  <c r="AD66"/>
  <c r="AF66"/>
  <c r="AG66"/>
  <c r="F67"/>
  <c r="G67"/>
  <c r="U67"/>
  <c r="V67"/>
  <c r="X67"/>
  <c r="Y67"/>
  <c r="Z67"/>
  <c r="AA67"/>
  <c r="AB67"/>
  <c r="AC67"/>
  <c r="AD67"/>
  <c r="AF67"/>
  <c r="AG67"/>
  <c r="F68"/>
  <c r="G68"/>
  <c r="U68"/>
  <c r="V68"/>
  <c r="X68"/>
  <c r="Y68"/>
  <c r="Z68"/>
  <c r="AA68"/>
  <c r="AB68"/>
  <c r="AC68"/>
  <c r="AD68"/>
  <c r="AF68"/>
  <c r="AG68"/>
  <c r="F69"/>
  <c r="G69"/>
  <c r="U69"/>
  <c r="V69"/>
  <c r="X69"/>
  <c r="Y69"/>
  <c r="Z69"/>
  <c r="AA69"/>
  <c r="AB69"/>
  <c r="AC69"/>
  <c r="AD69"/>
  <c r="AF69"/>
  <c r="AG69"/>
  <c r="F70"/>
  <c r="G70"/>
  <c r="U70"/>
  <c r="V70"/>
  <c r="X70"/>
  <c r="Y70"/>
  <c r="Z70"/>
  <c r="AA70"/>
  <c r="AB70"/>
  <c r="AC70"/>
  <c r="AD70"/>
  <c r="AF70"/>
  <c r="AG70"/>
  <c r="F71"/>
  <c r="G71"/>
  <c r="U71"/>
  <c r="V71"/>
  <c r="X71"/>
  <c r="Y71"/>
  <c r="Z71"/>
  <c r="AA71"/>
  <c r="AB71"/>
  <c r="AC71"/>
  <c r="AD71"/>
  <c r="AF71"/>
  <c r="AG71"/>
  <c r="F72"/>
  <c r="G72"/>
  <c r="U72"/>
  <c r="V72"/>
  <c r="X72"/>
  <c r="Y72"/>
  <c r="Z72"/>
  <c r="AA72"/>
  <c r="AB72"/>
  <c r="AC72"/>
  <c r="AD72"/>
  <c r="AF72"/>
  <c r="AG72"/>
  <c r="F73"/>
  <c r="G73"/>
  <c r="U73"/>
  <c r="V73"/>
  <c r="X73"/>
  <c r="Y73"/>
  <c r="Z73"/>
  <c r="AA73"/>
  <c r="AB73"/>
  <c r="AC73"/>
  <c r="AD73"/>
  <c r="AF73"/>
  <c r="AG73"/>
  <c r="F74"/>
  <c r="G74"/>
  <c r="U74"/>
  <c r="V74"/>
  <c r="X74"/>
  <c r="Y74"/>
  <c r="Z74"/>
  <c r="AA74"/>
  <c r="AB74"/>
  <c r="AC74"/>
  <c r="AD74"/>
  <c r="AF74"/>
  <c r="AG74"/>
  <c r="F75"/>
  <c r="G75"/>
  <c r="U75"/>
  <c r="V75"/>
  <c r="X75"/>
  <c r="Y75"/>
  <c r="Z75"/>
  <c r="AA75"/>
  <c r="AB75"/>
  <c r="AC75"/>
  <c r="AD75"/>
  <c r="AF75"/>
  <c r="AG75"/>
  <c r="F76"/>
  <c r="G76"/>
  <c r="U76"/>
  <c r="V76"/>
  <c r="X76"/>
  <c r="Y76"/>
  <c r="Z76"/>
  <c r="AA76"/>
  <c r="AB76"/>
  <c r="AC76"/>
  <c r="AD76"/>
  <c r="AF76"/>
  <c r="AG76"/>
  <c r="F77"/>
  <c r="G77"/>
  <c r="U77"/>
  <c r="V77"/>
  <c r="X77"/>
  <c r="Y77"/>
  <c r="Z77"/>
  <c r="AA77"/>
  <c r="AB77"/>
  <c r="AC77"/>
  <c r="AD77"/>
  <c r="AF77"/>
  <c r="AG77"/>
  <c r="F78"/>
  <c r="G78"/>
  <c r="U78"/>
  <c r="V78"/>
  <c r="X78"/>
  <c r="Y78"/>
  <c r="Z78"/>
  <c r="AA78"/>
  <c r="AB78"/>
  <c r="AC78"/>
  <c r="AD78"/>
  <c r="AF78"/>
  <c r="AG78"/>
  <c r="F79"/>
  <c r="G79"/>
  <c r="U79"/>
  <c r="V79"/>
  <c r="X79"/>
  <c r="Y79"/>
  <c r="Z79"/>
  <c r="AA79"/>
  <c r="AB79"/>
  <c r="AC79"/>
  <c r="AD79"/>
  <c r="AF79"/>
  <c r="AG79"/>
  <c r="F80"/>
  <c r="G80"/>
  <c r="F81"/>
  <c r="G81"/>
  <c r="U81"/>
  <c r="V81"/>
  <c r="X81"/>
  <c r="Y81"/>
  <c r="Z81"/>
  <c r="AA81"/>
  <c r="AB81"/>
  <c r="AC81"/>
  <c r="AD81"/>
  <c r="AF81"/>
  <c r="AG81"/>
  <c r="F82"/>
  <c r="G82"/>
  <c r="U82"/>
  <c r="V82"/>
  <c r="X82"/>
  <c r="Y82"/>
  <c r="Z82"/>
  <c r="AA82"/>
  <c r="AB82"/>
  <c r="AC82"/>
  <c r="AD82"/>
  <c r="AF82"/>
  <c r="AG82"/>
  <c r="F83"/>
  <c r="G83"/>
  <c r="F84"/>
  <c r="G84"/>
  <c r="K84"/>
  <c r="U84"/>
  <c r="V84"/>
  <c r="X84"/>
  <c r="Y84"/>
  <c r="Z84"/>
  <c r="AA84"/>
  <c r="AB84"/>
  <c r="AC84"/>
  <c r="AD84"/>
  <c r="AF84"/>
  <c r="AG84"/>
  <c r="F85"/>
  <c r="G85"/>
  <c r="K85"/>
  <c r="U85"/>
  <c r="V85"/>
  <c r="X85"/>
  <c r="Y85"/>
  <c r="Z85"/>
  <c r="AA85"/>
  <c r="AB85"/>
  <c r="AC85"/>
  <c r="AD85"/>
  <c r="AF85"/>
  <c r="AG85"/>
  <c r="F86"/>
  <c r="G86"/>
  <c r="K86"/>
  <c r="U86"/>
  <c r="V86"/>
  <c r="X86"/>
  <c r="Y86"/>
  <c r="Z86"/>
  <c r="AA86"/>
  <c r="AB86"/>
  <c r="AC86"/>
  <c r="AD86"/>
  <c r="AF86"/>
  <c r="AG86"/>
  <c r="F87"/>
  <c r="G87"/>
  <c r="K87"/>
  <c r="U87"/>
  <c r="V87"/>
  <c r="X87"/>
  <c r="Y87"/>
  <c r="Z87"/>
  <c r="AA87"/>
  <c r="AB87"/>
  <c r="AC87"/>
  <c r="AD87"/>
  <c r="AF87"/>
  <c r="AG87"/>
  <c r="F88"/>
  <c r="G88"/>
  <c r="K88"/>
  <c r="U88"/>
  <c r="V88"/>
  <c r="X88"/>
  <c r="Y88"/>
  <c r="Z88"/>
  <c r="AA88"/>
  <c r="AB88"/>
  <c r="AC88"/>
  <c r="AD88"/>
  <c r="AF88"/>
  <c r="AG88"/>
  <c r="AA89"/>
  <c r="E93"/>
  <c r="F93"/>
  <c r="I99"/>
  <c r="AG89"/>
  <c r="AC89"/>
  <c r="Y89"/>
  <c r="U89"/>
  <c r="C99"/>
  <c r="G99"/>
  <c r="AF89"/>
  <c r="AD89"/>
  <c r="AB89"/>
  <c r="Z89"/>
  <c r="X89"/>
  <c r="V89"/>
  <c r="D99"/>
  <c r="F99"/>
  <c r="H99"/>
  <c r="G93"/>
  <c r="H93"/>
  <c r="E3"/>
  <c r="I3"/>
  <c r="E5"/>
  <c r="I5"/>
  <c r="E7"/>
  <c r="I7"/>
  <c r="E10"/>
  <c r="I10"/>
  <c r="E11"/>
  <c r="I11"/>
  <c r="E16"/>
  <c r="I16"/>
  <c r="E17"/>
  <c r="I17"/>
  <c r="E19"/>
  <c r="I19"/>
  <c r="E21"/>
  <c r="I21"/>
  <c r="E23"/>
  <c r="I23"/>
  <c r="E24"/>
  <c r="I24"/>
  <c r="E25"/>
  <c r="I25"/>
  <c r="E26"/>
  <c r="I26"/>
  <c r="E28"/>
  <c r="I28"/>
  <c r="E30"/>
  <c r="I30"/>
  <c r="E4"/>
  <c r="I4"/>
  <c r="E8"/>
  <c r="I8"/>
  <c r="E9"/>
  <c r="I9"/>
  <c r="E12"/>
  <c r="I12"/>
  <c r="E13"/>
  <c r="I13"/>
  <c r="E14"/>
  <c r="I14"/>
  <c r="E15"/>
  <c r="I15"/>
  <c r="E18"/>
  <c r="I18"/>
  <c r="E22"/>
  <c r="I22"/>
  <c r="E27"/>
  <c r="I27"/>
  <c r="E31"/>
  <c r="I31"/>
  <c r="E34"/>
  <c r="I34"/>
  <c r="E36"/>
  <c r="I36"/>
  <c r="E38"/>
  <c r="I38"/>
  <c r="E40"/>
  <c r="I40"/>
  <c r="E41"/>
  <c r="I41"/>
  <c r="E43"/>
  <c r="I43"/>
  <c r="E45"/>
  <c r="I45"/>
  <c r="E47"/>
  <c r="I47"/>
  <c r="E49"/>
  <c r="I49"/>
  <c r="E51"/>
  <c r="I51"/>
  <c r="E53"/>
  <c r="I53"/>
  <c r="E55"/>
  <c r="I55"/>
  <c r="E57"/>
  <c r="I57"/>
  <c r="E59"/>
  <c r="I59"/>
  <c r="E61"/>
  <c r="I61"/>
  <c r="E62"/>
  <c r="I62"/>
  <c r="E64"/>
  <c r="I64"/>
  <c r="E66"/>
  <c r="I66"/>
  <c r="E68"/>
  <c r="I68"/>
  <c r="E70"/>
  <c r="I70"/>
  <c r="E72"/>
  <c r="I72"/>
  <c r="E74"/>
  <c r="I74"/>
  <c r="E76"/>
  <c r="I76"/>
  <c r="E78"/>
  <c r="I78"/>
  <c r="E80"/>
  <c r="I80"/>
  <c r="E81"/>
  <c r="I81"/>
  <c r="E83"/>
  <c r="I83"/>
  <c r="E84"/>
  <c r="I84"/>
  <c r="E86"/>
  <c r="I86"/>
  <c r="E88"/>
  <c r="I88"/>
  <c r="E20"/>
  <c r="I20"/>
  <c r="E29"/>
  <c r="I29"/>
  <c r="E35"/>
  <c r="I35"/>
  <c r="E39"/>
  <c r="I39"/>
  <c r="E42"/>
  <c r="I42"/>
  <c r="E46"/>
  <c r="I46"/>
  <c r="E50"/>
  <c r="I50"/>
  <c r="E54"/>
  <c r="I54"/>
  <c r="E58"/>
  <c r="I58"/>
  <c r="E65"/>
  <c r="I65"/>
  <c r="E69"/>
  <c r="I69"/>
  <c r="E73"/>
  <c r="I73"/>
  <c r="E77"/>
  <c r="I77"/>
  <c r="E87"/>
  <c r="I87"/>
  <c r="E37"/>
  <c r="I37"/>
  <c r="E44"/>
  <c r="I44"/>
  <c r="E52"/>
  <c r="I52"/>
  <c r="E60"/>
  <c r="I60"/>
  <c r="E63"/>
  <c r="I63"/>
  <c r="E71"/>
  <c r="I71"/>
  <c r="E79"/>
  <c r="I79"/>
  <c r="E82"/>
  <c r="I82"/>
  <c r="E85"/>
  <c r="I85"/>
  <c r="E6"/>
  <c r="I6"/>
  <c r="E32"/>
  <c r="I32"/>
  <c r="E33"/>
  <c r="I33"/>
  <c r="E48"/>
  <c r="I48"/>
  <c r="E56"/>
  <c r="I56"/>
  <c r="E67"/>
  <c r="I67"/>
  <c r="E75"/>
  <c r="I75"/>
  <c r="G96"/>
  <c r="F3" i="12"/>
  <c r="G3"/>
  <c r="K3"/>
  <c r="U3"/>
  <c r="V3"/>
  <c r="W3"/>
  <c r="X3"/>
  <c r="Y3"/>
  <c r="Z3"/>
  <c r="AA3"/>
  <c r="AB3"/>
  <c r="AC3"/>
  <c r="AD3"/>
  <c r="AE3"/>
  <c r="AF3"/>
  <c r="AG3"/>
  <c r="A4"/>
  <c r="F4"/>
  <c r="G4"/>
  <c r="K4"/>
  <c r="U4"/>
  <c r="V4"/>
  <c r="W4"/>
  <c r="X4"/>
  <c r="Y4"/>
  <c r="Z4"/>
  <c r="AA4"/>
  <c r="AB4"/>
  <c r="AC4"/>
  <c r="AD4"/>
  <c r="AE4"/>
  <c r="AF4"/>
  <c r="AG4"/>
  <c r="A5"/>
  <c r="F5"/>
  <c r="G5"/>
  <c r="K5"/>
  <c r="U5"/>
  <c r="V5"/>
  <c r="W5"/>
  <c r="X5"/>
  <c r="Y5"/>
  <c r="Z5"/>
  <c r="AA5"/>
  <c r="AB5"/>
  <c r="AC5"/>
  <c r="AD5"/>
  <c r="AE5"/>
  <c r="AF5"/>
  <c r="AG5"/>
  <c r="A6"/>
  <c r="F6"/>
  <c r="G6"/>
  <c r="K6"/>
  <c r="U6"/>
  <c r="V6"/>
  <c r="W6"/>
  <c r="X6"/>
  <c r="Y6"/>
  <c r="Z6"/>
  <c r="AA6"/>
  <c r="AB6"/>
  <c r="AC6"/>
  <c r="AD6"/>
  <c r="AE6"/>
  <c r="AF6"/>
  <c r="AG6"/>
  <c r="A7"/>
  <c r="F7"/>
  <c r="G7"/>
  <c r="K7"/>
  <c r="U7"/>
  <c r="V7"/>
  <c r="W7"/>
  <c r="X7"/>
  <c r="Y7"/>
  <c r="Z7"/>
  <c r="AA7"/>
  <c r="AB7"/>
  <c r="AC7"/>
  <c r="AD7"/>
  <c r="AE7"/>
  <c r="AF7"/>
  <c r="AG7"/>
  <c r="A8"/>
  <c r="F8"/>
  <c r="G8"/>
  <c r="K8"/>
  <c r="U8"/>
  <c r="V8"/>
  <c r="W8"/>
  <c r="X8"/>
  <c r="Y8"/>
  <c r="Z8"/>
  <c r="AA8"/>
  <c r="AB8"/>
  <c r="AC8"/>
  <c r="AD8"/>
  <c r="AE8"/>
  <c r="AF8"/>
  <c r="AG8"/>
  <c r="A9"/>
  <c r="F9"/>
  <c r="G9"/>
  <c r="K9"/>
  <c r="U9"/>
  <c r="V9"/>
  <c r="W9"/>
  <c r="X9"/>
  <c r="Y9"/>
  <c r="Z9"/>
  <c r="AA9"/>
  <c r="AB9"/>
  <c r="AC9"/>
  <c r="AD9"/>
  <c r="AE9"/>
  <c r="AF9"/>
  <c r="AG9"/>
  <c r="A10"/>
  <c r="F10"/>
  <c r="G10"/>
  <c r="K10"/>
  <c r="A11"/>
  <c r="F11"/>
  <c r="G11"/>
  <c r="K11"/>
  <c r="U11"/>
  <c r="V11"/>
  <c r="W11"/>
  <c r="X11"/>
  <c r="Y11"/>
  <c r="Z11"/>
  <c r="AA11"/>
  <c r="AB11"/>
  <c r="AC11"/>
  <c r="AD11"/>
  <c r="AE11"/>
  <c r="AF11"/>
  <c r="AG11"/>
  <c r="A12"/>
  <c r="F12"/>
  <c r="G12"/>
  <c r="K12"/>
  <c r="U12"/>
  <c r="V12"/>
  <c r="W12"/>
  <c r="X12"/>
  <c r="Y12"/>
  <c r="Z12"/>
  <c r="AA12"/>
  <c r="AB12"/>
  <c r="AC12"/>
  <c r="AD12"/>
  <c r="AE12"/>
  <c r="AF12"/>
  <c r="AG12"/>
  <c r="A13"/>
  <c r="F13"/>
  <c r="G13"/>
  <c r="K13"/>
  <c r="U13"/>
  <c r="V13"/>
  <c r="W13"/>
  <c r="X13"/>
  <c r="Y13"/>
  <c r="Z13"/>
  <c r="AA13"/>
  <c r="AB13"/>
  <c r="AC13"/>
  <c r="AD13"/>
  <c r="AE13"/>
  <c r="AF13"/>
  <c r="AG13"/>
  <c r="A14"/>
  <c r="F14"/>
  <c r="G14"/>
  <c r="K14"/>
  <c r="A15"/>
  <c r="F15"/>
  <c r="G15"/>
  <c r="K15"/>
  <c r="U15"/>
  <c r="V15"/>
  <c r="W15"/>
  <c r="X15"/>
  <c r="Y15"/>
  <c r="Z15"/>
  <c r="AA15"/>
  <c r="AB15"/>
  <c r="AC15"/>
  <c r="AD15"/>
  <c r="AE15"/>
  <c r="AF15"/>
  <c r="AG15"/>
  <c r="A16"/>
  <c r="F16"/>
  <c r="G16"/>
  <c r="K16"/>
  <c r="U16"/>
  <c r="V16"/>
  <c r="W16"/>
  <c r="X16"/>
  <c r="Y16"/>
  <c r="Z16"/>
  <c r="AA16"/>
  <c r="AB16"/>
  <c r="AC16"/>
  <c r="AD16"/>
  <c r="AE16"/>
  <c r="AF16"/>
  <c r="AG16"/>
  <c r="A17"/>
  <c r="F17"/>
  <c r="G17"/>
  <c r="K17"/>
  <c r="U17"/>
  <c r="V17"/>
  <c r="W17"/>
  <c r="X17"/>
  <c r="Y17"/>
  <c r="Z17"/>
  <c r="AA17"/>
  <c r="AB17"/>
  <c r="AC17"/>
  <c r="AD17"/>
  <c r="AE17"/>
  <c r="AF17"/>
  <c r="AG17"/>
  <c r="A18"/>
  <c r="F18"/>
  <c r="G18"/>
  <c r="K18"/>
  <c r="U18"/>
  <c r="V18"/>
  <c r="W18"/>
  <c r="X18"/>
  <c r="Y18"/>
  <c r="Z18"/>
  <c r="AA18"/>
  <c r="AB18"/>
  <c r="AC18"/>
  <c r="AD18"/>
  <c r="AE18"/>
  <c r="AF18"/>
  <c r="AG18"/>
  <c r="A19"/>
  <c r="F19"/>
  <c r="G19"/>
  <c r="K19"/>
  <c r="U19"/>
  <c r="V19"/>
  <c r="W19"/>
  <c r="X19"/>
  <c r="Y19"/>
  <c r="Z19"/>
  <c r="AA19"/>
  <c r="AB19"/>
  <c r="AC19"/>
  <c r="AD19"/>
  <c r="AE19"/>
  <c r="AF19"/>
  <c r="AG19"/>
  <c r="A20"/>
  <c r="F20"/>
  <c r="G20"/>
  <c r="K20"/>
  <c r="U20"/>
  <c r="V20"/>
  <c r="W20"/>
  <c r="X20"/>
  <c r="Y20"/>
  <c r="Z20"/>
  <c r="AA20"/>
  <c r="AB20"/>
  <c r="AC20"/>
  <c r="AD20"/>
  <c r="AE20"/>
  <c r="AF20"/>
  <c r="AG20"/>
  <c r="A21"/>
  <c r="F21"/>
  <c r="G21"/>
  <c r="K21"/>
  <c r="U21"/>
  <c r="V21"/>
  <c r="W21"/>
  <c r="X21"/>
  <c r="Y21"/>
  <c r="Z21"/>
  <c r="AA21"/>
  <c r="AB21"/>
  <c r="AC21"/>
  <c r="AD21"/>
  <c r="AE21"/>
  <c r="AF21"/>
  <c r="AG21"/>
  <c r="A22"/>
  <c r="F22"/>
  <c r="G22"/>
  <c r="K22"/>
  <c r="U22"/>
  <c r="V22"/>
  <c r="W22"/>
  <c r="X22"/>
  <c r="Y22"/>
  <c r="Z22"/>
  <c r="AA22"/>
  <c r="AB22"/>
  <c r="AC22"/>
  <c r="AD22"/>
  <c r="AE22"/>
  <c r="AF22"/>
  <c r="AG22"/>
  <c r="A23"/>
  <c r="F23"/>
  <c r="G23"/>
  <c r="K23"/>
  <c r="U23"/>
  <c r="V23"/>
  <c r="W23"/>
  <c r="X23"/>
  <c r="Y23"/>
  <c r="Z23"/>
  <c r="AA23"/>
  <c r="AB23"/>
  <c r="AC23"/>
  <c r="AD23"/>
  <c r="AE23"/>
  <c r="AF23"/>
  <c r="AG23"/>
  <c r="A24"/>
  <c r="F24"/>
  <c r="G24"/>
  <c r="K24"/>
  <c r="U24"/>
  <c r="V24"/>
  <c r="W24"/>
  <c r="X24"/>
  <c r="Y24"/>
  <c r="Z24"/>
  <c r="AA24"/>
  <c r="AB24"/>
  <c r="AC24"/>
  <c r="AD24"/>
  <c r="AE24"/>
  <c r="AF24"/>
  <c r="AG24"/>
  <c r="A25"/>
  <c r="F25"/>
  <c r="G25"/>
  <c r="K25"/>
  <c r="U25"/>
  <c r="V25"/>
  <c r="W25"/>
  <c r="X25"/>
  <c r="Y25"/>
  <c r="Z25"/>
  <c r="AA25"/>
  <c r="AB25"/>
  <c r="AC25"/>
  <c r="AD25"/>
  <c r="AE25"/>
  <c r="AF25"/>
  <c r="AG25"/>
  <c r="A26"/>
  <c r="F26"/>
  <c r="G26"/>
  <c r="K26"/>
  <c r="U26"/>
  <c r="V26"/>
  <c r="W26"/>
  <c r="X26"/>
  <c r="Y26"/>
  <c r="Z26"/>
  <c r="AA26"/>
  <c r="AB26"/>
  <c r="AC26"/>
  <c r="AD26"/>
  <c r="AE26"/>
  <c r="AF26"/>
  <c r="AG26"/>
  <c r="A27"/>
  <c r="F27"/>
  <c r="G27"/>
  <c r="K27"/>
  <c r="U27"/>
  <c r="V27"/>
  <c r="W27"/>
  <c r="X27"/>
  <c r="Y27"/>
  <c r="Z27"/>
  <c r="AA27"/>
  <c r="AB27"/>
  <c r="AC27"/>
  <c r="AD27"/>
  <c r="AE27"/>
  <c r="AF27"/>
  <c r="AG27"/>
  <c r="A28"/>
  <c r="F28"/>
  <c r="G28"/>
  <c r="K28"/>
  <c r="U28"/>
  <c r="V28"/>
  <c r="W28"/>
  <c r="X28"/>
  <c r="Y28"/>
  <c r="Z28"/>
  <c r="AA28"/>
  <c r="AB28"/>
  <c r="AC28"/>
  <c r="AD28"/>
  <c r="AE28"/>
  <c r="AF28"/>
  <c r="AG28"/>
  <c r="A29"/>
  <c r="F29"/>
  <c r="G29"/>
  <c r="K29"/>
  <c r="U29"/>
  <c r="V29"/>
  <c r="W29"/>
  <c r="X29"/>
  <c r="Y29"/>
  <c r="Z29"/>
  <c r="AA29"/>
  <c r="AB29"/>
  <c r="AC29"/>
  <c r="AD29"/>
  <c r="AE29"/>
  <c r="AF29"/>
  <c r="AG29"/>
  <c r="A30"/>
  <c r="F30"/>
  <c r="G30"/>
  <c r="K30"/>
  <c r="U30"/>
  <c r="V30"/>
  <c r="W30"/>
  <c r="X30"/>
  <c r="Y30"/>
  <c r="Z30"/>
  <c r="AA30"/>
  <c r="AB30"/>
  <c r="AC30"/>
  <c r="AD30"/>
  <c r="AE30"/>
  <c r="AF30"/>
  <c r="AG30"/>
  <c r="A31"/>
  <c r="F31"/>
  <c r="G31"/>
  <c r="K31"/>
  <c r="U31"/>
  <c r="V31"/>
  <c r="W31"/>
  <c r="X31"/>
  <c r="Y31"/>
  <c r="Z31"/>
  <c r="AA31"/>
  <c r="AB31"/>
  <c r="AC31"/>
  <c r="AD31"/>
  <c r="AE31"/>
  <c r="AF31"/>
  <c r="AG31"/>
  <c r="A32"/>
  <c r="F32"/>
  <c r="G32"/>
  <c r="K32"/>
  <c r="A33"/>
  <c r="F33"/>
  <c r="G33"/>
  <c r="K33"/>
  <c r="U33"/>
  <c r="V33"/>
  <c r="W33"/>
  <c r="X33"/>
  <c r="Y33"/>
  <c r="Z33"/>
  <c r="AA33"/>
  <c r="AB33"/>
  <c r="AC33"/>
  <c r="AD33"/>
  <c r="AE33"/>
  <c r="AF33"/>
  <c r="AG33"/>
  <c r="A34"/>
  <c r="F34"/>
  <c r="G34"/>
  <c r="K34"/>
  <c r="U34"/>
  <c r="V34"/>
  <c r="W34"/>
  <c r="X34"/>
  <c r="Y34"/>
  <c r="Z34"/>
  <c r="AA34"/>
  <c r="AB34"/>
  <c r="AC34"/>
  <c r="AD34"/>
  <c r="AE34"/>
  <c r="AF34"/>
  <c r="AG34"/>
  <c r="A35"/>
  <c r="F35"/>
  <c r="G35"/>
  <c r="K35"/>
  <c r="U35"/>
  <c r="V35"/>
  <c r="W35"/>
  <c r="X35"/>
  <c r="Y35"/>
  <c r="Z35"/>
  <c r="AA35"/>
  <c r="AB35"/>
  <c r="AC35"/>
  <c r="AD35"/>
  <c r="AE35"/>
  <c r="AF35"/>
  <c r="AG35"/>
  <c r="A36"/>
  <c r="F36"/>
  <c r="G36"/>
  <c r="K36"/>
  <c r="U36"/>
  <c r="V36"/>
  <c r="W36"/>
  <c r="X36"/>
  <c r="Y36"/>
  <c r="Z36"/>
  <c r="AA36"/>
  <c r="AB36"/>
  <c r="AC36"/>
  <c r="AD36"/>
  <c r="AE36"/>
  <c r="AF36"/>
  <c r="AG36"/>
  <c r="A37"/>
  <c r="F37"/>
  <c r="G37"/>
  <c r="K37"/>
  <c r="U37"/>
  <c r="V37"/>
  <c r="W37"/>
  <c r="X37"/>
  <c r="Y37"/>
  <c r="Z37"/>
  <c r="AA37"/>
  <c r="AB37"/>
  <c r="AC37"/>
  <c r="AD37"/>
  <c r="AE37"/>
  <c r="AF37"/>
  <c r="AG37"/>
  <c r="A38"/>
  <c r="F38"/>
  <c r="G38"/>
  <c r="K38"/>
  <c r="U38"/>
  <c r="V38"/>
  <c r="W38"/>
  <c r="X38"/>
  <c r="Y38"/>
  <c r="Z38"/>
  <c r="AA38"/>
  <c r="AB38"/>
  <c r="AC38"/>
  <c r="AD38"/>
  <c r="AE38"/>
  <c r="AF38"/>
  <c r="AG38"/>
  <c r="A39"/>
  <c r="F39"/>
  <c r="G39"/>
  <c r="K39"/>
  <c r="U39"/>
  <c r="V39"/>
  <c r="W39"/>
  <c r="X39"/>
  <c r="Y39"/>
  <c r="Z39"/>
  <c r="AA39"/>
  <c r="AB39"/>
  <c r="AC39"/>
  <c r="AD39"/>
  <c r="AE39"/>
  <c r="AF39"/>
  <c r="AG39"/>
  <c r="A40"/>
  <c r="F40"/>
  <c r="G40"/>
  <c r="K40"/>
  <c r="A41"/>
  <c r="F41"/>
  <c r="G41"/>
  <c r="K41"/>
  <c r="U41"/>
  <c r="V41"/>
  <c r="W41"/>
  <c r="X41"/>
  <c r="Y41"/>
  <c r="Z41"/>
  <c r="AA41"/>
  <c r="AB41"/>
  <c r="AC41"/>
  <c r="AD41"/>
  <c r="AE41"/>
  <c r="AF41"/>
  <c r="AG41"/>
  <c r="A42"/>
  <c r="F42"/>
  <c r="G42"/>
  <c r="K42"/>
  <c r="U42"/>
  <c r="V42"/>
  <c r="W42"/>
  <c r="X42"/>
  <c r="Y42"/>
  <c r="Z42"/>
  <c r="AA42"/>
  <c r="AB42"/>
  <c r="AC42"/>
  <c r="AD42"/>
  <c r="AE42"/>
  <c r="AF42"/>
  <c r="AG42"/>
  <c r="A43"/>
  <c r="F43"/>
  <c r="G43"/>
  <c r="K43"/>
  <c r="U43"/>
  <c r="V43"/>
  <c r="W43"/>
  <c r="X43"/>
  <c r="Y43"/>
  <c r="Z43"/>
  <c r="AA43"/>
  <c r="AB43"/>
  <c r="AC43"/>
  <c r="AD43"/>
  <c r="AE43"/>
  <c r="AF43"/>
  <c r="AG43"/>
  <c r="A44"/>
  <c r="F44"/>
  <c r="G44"/>
  <c r="K44"/>
  <c r="U44"/>
  <c r="V44"/>
  <c r="W44"/>
  <c r="X44"/>
  <c r="Y44"/>
  <c r="Z44"/>
  <c r="AA44"/>
  <c r="AB44"/>
  <c r="AC44"/>
  <c r="AD44"/>
  <c r="AE44"/>
  <c r="AF44"/>
  <c r="AG44"/>
  <c r="A45"/>
  <c r="F45"/>
  <c r="G45"/>
  <c r="K45"/>
  <c r="U45"/>
  <c r="V45"/>
  <c r="W45"/>
  <c r="X45"/>
  <c r="Y45"/>
  <c r="Z45"/>
  <c r="AA45"/>
  <c r="AB45"/>
  <c r="AC45"/>
  <c r="AD45"/>
  <c r="AE45"/>
  <c r="AF45"/>
  <c r="AG45"/>
  <c r="A46"/>
  <c r="F46"/>
  <c r="G46"/>
  <c r="K46"/>
  <c r="U46"/>
  <c r="V46"/>
  <c r="W46"/>
  <c r="X46"/>
  <c r="Y46"/>
  <c r="Z46"/>
  <c r="AA46"/>
  <c r="AB46"/>
  <c r="AC46"/>
  <c r="AD46"/>
  <c r="AE46"/>
  <c r="AF46"/>
  <c r="AG46"/>
  <c r="A47"/>
  <c r="F47"/>
  <c r="G47"/>
  <c r="K47"/>
  <c r="U47"/>
  <c r="V47"/>
  <c r="W47"/>
  <c r="X47"/>
  <c r="Y47"/>
  <c r="Z47"/>
  <c r="AA47"/>
  <c r="AB47"/>
  <c r="AC47"/>
  <c r="AD47"/>
  <c r="AE47"/>
  <c r="AF47"/>
  <c r="AG47"/>
  <c r="A48"/>
  <c r="F48"/>
  <c r="G48"/>
  <c r="K48"/>
  <c r="U48"/>
  <c r="V48"/>
  <c r="W48"/>
  <c r="X48"/>
  <c r="Y48"/>
  <c r="Z48"/>
  <c r="AA48"/>
  <c r="AB48"/>
  <c r="AC48"/>
  <c r="AD48"/>
  <c r="AE48"/>
  <c r="AF48"/>
  <c r="AG48"/>
  <c r="A49"/>
  <c r="F49"/>
  <c r="G49"/>
  <c r="K49"/>
  <c r="U49"/>
  <c r="V49"/>
  <c r="W49"/>
  <c r="X49"/>
  <c r="Y49"/>
  <c r="Z49"/>
  <c r="AA49"/>
  <c r="AB49"/>
  <c r="AC49"/>
  <c r="AD49"/>
  <c r="AE49"/>
  <c r="AF49"/>
  <c r="AG49"/>
  <c r="A50"/>
  <c r="F50"/>
  <c r="G50"/>
  <c r="K50"/>
  <c r="U50"/>
  <c r="V50"/>
  <c r="W50"/>
  <c r="X50"/>
  <c r="Y50"/>
  <c r="Z50"/>
  <c r="AA50"/>
  <c r="AB50"/>
  <c r="AC50"/>
  <c r="AD50"/>
  <c r="AE50"/>
  <c r="AF50"/>
  <c r="AG50"/>
  <c r="A51"/>
  <c r="F51"/>
  <c r="G51"/>
  <c r="K51"/>
  <c r="U51"/>
  <c r="V51"/>
  <c r="W51"/>
  <c r="X51"/>
  <c r="Y51"/>
  <c r="Z51"/>
  <c r="AA51"/>
  <c r="AB51"/>
  <c r="AC51"/>
  <c r="AD51"/>
  <c r="AE51"/>
  <c r="AF51"/>
  <c r="AG51"/>
  <c r="A52"/>
  <c r="F52"/>
  <c r="G52"/>
  <c r="K52"/>
  <c r="U52"/>
  <c r="V52"/>
  <c r="W52"/>
  <c r="X52"/>
  <c r="Y52"/>
  <c r="Z52"/>
  <c r="AA52"/>
  <c r="AB52"/>
  <c r="AC52"/>
  <c r="AD52"/>
  <c r="AE52"/>
  <c r="AF52"/>
  <c r="AG52"/>
  <c r="A53"/>
  <c r="F53"/>
  <c r="G53"/>
  <c r="K53"/>
  <c r="U53"/>
  <c r="V53"/>
  <c r="W53"/>
  <c r="X53"/>
  <c r="Y53"/>
  <c r="Z53"/>
  <c r="AA53"/>
  <c r="AB53"/>
  <c r="AC53"/>
  <c r="AD53"/>
  <c r="AE53"/>
  <c r="AF53"/>
  <c r="AG53"/>
  <c r="A54"/>
  <c r="F54"/>
  <c r="G54"/>
  <c r="K54"/>
  <c r="U54"/>
  <c r="V54"/>
  <c r="W54"/>
  <c r="X54"/>
  <c r="Y54"/>
  <c r="Z54"/>
  <c r="AA54"/>
  <c r="AB54"/>
  <c r="AC54"/>
  <c r="AD54"/>
  <c r="AE54"/>
  <c r="AF54"/>
  <c r="AG54"/>
  <c r="A55"/>
  <c r="F55"/>
  <c r="G55"/>
  <c r="K55"/>
  <c r="U55"/>
  <c r="V55"/>
  <c r="W55"/>
  <c r="X55"/>
  <c r="Y55"/>
  <c r="Z55"/>
  <c r="AA55"/>
  <c r="AB55"/>
  <c r="AC55"/>
  <c r="AD55"/>
  <c r="AE55"/>
  <c r="AF55"/>
  <c r="AG55"/>
  <c r="A56"/>
  <c r="F56"/>
  <c r="G56"/>
  <c r="K56"/>
  <c r="U56"/>
  <c r="V56"/>
  <c r="W56"/>
  <c r="X56"/>
  <c r="Y56"/>
  <c r="Z56"/>
  <c r="AA56"/>
  <c r="AB56"/>
  <c r="AC56"/>
  <c r="AD56"/>
  <c r="AE56"/>
  <c r="AF56"/>
  <c r="AG56"/>
  <c r="A57"/>
  <c r="F57"/>
  <c r="G57"/>
  <c r="K57"/>
  <c r="U57"/>
  <c r="V57"/>
  <c r="W57"/>
  <c r="X57"/>
  <c r="Y57"/>
  <c r="Z57"/>
  <c r="AA57"/>
  <c r="AB57"/>
  <c r="AC57"/>
  <c r="AD57"/>
  <c r="AE57"/>
  <c r="AF57"/>
  <c r="AG57"/>
  <c r="A58"/>
  <c r="F58"/>
  <c r="G58"/>
  <c r="K58"/>
  <c r="U58"/>
  <c r="V58"/>
  <c r="W58"/>
  <c r="X58"/>
  <c r="Y58"/>
  <c r="Z58"/>
  <c r="AA58"/>
  <c r="AB58"/>
  <c r="AC58"/>
  <c r="AD58"/>
  <c r="AE58"/>
  <c r="AF58"/>
  <c r="AG58"/>
  <c r="A59"/>
  <c r="F59"/>
  <c r="G59"/>
  <c r="K59"/>
  <c r="U59"/>
  <c r="V59"/>
  <c r="W59"/>
  <c r="X59"/>
  <c r="Y59"/>
  <c r="Z59"/>
  <c r="AA59"/>
  <c r="AB59"/>
  <c r="AC59"/>
  <c r="AD59"/>
  <c r="AE59"/>
  <c r="AF59"/>
  <c r="AG59"/>
  <c r="A60"/>
  <c r="F60"/>
  <c r="G60"/>
  <c r="K60"/>
  <c r="U60"/>
  <c r="V60"/>
  <c r="W60"/>
  <c r="X60"/>
  <c r="Y60"/>
  <c r="Z60"/>
  <c r="AA60"/>
  <c r="AB60"/>
  <c r="AC60"/>
  <c r="AD60"/>
  <c r="AE60"/>
  <c r="AF60"/>
  <c r="AG60"/>
  <c r="A61"/>
  <c r="F61"/>
  <c r="G61"/>
  <c r="K61"/>
  <c r="A62"/>
  <c r="F62"/>
  <c r="G62"/>
  <c r="K62"/>
  <c r="U62"/>
  <c r="V62"/>
  <c r="W62"/>
  <c r="X62"/>
  <c r="Y62"/>
  <c r="Z62"/>
  <c r="AA62"/>
  <c r="AB62"/>
  <c r="AC62"/>
  <c r="AD62"/>
  <c r="AE62"/>
  <c r="AF62"/>
  <c r="AG62"/>
  <c r="A63"/>
  <c r="F63"/>
  <c r="G63"/>
  <c r="K63"/>
  <c r="U63"/>
  <c r="V63"/>
  <c r="W63"/>
  <c r="X63"/>
  <c r="Y63"/>
  <c r="Z63"/>
  <c r="AA63"/>
  <c r="AB63"/>
  <c r="AC63"/>
  <c r="AD63"/>
  <c r="AE63"/>
  <c r="AF63"/>
  <c r="AG63"/>
  <c r="A64"/>
  <c r="F64"/>
  <c r="G64"/>
  <c r="K64"/>
  <c r="U64"/>
  <c r="V64"/>
  <c r="W64"/>
  <c r="X64"/>
  <c r="Y64"/>
  <c r="Z64"/>
  <c r="AA64"/>
  <c r="AB64"/>
  <c r="AC64"/>
  <c r="AC65"/>
  <c r="AC66"/>
  <c r="AC67"/>
  <c r="AC68"/>
  <c r="AC69"/>
  <c r="AC70"/>
  <c r="AC71"/>
  <c r="AC72"/>
  <c r="AC73"/>
  <c r="AC74"/>
  <c r="AC75"/>
  <c r="AC76"/>
  <c r="AC77"/>
  <c r="AC78"/>
  <c r="AC79"/>
  <c r="AC81"/>
  <c r="AC82"/>
  <c r="AC84"/>
  <c r="AC85"/>
  <c r="AC86"/>
  <c r="AC87"/>
  <c r="AC88"/>
  <c r="AC89"/>
  <c r="AD64"/>
  <c r="AE64"/>
  <c r="AF64"/>
  <c r="AG64"/>
  <c r="A65"/>
  <c r="F65"/>
  <c r="G65"/>
  <c r="K65"/>
  <c r="U65"/>
  <c r="V65"/>
  <c r="W65"/>
  <c r="X65"/>
  <c r="Y65"/>
  <c r="Z65"/>
  <c r="AA65"/>
  <c r="AB65"/>
  <c r="AD65"/>
  <c r="AE65"/>
  <c r="AF65"/>
  <c r="AG65"/>
  <c r="A66"/>
  <c r="A67"/>
  <c r="F66"/>
  <c r="G66"/>
  <c r="K66"/>
  <c r="U66"/>
  <c r="V66"/>
  <c r="W66"/>
  <c r="X66"/>
  <c r="Y66"/>
  <c r="Z66"/>
  <c r="AA66"/>
  <c r="AB66"/>
  <c r="AD66"/>
  <c r="AE66"/>
  <c r="AF66"/>
  <c r="AG66"/>
  <c r="F67"/>
  <c r="G67"/>
  <c r="K67"/>
  <c r="U67"/>
  <c r="V67"/>
  <c r="W67"/>
  <c r="X67"/>
  <c r="Y67"/>
  <c r="Z67"/>
  <c r="AA67"/>
  <c r="AB67"/>
  <c r="AD67"/>
  <c r="AE67"/>
  <c r="AF67"/>
  <c r="AG67"/>
  <c r="A68"/>
  <c r="A69"/>
  <c r="A70"/>
  <c r="A71"/>
  <c r="F68"/>
  <c r="G68"/>
  <c r="K68"/>
  <c r="U68"/>
  <c r="V68"/>
  <c r="W68"/>
  <c r="X68"/>
  <c r="Y68"/>
  <c r="Z68"/>
  <c r="AA68"/>
  <c r="AB68"/>
  <c r="AD68"/>
  <c r="AE68"/>
  <c r="AF68"/>
  <c r="AG68"/>
  <c r="F69"/>
  <c r="G69"/>
  <c r="K69"/>
  <c r="U69"/>
  <c r="V69"/>
  <c r="W69"/>
  <c r="X69"/>
  <c r="Y69"/>
  <c r="Z69"/>
  <c r="AA69"/>
  <c r="AB69"/>
  <c r="AD69"/>
  <c r="AE69"/>
  <c r="AF69"/>
  <c r="AG69"/>
  <c r="F70"/>
  <c r="G70"/>
  <c r="K70"/>
  <c r="U70"/>
  <c r="V70"/>
  <c r="W70"/>
  <c r="X70"/>
  <c r="Y70"/>
  <c r="Z70"/>
  <c r="AA70"/>
  <c r="AB70"/>
  <c r="AD70"/>
  <c r="AE70"/>
  <c r="AF70"/>
  <c r="AG70"/>
  <c r="F71"/>
  <c r="G71"/>
  <c r="K71"/>
  <c r="U71"/>
  <c r="V71"/>
  <c r="W71"/>
  <c r="X71"/>
  <c r="Y71"/>
  <c r="Z71"/>
  <c r="AA71"/>
  <c r="AB71"/>
  <c r="AD71"/>
  <c r="AE71"/>
  <c r="AF71"/>
  <c r="AG71"/>
  <c r="A72"/>
  <c r="A73"/>
  <c r="A74"/>
  <c r="A75"/>
  <c r="F72"/>
  <c r="G72"/>
  <c r="K72"/>
  <c r="U72"/>
  <c r="V72"/>
  <c r="W72"/>
  <c r="X72"/>
  <c r="Y72"/>
  <c r="Z72"/>
  <c r="AA72"/>
  <c r="AB72"/>
  <c r="AD72"/>
  <c r="AE72"/>
  <c r="AF72"/>
  <c r="AG72"/>
  <c r="F73"/>
  <c r="G73"/>
  <c r="K73"/>
  <c r="U73"/>
  <c r="V73"/>
  <c r="W73"/>
  <c r="X73"/>
  <c r="Y73"/>
  <c r="Z73"/>
  <c r="AA73"/>
  <c r="AB73"/>
  <c r="AD73"/>
  <c r="AE73"/>
  <c r="AF73"/>
  <c r="AG73"/>
  <c r="F74"/>
  <c r="G74"/>
  <c r="K74"/>
  <c r="U74"/>
  <c r="V74"/>
  <c r="W74"/>
  <c r="X74"/>
  <c r="Y74"/>
  <c r="Z74"/>
  <c r="AA74"/>
  <c r="AB74"/>
  <c r="AD74"/>
  <c r="AE74"/>
  <c r="AF74"/>
  <c r="AG74"/>
  <c r="F75"/>
  <c r="G75"/>
  <c r="K75"/>
  <c r="U75"/>
  <c r="V75"/>
  <c r="W75"/>
  <c r="X75"/>
  <c r="Y75"/>
  <c r="Z75"/>
  <c r="AA75"/>
  <c r="AB75"/>
  <c r="AD75"/>
  <c r="AE75"/>
  <c r="AF75"/>
  <c r="AG75"/>
  <c r="A76"/>
  <c r="A77"/>
  <c r="A78"/>
  <c r="A79"/>
  <c r="F76"/>
  <c r="G76"/>
  <c r="K76"/>
  <c r="U76"/>
  <c r="V76"/>
  <c r="W76"/>
  <c r="X76"/>
  <c r="Y76"/>
  <c r="Z76"/>
  <c r="AA76"/>
  <c r="AB76"/>
  <c r="AD76"/>
  <c r="AE76"/>
  <c r="AF76"/>
  <c r="AG76"/>
  <c r="F77"/>
  <c r="G77"/>
  <c r="K77"/>
  <c r="U77"/>
  <c r="V77"/>
  <c r="W77"/>
  <c r="X77"/>
  <c r="Y77"/>
  <c r="Z77"/>
  <c r="AA77"/>
  <c r="AB77"/>
  <c r="AD77"/>
  <c r="AE77"/>
  <c r="AF77"/>
  <c r="AG77"/>
  <c r="F78"/>
  <c r="G78"/>
  <c r="K78"/>
  <c r="U78"/>
  <c r="V78"/>
  <c r="W78"/>
  <c r="X78"/>
  <c r="Y78"/>
  <c r="Z78"/>
  <c r="AA78"/>
  <c r="AB78"/>
  <c r="AD78"/>
  <c r="AE78"/>
  <c r="AF78"/>
  <c r="AG78"/>
  <c r="F79"/>
  <c r="G79"/>
  <c r="K79"/>
  <c r="U79"/>
  <c r="V79"/>
  <c r="W79"/>
  <c r="X79"/>
  <c r="Y79"/>
  <c r="Z79"/>
  <c r="AA79"/>
  <c r="AB79"/>
  <c r="AD79"/>
  <c r="AE79"/>
  <c r="AF79"/>
  <c r="AG79"/>
  <c r="A80"/>
  <c r="A81"/>
  <c r="A82"/>
  <c r="A83"/>
  <c r="A84"/>
  <c r="A85"/>
  <c r="F80"/>
  <c r="G80"/>
  <c r="K80"/>
  <c r="F81"/>
  <c r="G81"/>
  <c r="K81"/>
  <c r="U81"/>
  <c r="V81"/>
  <c r="W81"/>
  <c r="X81"/>
  <c r="Y81"/>
  <c r="Z81"/>
  <c r="AA81"/>
  <c r="AB81"/>
  <c r="AD81"/>
  <c r="AE81"/>
  <c r="AF81"/>
  <c r="AG81"/>
  <c r="F82"/>
  <c r="G82"/>
  <c r="K82"/>
  <c r="U82"/>
  <c r="V82"/>
  <c r="W82"/>
  <c r="X82"/>
  <c r="Y82"/>
  <c r="Z82"/>
  <c r="AA82"/>
  <c r="AB82"/>
  <c r="AD82"/>
  <c r="AE82"/>
  <c r="AF82"/>
  <c r="AG82"/>
  <c r="F83"/>
  <c r="G83"/>
  <c r="K83"/>
  <c r="F84"/>
  <c r="G84"/>
  <c r="K84"/>
  <c r="U84"/>
  <c r="V84"/>
  <c r="W84"/>
  <c r="X84"/>
  <c r="Y84"/>
  <c r="Z84"/>
  <c r="AA84"/>
  <c r="AB84"/>
  <c r="AD84"/>
  <c r="AE84"/>
  <c r="AF84"/>
  <c r="AG84"/>
  <c r="F85"/>
  <c r="G85"/>
  <c r="K85"/>
  <c r="U85"/>
  <c r="V85"/>
  <c r="W85"/>
  <c r="X85"/>
  <c r="Y85"/>
  <c r="Z85"/>
  <c r="AA85"/>
  <c r="AB85"/>
  <c r="AD85"/>
  <c r="AE85"/>
  <c r="AF85"/>
  <c r="AG85"/>
  <c r="A86"/>
  <c r="A87"/>
  <c r="A88"/>
  <c r="F86"/>
  <c r="G86"/>
  <c r="K86"/>
  <c r="U86"/>
  <c r="V86"/>
  <c r="W86"/>
  <c r="X86"/>
  <c r="Y86"/>
  <c r="Z86"/>
  <c r="AA86"/>
  <c r="AB86"/>
  <c r="AD86"/>
  <c r="AE86"/>
  <c r="AF86"/>
  <c r="AG86"/>
  <c r="F87"/>
  <c r="G87"/>
  <c r="K87"/>
  <c r="U87"/>
  <c r="V87"/>
  <c r="W87"/>
  <c r="X87"/>
  <c r="Y87"/>
  <c r="Z87"/>
  <c r="AA87"/>
  <c r="AB87"/>
  <c r="AD87"/>
  <c r="AE87"/>
  <c r="AF87"/>
  <c r="AG87"/>
  <c r="F88"/>
  <c r="G88"/>
  <c r="K88"/>
  <c r="U88"/>
  <c r="V88"/>
  <c r="W88"/>
  <c r="X88"/>
  <c r="Y88"/>
  <c r="Z88"/>
  <c r="AA88"/>
  <c r="AB88"/>
  <c r="AD88"/>
  <c r="AE88"/>
  <c r="AF88"/>
  <c r="AG88"/>
  <c r="J89"/>
  <c r="U89"/>
  <c r="E93"/>
  <c r="F93"/>
  <c r="G93"/>
  <c r="C99"/>
  <c r="D99"/>
  <c r="E99"/>
  <c r="F99"/>
  <c r="G99"/>
  <c r="H99"/>
  <c r="I99"/>
  <c r="H93"/>
  <c r="AG89"/>
  <c r="AE89"/>
  <c r="AA89"/>
  <c r="Y89"/>
  <c r="W89"/>
  <c r="AF89"/>
  <c r="AD89"/>
  <c r="AB89"/>
  <c r="Z89"/>
  <c r="X89"/>
  <c r="V89"/>
  <c r="E4"/>
  <c r="I4"/>
  <c r="E6"/>
  <c r="I6"/>
  <c r="E8"/>
  <c r="I8"/>
  <c r="E10"/>
  <c r="I10"/>
  <c r="E11"/>
  <c r="I11"/>
  <c r="E13"/>
  <c r="I13"/>
  <c r="E16"/>
  <c r="I16"/>
  <c r="E18"/>
  <c r="I18"/>
  <c r="E20"/>
  <c r="I20"/>
  <c r="E22"/>
  <c r="I22"/>
  <c r="E24"/>
  <c r="I24"/>
  <c r="E26"/>
  <c r="I26"/>
  <c r="E28"/>
  <c r="I28"/>
  <c r="E30"/>
  <c r="I30"/>
  <c r="E32"/>
  <c r="I32"/>
  <c r="E33"/>
  <c r="I33"/>
  <c r="E35"/>
  <c r="I35"/>
  <c r="E37"/>
  <c r="I37"/>
  <c r="E39"/>
  <c r="I39"/>
  <c r="E42"/>
  <c r="I42"/>
  <c r="E44"/>
  <c r="I44"/>
  <c r="E46"/>
  <c r="I46"/>
  <c r="E48"/>
  <c r="I48"/>
  <c r="E50"/>
  <c r="I50"/>
  <c r="E52"/>
  <c r="I52"/>
  <c r="E54"/>
  <c r="I54"/>
  <c r="E56"/>
  <c r="I56"/>
  <c r="E58"/>
  <c r="I58"/>
  <c r="E60"/>
  <c r="I60"/>
  <c r="E63"/>
  <c r="I63"/>
  <c r="E3"/>
  <c r="I3"/>
  <c r="E5"/>
  <c r="I5"/>
  <c r="E7"/>
  <c r="I7"/>
  <c r="E9"/>
  <c r="I9"/>
  <c r="E12"/>
  <c r="I12"/>
  <c r="E14"/>
  <c r="I14"/>
  <c r="E15"/>
  <c r="I15"/>
  <c r="E17"/>
  <c r="I17"/>
  <c r="E19"/>
  <c r="I19"/>
  <c r="E21"/>
  <c r="I21"/>
  <c r="E23"/>
  <c r="I23"/>
  <c r="E25"/>
  <c r="I25"/>
  <c r="E27"/>
  <c r="I27"/>
  <c r="E29"/>
  <c r="I29"/>
  <c r="E31"/>
  <c r="I31"/>
  <c r="E34"/>
  <c r="I34"/>
  <c r="E36"/>
  <c r="I36"/>
  <c r="E38"/>
  <c r="I38"/>
  <c r="E40"/>
  <c r="I40"/>
  <c r="E41"/>
  <c r="I41"/>
  <c r="E43"/>
  <c r="I43"/>
  <c r="E45"/>
  <c r="I45"/>
  <c r="E47"/>
  <c r="I47"/>
  <c r="E49"/>
  <c r="I49"/>
  <c r="E51"/>
  <c r="I51"/>
  <c r="E53"/>
  <c r="I53"/>
  <c r="E55"/>
  <c r="I55"/>
  <c r="E57"/>
  <c r="I57"/>
  <c r="E59"/>
  <c r="I59"/>
  <c r="E61"/>
  <c r="I61"/>
  <c r="E62"/>
  <c r="I62"/>
  <c r="E64"/>
  <c r="I64"/>
  <c r="E66"/>
  <c r="I66"/>
  <c r="E68"/>
  <c r="I68"/>
  <c r="E70"/>
  <c r="I70"/>
  <c r="E72"/>
  <c r="I72"/>
  <c r="E74"/>
  <c r="I74"/>
  <c r="E67"/>
  <c r="I67"/>
  <c r="E71"/>
  <c r="I71"/>
  <c r="E76"/>
  <c r="I76"/>
  <c r="E78"/>
  <c r="I78"/>
  <c r="E80"/>
  <c r="I80"/>
  <c r="E81"/>
  <c r="I81"/>
  <c r="E83"/>
  <c r="I83"/>
  <c r="E84"/>
  <c r="I84"/>
  <c r="E86"/>
  <c r="I86"/>
  <c r="E88"/>
  <c r="I88"/>
  <c r="E73"/>
  <c r="I73"/>
  <c r="E75"/>
  <c r="I75"/>
  <c r="E79"/>
  <c r="I79"/>
  <c r="E82"/>
  <c r="I82"/>
  <c r="E85"/>
  <c r="I85"/>
  <c r="E87"/>
  <c r="I87"/>
  <c r="E65"/>
  <c r="I65"/>
  <c r="E69"/>
  <c r="I69"/>
  <c r="E77"/>
  <c r="I77"/>
  <c r="G96"/>
  <c r="F2" i="5"/>
  <c r="G2"/>
  <c r="K2"/>
  <c r="U2"/>
  <c r="V2"/>
  <c r="W2"/>
  <c r="X2"/>
  <c r="Y2"/>
  <c r="Z2"/>
  <c r="AA2"/>
  <c r="AB2"/>
  <c r="AC2"/>
  <c r="AD2"/>
  <c r="AE2"/>
  <c r="AF2"/>
  <c r="AG2"/>
  <c r="A3"/>
  <c r="A4"/>
  <c r="A5"/>
  <c r="A6"/>
  <c r="A7"/>
  <c r="A8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F3"/>
  <c r="G3"/>
  <c r="K3"/>
  <c r="U3"/>
  <c r="V3"/>
  <c r="W3"/>
  <c r="X3"/>
  <c r="Y3"/>
  <c r="Z3"/>
  <c r="AA3"/>
  <c r="AB3"/>
  <c r="AC3"/>
  <c r="AD3"/>
  <c r="AE3"/>
  <c r="AF3"/>
  <c r="AG3"/>
  <c r="F4"/>
  <c r="G4"/>
  <c r="K4"/>
  <c r="U4"/>
  <c r="V4"/>
  <c r="W4"/>
  <c r="X4"/>
  <c r="Y4"/>
  <c r="Z4"/>
  <c r="AA4"/>
  <c r="AB4"/>
  <c r="AC4"/>
  <c r="AD4"/>
  <c r="AE4"/>
  <c r="AF4"/>
  <c r="AG4"/>
  <c r="F5"/>
  <c r="G5"/>
  <c r="K5"/>
  <c r="U5"/>
  <c r="V5"/>
  <c r="W5"/>
  <c r="X5"/>
  <c r="Y5"/>
  <c r="Z5"/>
  <c r="AA5"/>
  <c r="AB5"/>
  <c r="AC5"/>
  <c r="AD5"/>
  <c r="AE5"/>
  <c r="AF5"/>
  <c r="AG5"/>
  <c r="F6"/>
  <c r="G6"/>
  <c r="K6"/>
  <c r="U6"/>
  <c r="V6"/>
  <c r="W6"/>
  <c r="X6"/>
  <c r="Y6"/>
  <c r="Z6"/>
  <c r="AA6"/>
  <c r="AB6"/>
  <c r="AC6"/>
  <c r="AD6"/>
  <c r="AE6"/>
  <c r="AF6"/>
  <c r="AG6"/>
  <c r="F7"/>
  <c r="G7"/>
  <c r="K7"/>
  <c r="U7"/>
  <c r="V7"/>
  <c r="W7"/>
  <c r="X7"/>
  <c r="Y7"/>
  <c r="Z7"/>
  <c r="AA7"/>
  <c r="AB7"/>
  <c r="AC7"/>
  <c r="AD7"/>
  <c r="AE7"/>
  <c r="AF7"/>
  <c r="AG7"/>
  <c r="F8"/>
  <c r="G8"/>
  <c r="K8"/>
  <c r="U8"/>
  <c r="V8"/>
  <c r="W8"/>
  <c r="X8"/>
  <c r="Y8"/>
  <c r="Z8"/>
  <c r="AA8"/>
  <c r="AB8"/>
  <c r="AC8"/>
  <c r="AD8"/>
  <c r="AE8"/>
  <c r="AF8"/>
  <c r="AG8"/>
  <c r="F9"/>
  <c r="G9"/>
  <c r="K9"/>
  <c r="F10"/>
  <c r="G10"/>
  <c r="K10"/>
  <c r="U10"/>
  <c r="V10"/>
  <c r="W10"/>
  <c r="X10"/>
  <c r="Y10"/>
  <c r="Z10"/>
  <c r="AA10"/>
  <c r="AB10"/>
  <c r="AC10"/>
  <c r="AD10"/>
  <c r="AE10"/>
  <c r="AF10"/>
  <c r="AG10"/>
  <c r="F11"/>
  <c r="G11"/>
  <c r="K11"/>
  <c r="U11"/>
  <c r="V11"/>
  <c r="W11"/>
  <c r="X11"/>
  <c r="Y11"/>
  <c r="Z11"/>
  <c r="AA11"/>
  <c r="AB11"/>
  <c r="AC11"/>
  <c r="AD11"/>
  <c r="AE11"/>
  <c r="AF11"/>
  <c r="AG11"/>
  <c r="F12"/>
  <c r="G12"/>
  <c r="K12"/>
  <c r="U12"/>
  <c r="V12"/>
  <c r="W12"/>
  <c r="X12"/>
  <c r="Y12"/>
  <c r="Z12"/>
  <c r="AA12"/>
  <c r="AB12"/>
  <c r="AC12"/>
  <c r="AD12"/>
  <c r="AE12"/>
  <c r="AF12"/>
  <c r="AG12"/>
  <c r="F13"/>
  <c r="G13"/>
  <c r="K13"/>
  <c r="F14"/>
  <c r="G14"/>
  <c r="K14"/>
  <c r="U14"/>
  <c r="V14"/>
  <c r="W14"/>
  <c r="X14"/>
  <c r="Y14"/>
  <c r="Z14"/>
  <c r="AA14"/>
  <c r="AB14"/>
  <c r="AC14"/>
  <c r="AD14"/>
  <c r="AE14"/>
  <c r="AF14"/>
  <c r="AG14"/>
  <c r="F15"/>
  <c r="G15"/>
  <c r="K15"/>
  <c r="U15"/>
  <c r="V15"/>
  <c r="W15"/>
  <c r="X15"/>
  <c r="Y15"/>
  <c r="Z15"/>
  <c r="AA15"/>
  <c r="AB15"/>
  <c r="AC15"/>
  <c r="AD15"/>
  <c r="AE15"/>
  <c r="AF15"/>
  <c r="AG15"/>
  <c r="F16"/>
  <c r="G16"/>
  <c r="K16"/>
  <c r="U16"/>
  <c r="V16"/>
  <c r="W16"/>
  <c r="X16"/>
  <c r="Y16"/>
  <c r="Z16"/>
  <c r="AA16"/>
  <c r="AB16"/>
  <c r="AC16"/>
  <c r="AD16"/>
  <c r="AE16"/>
  <c r="AF16"/>
  <c r="AG16"/>
  <c r="F17"/>
  <c r="G17"/>
  <c r="K17"/>
  <c r="U17"/>
  <c r="V17"/>
  <c r="W17"/>
  <c r="X17"/>
  <c r="Y17"/>
  <c r="Z17"/>
  <c r="AA17"/>
  <c r="AB17"/>
  <c r="AC17"/>
  <c r="AD17"/>
  <c r="AE17"/>
  <c r="AF17"/>
  <c r="AG17"/>
  <c r="F18"/>
  <c r="G18"/>
  <c r="K18"/>
  <c r="U18"/>
  <c r="V18"/>
  <c r="W18"/>
  <c r="X18"/>
  <c r="Y18"/>
  <c r="Z18"/>
  <c r="AA18"/>
  <c r="AB18"/>
  <c r="AC18"/>
  <c r="AD18"/>
  <c r="AE18"/>
  <c r="AF18"/>
  <c r="AG18"/>
  <c r="F19"/>
  <c r="G19"/>
  <c r="K19"/>
  <c r="U19"/>
  <c r="V19"/>
  <c r="W19"/>
  <c r="X19"/>
  <c r="Y19"/>
  <c r="Z19"/>
  <c r="AA19"/>
  <c r="AB19"/>
  <c r="AC19"/>
  <c r="AD19"/>
  <c r="AE19"/>
  <c r="AF19"/>
  <c r="AG19"/>
  <c r="F20"/>
  <c r="G20"/>
  <c r="K20"/>
  <c r="U20"/>
  <c r="V20"/>
  <c r="W20"/>
  <c r="X20"/>
  <c r="Y20"/>
  <c r="Z20"/>
  <c r="AA20"/>
  <c r="AB20"/>
  <c r="AC20"/>
  <c r="AD20"/>
  <c r="AE20"/>
  <c r="AF20"/>
  <c r="AG20"/>
  <c r="F21"/>
  <c r="G21"/>
  <c r="K21"/>
  <c r="U21"/>
  <c r="V21"/>
  <c r="W21"/>
  <c r="X21"/>
  <c r="Y21"/>
  <c r="Z21"/>
  <c r="AA21"/>
  <c r="AB21"/>
  <c r="AC21"/>
  <c r="AD21"/>
  <c r="AE21"/>
  <c r="AF21"/>
  <c r="AG21"/>
  <c r="F22"/>
  <c r="G22"/>
  <c r="K22"/>
  <c r="U22"/>
  <c r="V22"/>
  <c r="W22"/>
  <c r="X22"/>
  <c r="Y22"/>
  <c r="Z22"/>
  <c r="AA22"/>
  <c r="AB22"/>
  <c r="AC22"/>
  <c r="AD22"/>
  <c r="AE22"/>
  <c r="AF22"/>
  <c r="AG22"/>
  <c r="F23"/>
  <c r="G23"/>
  <c r="K23"/>
  <c r="U23"/>
  <c r="V23"/>
  <c r="W23"/>
  <c r="X23"/>
  <c r="Y23"/>
  <c r="Z23"/>
  <c r="AA23"/>
  <c r="AB23"/>
  <c r="AC23"/>
  <c r="AD23"/>
  <c r="AE23"/>
  <c r="AF23"/>
  <c r="AG23"/>
  <c r="F24"/>
  <c r="G24"/>
  <c r="K24"/>
  <c r="U24"/>
  <c r="V24"/>
  <c r="W24"/>
  <c r="X24"/>
  <c r="Y24"/>
  <c r="Z24"/>
  <c r="AA24"/>
  <c r="AB24"/>
  <c r="AC24"/>
  <c r="AD24"/>
  <c r="AE24"/>
  <c r="AF24"/>
  <c r="AG24"/>
  <c r="F25"/>
  <c r="G25"/>
  <c r="K25"/>
  <c r="U25"/>
  <c r="V25"/>
  <c r="W25"/>
  <c r="X25"/>
  <c r="Y25"/>
  <c r="Z25"/>
  <c r="AA25"/>
  <c r="AB25"/>
  <c r="AC25"/>
  <c r="AD25"/>
  <c r="AE25"/>
  <c r="AF25"/>
  <c r="AG25"/>
  <c r="F26"/>
  <c r="G26"/>
  <c r="K26"/>
  <c r="U26"/>
  <c r="V26"/>
  <c r="W26"/>
  <c r="X26"/>
  <c r="Y26"/>
  <c r="Z26"/>
  <c r="AA26"/>
  <c r="AB26"/>
  <c r="AC26"/>
  <c r="AD26"/>
  <c r="AE26"/>
  <c r="AF26"/>
  <c r="AG26"/>
  <c r="F27"/>
  <c r="G27"/>
  <c r="K27"/>
  <c r="U27"/>
  <c r="V27"/>
  <c r="W27"/>
  <c r="X27"/>
  <c r="Y27"/>
  <c r="Z27"/>
  <c r="AA27"/>
  <c r="AB27"/>
  <c r="AC27"/>
  <c r="AD27"/>
  <c r="AE27"/>
  <c r="AF27"/>
  <c r="AG27"/>
  <c r="F28"/>
  <c r="G28"/>
  <c r="K28"/>
  <c r="U28"/>
  <c r="V28"/>
  <c r="W28"/>
  <c r="X28"/>
  <c r="Y28"/>
  <c r="Z28"/>
  <c r="AA28"/>
  <c r="AB28"/>
  <c r="AC28"/>
  <c r="AD28"/>
  <c r="AE28"/>
  <c r="AF28"/>
  <c r="AG28"/>
  <c r="F29"/>
  <c r="G29"/>
  <c r="K29"/>
  <c r="U29"/>
  <c r="V29"/>
  <c r="W29"/>
  <c r="X29"/>
  <c r="Y29"/>
  <c r="Z29"/>
  <c r="AA29"/>
  <c r="AB29"/>
  <c r="AC29"/>
  <c r="AD29"/>
  <c r="AE29"/>
  <c r="AF29"/>
  <c r="AG29"/>
  <c r="F30"/>
  <c r="G30"/>
  <c r="K30"/>
  <c r="U30"/>
  <c r="V30"/>
  <c r="W30"/>
  <c r="X30"/>
  <c r="Y30"/>
  <c r="Z30"/>
  <c r="AA30"/>
  <c r="AB30"/>
  <c r="AC30"/>
  <c r="AD30"/>
  <c r="AE30"/>
  <c r="AF30"/>
  <c r="AG30"/>
  <c r="F31"/>
  <c r="G31"/>
  <c r="K31"/>
  <c r="F32"/>
  <c r="G32"/>
  <c r="K32"/>
  <c r="U32"/>
  <c r="V32"/>
  <c r="W32"/>
  <c r="X32"/>
  <c r="Y32"/>
  <c r="Z32"/>
  <c r="AA32"/>
  <c r="AB32"/>
  <c r="AC32"/>
  <c r="AD32"/>
  <c r="AE32"/>
  <c r="AF32"/>
  <c r="AG32"/>
  <c r="F33"/>
  <c r="G33"/>
  <c r="K33"/>
  <c r="U33"/>
  <c r="V33"/>
  <c r="W33"/>
  <c r="X33"/>
  <c r="Y33"/>
  <c r="Z33"/>
  <c r="AA33"/>
  <c r="AB33"/>
  <c r="AC33"/>
  <c r="AD33"/>
  <c r="AE33"/>
  <c r="AF33"/>
  <c r="AG33"/>
  <c r="F34"/>
  <c r="G34"/>
  <c r="K34"/>
  <c r="U34"/>
  <c r="V34"/>
  <c r="W34"/>
  <c r="X34"/>
  <c r="Y34"/>
  <c r="Z34"/>
  <c r="AA34"/>
  <c r="AB34"/>
  <c r="AC34"/>
  <c r="AD34"/>
  <c r="AE34"/>
  <c r="AF34"/>
  <c r="AG34"/>
  <c r="F35"/>
  <c r="G35"/>
  <c r="K35"/>
  <c r="U35"/>
  <c r="V35"/>
  <c r="W35"/>
  <c r="X35"/>
  <c r="Y35"/>
  <c r="Z35"/>
  <c r="AA35"/>
  <c r="AB35"/>
  <c r="AC35"/>
  <c r="AD35"/>
  <c r="AE35"/>
  <c r="AF35"/>
  <c r="AG35"/>
  <c r="F36"/>
  <c r="G36"/>
  <c r="K36"/>
  <c r="U36"/>
  <c r="V36"/>
  <c r="W36"/>
  <c r="X36"/>
  <c r="Y36"/>
  <c r="Z36"/>
  <c r="AA36"/>
  <c r="AB36"/>
  <c r="AC36"/>
  <c r="AD36"/>
  <c r="AE36"/>
  <c r="AF36"/>
  <c r="AG36"/>
  <c r="F37"/>
  <c r="G37"/>
  <c r="K37"/>
  <c r="U37"/>
  <c r="V37"/>
  <c r="W37"/>
  <c r="X37"/>
  <c r="Y37"/>
  <c r="Z37"/>
  <c r="AA37"/>
  <c r="AB37"/>
  <c r="AC37"/>
  <c r="AD37"/>
  <c r="AE37"/>
  <c r="AF37"/>
  <c r="AG37"/>
  <c r="F38"/>
  <c r="G38"/>
  <c r="K38"/>
  <c r="U38"/>
  <c r="V38"/>
  <c r="W38"/>
  <c r="X38"/>
  <c r="Y38"/>
  <c r="Z38"/>
  <c r="AA38"/>
  <c r="AB38"/>
  <c r="AC38"/>
  <c r="AD38"/>
  <c r="AE38"/>
  <c r="AF38"/>
  <c r="AG38"/>
  <c r="F39"/>
  <c r="G39"/>
  <c r="K39"/>
  <c r="F40"/>
  <c r="G40"/>
  <c r="K40"/>
  <c r="U40"/>
  <c r="V40"/>
  <c r="W40"/>
  <c r="X40"/>
  <c r="Y40"/>
  <c r="Z40"/>
  <c r="AA40"/>
  <c r="AB40"/>
  <c r="AC40"/>
  <c r="AD40"/>
  <c r="AE40"/>
  <c r="AF40"/>
  <c r="AG40"/>
  <c r="F41"/>
  <c r="G41"/>
  <c r="K41"/>
  <c r="U41"/>
  <c r="V41"/>
  <c r="W41"/>
  <c r="X41"/>
  <c r="Y41"/>
  <c r="Z41"/>
  <c r="AA41"/>
  <c r="AB41"/>
  <c r="AC41"/>
  <c r="AD41"/>
  <c r="AE41"/>
  <c r="AF41"/>
  <c r="AG41"/>
  <c r="F42"/>
  <c r="G42"/>
  <c r="K42"/>
  <c r="U42"/>
  <c r="V42"/>
  <c r="W42"/>
  <c r="X42"/>
  <c r="Y42"/>
  <c r="Z42"/>
  <c r="AA42"/>
  <c r="AB42"/>
  <c r="AC42"/>
  <c r="AD42"/>
  <c r="AE42"/>
  <c r="AF42"/>
  <c r="AG42"/>
  <c r="F43"/>
  <c r="G43"/>
  <c r="K43"/>
  <c r="U43"/>
  <c r="V43"/>
  <c r="W43"/>
  <c r="X43"/>
  <c r="Y43"/>
  <c r="Z43"/>
  <c r="AA43"/>
  <c r="AB43"/>
  <c r="AC43"/>
  <c r="AD43"/>
  <c r="AE43"/>
  <c r="AF43"/>
  <c r="AG43"/>
  <c r="F44"/>
  <c r="G44"/>
  <c r="K44"/>
  <c r="U44"/>
  <c r="V44"/>
  <c r="W44"/>
  <c r="X44"/>
  <c r="Y44"/>
  <c r="Z44"/>
  <c r="AA44"/>
  <c r="AB44"/>
  <c r="AC44"/>
  <c r="AD44"/>
  <c r="AE44"/>
  <c r="AF44"/>
  <c r="AG44"/>
  <c r="F45"/>
  <c r="G45"/>
  <c r="K45"/>
  <c r="U45"/>
  <c r="V45"/>
  <c r="W45"/>
  <c r="X45"/>
  <c r="Y45"/>
  <c r="Z45"/>
  <c r="AA45"/>
  <c r="AB45"/>
  <c r="AC45"/>
  <c r="AD45"/>
  <c r="AE45"/>
  <c r="AF45"/>
  <c r="AG45"/>
  <c r="F46"/>
  <c r="G46"/>
  <c r="K46"/>
  <c r="U46"/>
  <c r="V46"/>
  <c r="W46"/>
  <c r="X46"/>
  <c r="Y46"/>
  <c r="Z46"/>
  <c r="AA46"/>
  <c r="AB46"/>
  <c r="AC46"/>
  <c r="AD46"/>
  <c r="AE46"/>
  <c r="AF46"/>
  <c r="AG46"/>
  <c r="F47"/>
  <c r="G47"/>
  <c r="K47"/>
  <c r="U47"/>
  <c r="V47"/>
  <c r="W47"/>
  <c r="X47"/>
  <c r="Y47"/>
  <c r="Z47"/>
  <c r="AA47"/>
  <c r="AB47"/>
  <c r="AC47"/>
  <c r="AD47"/>
  <c r="AE47"/>
  <c r="AF47"/>
  <c r="AG47"/>
  <c r="F48"/>
  <c r="G48"/>
  <c r="K48"/>
  <c r="U48"/>
  <c r="V48"/>
  <c r="W48"/>
  <c r="X48"/>
  <c r="Y48"/>
  <c r="Z48"/>
  <c r="AA48"/>
  <c r="AB48"/>
  <c r="AC48"/>
  <c r="AD48"/>
  <c r="AE48"/>
  <c r="AF48"/>
  <c r="AG48"/>
  <c r="F49"/>
  <c r="G49"/>
  <c r="K49"/>
  <c r="U49"/>
  <c r="V49"/>
  <c r="W49"/>
  <c r="X49"/>
  <c r="Y49"/>
  <c r="Z49"/>
  <c r="AA49"/>
  <c r="AB49"/>
  <c r="AC49"/>
  <c r="AD49"/>
  <c r="AE49"/>
  <c r="AF49"/>
  <c r="AG49"/>
  <c r="F50"/>
  <c r="G50"/>
  <c r="K50"/>
  <c r="U50"/>
  <c r="V50"/>
  <c r="W50"/>
  <c r="X50"/>
  <c r="Y50"/>
  <c r="Z50"/>
  <c r="AA50"/>
  <c r="AB50"/>
  <c r="AC50"/>
  <c r="AD50"/>
  <c r="AE50"/>
  <c r="AF50"/>
  <c r="AG50"/>
  <c r="F51"/>
  <c r="G51"/>
  <c r="K51"/>
  <c r="U51"/>
  <c r="V51"/>
  <c r="W51"/>
  <c r="X51"/>
  <c r="Y51"/>
  <c r="Z51"/>
  <c r="AA51"/>
  <c r="AB51"/>
  <c r="AC51"/>
  <c r="AD51"/>
  <c r="AE51"/>
  <c r="AF51"/>
  <c r="AG51"/>
  <c r="F52"/>
  <c r="G52"/>
  <c r="K52"/>
  <c r="U52"/>
  <c r="V52"/>
  <c r="W52"/>
  <c r="X52"/>
  <c r="Y52"/>
  <c r="Z52"/>
  <c r="AA52"/>
  <c r="AB52"/>
  <c r="AC52"/>
  <c r="AD52"/>
  <c r="AE52"/>
  <c r="AF52"/>
  <c r="AG52"/>
  <c r="F53"/>
  <c r="G53"/>
  <c r="K53"/>
  <c r="U53"/>
  <c r="V53"/>
  <c r="W53"/>
  <c r="X53"/>
  <c r="Y53"/>
  <c r="Z53"/>
  <c r="AA53"/>
  <c r="AB53"/>
  <c r="AC53"/>
  <c r="AD53"/>
  <c r="AE53"/>
  <c r="AF53"/>
  <c r="AG53"/>
  <c r="F54"/>
  <c r="G54"/>
  <c r="K54"/>
  <c r="U54"/>
  <c r="V54"/>
  <c r="W54"/>
  <c r="X54"/>
  <c r="Y54"/>
  <c r="Z54"/>
  <c r="AA54"/>
  <c r="AB54"/>
  <c r="AC54"/>
  <c r="AD54"/>
  <c r="AE54"/>
  <c r="AF54"/>
  <c r="AG54"/>
  <c r="F55"/>
  <c r="G55"/>
  <c r="K55"/>
  <c r="U55"/>
  <c r="V55"/>
  <c r="W55"/>
  <c r="X55"/>
  <c r="Y55"/>
  <c r="Z55"/>
  <c r="AA55"/>
  <c r="AB55"/>
  <c r="AC55"/>
  <c r="AD55"/>
  <c r="AE55"/>
  <c r="AF55"/>
  <c r="AG55"/>
  <c r="F56"/>
  <c r="G56"/>
  <c r="K56"/>
  <c r="U56"/>
  <c r="V56"/>
  <c r="W56"/>
  <c r="X56"/>
  <c r="Y56"/>
  <c r="Z56"/>
  <c r="AA56"/>
  <c r="AB56"/>
  <c r="AC56"/>
  <c r="AD56"/>
  <c r="AE56"/>
  <c r="AF56"/>
  <c r="AG56"/>
  <c r="F57"/>
  <c r="G57"/>
  <c r="K57"/>
  <c r="U57"/>
  <c r="V57"/>
  <c r="W57"/>
  <c r="X57"/>
  <c r="Y57"/>
  <c r="Z57"/>
  <c r="AA57"/>
  <c r="AB57"/>
  <c r="AC57"/>
  <c r="AD57"/>
  <c r="AE57"/>
  <c r="AF57"/>
  <c r="AG57"/>
  <c r="F58"/>
  <c r="G58"/>
  <c r="K58"/>
  <c r="U58"/>
  <c r="V58"/>
  <c r="W58"/>
  <c r="X58"/>
  <c r="Y58"/>
  <c r="Z58"/>
  <c r="AA58"/>
  <c r="AB58"/>
  <c r="AC58"/>
  <c r="AD58"/>
  <c r="AE58"/>
  <c r="AF58"/>
  <c r="AG58"/>
  <c r="F59"/>
  <c r="G59"/>
  <c r="K59"/>
  <c r="U59"/>
  <c r="V59"/>
  <c r="W59"/>
  <c r="X59"/>
  <c r="Y59"/>
  <c r="Z59"/>
  <c r="AA59"/>
  <c r="AB59"/>
  <c r="AC59"/>
  <c r="AD59"/>
  <c r="AE59"/>
  <c r="AF59"/>
  <c r="AG59"/>
  <c r="F60"/>
  <c r="G60"/>
  <c r="K60"/>
  <c r="F61"/>
  <c r="G61"/>
  <c r="K61"/>
  <c r="U61"/>
  <c r="V61"/>
  <c r="W61"/>
  <c r="X61"/>
  <c r="Y61"/>
  <c r="Z61"/>
  <c r="AA61"/>
  <c r="AB61"/>
  <c r="AC61"/>
  <c r="AD61"/>
  <c r="AE61"/>
  <c r="AF61"/>
  <c r="AG61"/>
  <c r="F62"/>
  <c r="G62"/>
  <c r="K62"/>
  <c r="U62"/>
  <c r="V62"/>
  <c r="W62"/>
  <c r="X62"/>
  <c r="Y62"/>
  <c r="Z62"/>
  <c r="AA62"/>
  <c r="AB62"/>
  <c r="AC62"/>
  <c r="AD62"/>
  <c r="AE62"/>
  <c r="AF62"/>
  <c r="AG62"/>
  <c r="F63"/>
  <c r="G63"/>
  <c r="K63"/>
  <c r="U63"/>
  <c r="V63"/>
  <c r="W63"/>
  <c r="X63"/>
  <c r="Y63"/>
  <c r="Z63"/>
  <c r="AA63"/>
  <c r="AB63"/>
  <c r="AC63"/>
  <c r="AD63"/>
  <c r="AE63"/>
  <c r="AF63"/>
  <c r="AG63"/>
  <c r="F64"/>
  <c r="G64"/>
  <c r="K64"/>
  <c r="U64"/>
  <c r="V64"/>
  <c r="W64"/>
  <c r="X64"/>
  <c r="Y64"/>
  <c r="Z64"/>
  <c r="AA64"/>
  <c r="AB64"/>
  <c r="AC64"/>
  <c r="AD64"/>
  <c r="AE64"/>
  <c r="AF64"/>
  <c r="AG64"/>
  <c r="F65"/>
  <c r="G65"/>
  <c r="K65"/>
  <c r="U65"/>
  <c r="V65"/>
  <c r="W65"/>
  <c r="X65"/>
  <c r="Y65"/>
  <c r="Z65"/>
  <c r="AA65"/>
  <c r="AB65"/>
  <c r="AC65"/>
  <c r="AD65"/>
  <c r="AE65"/>
  <c r="AF65"/>
  <c r="AG65"/>
  <c r="F66"/>
  <c r="G66"/>
  <c r="K66"/>
  <c r="U66"/>
  <c r="V66"/>
  <c r="W66"/>
  <c r="X66"/>
  <c r="Y66"/>
  <c r="Z66"/>
  <c r="AA66"/>
  <c r="AB66"/>
  <c r="AC66"/>
  <c r="AD66"/>
  <c r="AE66"/>
  <c r="AF66"/>
  <c r="AG66"/>
  <c r="F67"/>
  <c r="G67"/>
  <c r="K67"/>
  <c r="U67"/>
  <c r="V67"/>
  <c r="W67"/>
  <c r="X67"/>
  <c r="Y67"/>
  <c r="Z67"/>
  <c r="AA67"/>
  <c r="AB67"/>
  <c r="AC67"/>
  <c r="AD67"/>
  <c r="AE67"/>
  <c r="AF67"/>
  <c r="AG67"/>
  <c r="F68"/>
  <c r="G68"/>
  <c r="K68"/>
  <c r="U68"/>
  <c r="V68"/>
  <c r="W68"/>
  <c r="X68"/>
  <c r="Y68"/>
  <c r="Z68"/>
  <c r="AA68"/>
  <c r="AB68"/>
  <c r="AC68"/>
  <c r="AD68"/>
  <c r="AE68"/>
  <c r="AF68"/>
  <c r="AG68"/>
  <c r="F69"/>
  <c r="G69"/>
  <c r="K69"/>
  <c r="U69"/>
  <c r="V69"/>
  <c r="W69"/>
  <c r="X69"/>
  <c r="Y69"/>
  <c r="Z69"/>
  <c r="AA69"/>
  <c r="AB69"/>
  <c r="AC69"/>
  <c r="AD69"/>
  <c r="AE69"/>
  <c r="AF69"/>
  <c r="AG69"/>
  <c r="F70"/>
  <c r="G70"/>
  <c r="K70"/>
  <c r="U70"/>
  <c r="V70"/>
  <c r="W70"/>
  <c r="X70"/>
  <c r="Y70"/>
  <c r="Z70"/>
  <c r="AA70"/>
  <c r="AB70"/>
  <c r="AC70"/>
  <c r="AD70"/>
  <c r="AE70"/>
  <c r="AF70"/>
  <c r="AG70"/>
  <c r="F71"/>
  <c r="G71"/>
  <c r="K71"/>
  <c r="U71"/>
  <c r="V71"/>
  <c r="W71"/>
  <c r="X71"/>
  <c r="Y71"/>
  <c r="Z71"/>
  <c r="AA71"/>
  <c r="AB71"/>
  <c r="AC71"/>
  <c r="AD71"/>
  <c r="AE71"/>
  <c r="AF71"/>
  <c r="AG71"/>
  <c r="F72"/>
  <c r="G72"/>
  <c r="K72"/>
  <c r="U72"/>
  <c r="V72"/>
  <c r="W72"/>
  <c r="X72"/>
  <c r="Y72"/>
  <c r="Z72"/>
  <c r="AA72"/>
  <c r="AB72"/>
  <c r="AC72"/>
  <c r="AD72"/>
  <c r="AE72"/>
  <c r="AF72"/>
  <c r="AG72"/>
  <c r="F73"/>
  <c r="G73"/>
  <c r="K73"/>
  <c r="U73"/>
  <c r="V73"/>
  <c r="W73"/>
  <c r="X73"/>
  <c r="Y73"/>
  <c r="Z73"/>
  <c r="AA73"/>
  <c r="AB73"/>
  <c r="AC73"/>
  <c r="AD73"/>
  <c r="AE73"/>
  <c r="AF73"/>
  <c r="AG73"/>
  <c r="F74"/>
  <c r="G74"/>
  <c r="K74"/>
  <c r="U74"/>
  <c r="V74"/>
  <c r="W74"/>
  <c r="X74"/>
  <c r="Y74"/>
  <c r="Z74"/>
  <c r="AA74"/>
  <c r="AB74"/>
  <c r="AC74"/>
  <c r="AD74"/>
  <c r="AE74"/>
  <c r="AF74"/>
  <c r="AG74"/>
  <c r="F75"/>
  <c r="G75"/>
  <c r="K75"/>
  <c r="U75"/>
  <c r="V75"/>
  <c r="W75"/>
  <c r="X75"/>
  <c r="Y75"/>
  <c r="Z75"/>
  <c r="AA75"/>
  <c r="AB75"/>
  <c r="AC75"/>
  <c r="AD75"/>
  <c r="AE75"/>
  <c r="AF75"/>
  <c r="AG75"/>
  <c r="F76"/>
  <c r="G76"/>
  <c r="K76"/>
  <c r="U76"/>
  <c r="V76"/>
  <c r="W76"/>
  <c r="X76"/>
  <c r="Y76"/>
  <c r="Z76"/>
  <c r="AA76"/>
  <c r="AB76"/>
  <c r="AC76"/>
  <c r="AD76"/>
  <c r="AE76"/>
  <c r="AF76"/>
  <c r="AG76"/>
  <c r="F77"/>
  <c r="G77"/>
  <c r="K77"/>
  <c r="U77"/>
  <c r="V77"/>
  <c r="W77"/>
  <c r="X77"/>
  <c r="Y77"/>
  <c r="Z77"/>
  <c r="AA77"/>
  <c r="AB77"/>
  <c r="AC77"/>
  <c r="AD77"/>
  <c r="AE77"/>
  <c r="AF77"/>
  <c r="AG77"/>
  <c r="F78"/>
  <c r="G78"/>
  <c r="K78"/>
  <c r="U78"/>
  <c r="V78"/>
  <c r="W78"/>
  <c r="X78"/>
  <c r="Y78"/>
  <c r="Z78"/>
  <c r="AA78"/>
  <c r="AB78"/>
  <c r="AC78"/>
  <c r="AD78"/>
  <c r="AE78"/>
  <c r="AF78"/>
  <c r="AG78"/>
  <c r="F79"/>
  <c r="G79"/>
  <c r="K79"/>
  <c r="F80"/>
  <c r="G80"/>
  <c r="K80"/>
  <c r="U80"/>
  <c r="V80"/>
  <c r="W80"/>
  <c r="X80"/>
  <c r="Y80"/>
  <c r="Z80"/>
  <c r="AA80"/>
  <c r="AB80"/>
  <c r="AC80"/>
  <c r="AD80"/>
  <c r="AE80"/>
  <c r="AF80"/>
  <c r="AG80"/>
  <c r="F81"/>
  <c r="G81"/>
  <c r="K81"/>
  <c r="U81"/>
  <c r="V81"/>
  <c r="W81"/>
  <c r="X81"/>
  <c r="Y81"/>
  <c r="Z81"/>
  <c r="AA81"/>
  <c r="AB81"/>
  <c r="AC81"/>
  <c r="AD81"/>
  <c r="AE81"/>
  <c r="AF81"/>
  <c r="AG81"/>
  <c r="F82"/>
  <c r="G82"/>
  <c r="K82"/>
  <c r="F83"/>
  <c r="G83"/>
  <c r="K83"/>
  <c r="U83"/>
  <c r="V83"/>
  <c r="W83"/>
  <c r="X83"/>
  <c r="Y83"/>
  <c r="Z83"/>
  <c r="AA83"/>
  <c r="AB83"/>
  <c r="AC83"/>
  <c r="AD83"/>
  <c r="AE83"/>
  <c r="AF83"/>
  <c r="AG83"/>
  <c r="F84"/>
  <c r="G84"/>
  <c r="K84"/>
  <c r="U84"/>
  <c r="V84"/>
  <c r="W84"/>
  <c r="X84"/>
  <c r="Y84"/>
  <c r="Z84"/>
  <c r="AA84"/>
  <c r="AB84"/>
  <c r="AC84"/>
  <c r="AD84"/>
  <c r="AE84"/>
  <c r="AF84"/>
  <c r="AG84"/>
  <c r="F85"/>
  <c r="G85"/>
  <c r="K85"/>
  <c r="U85"/>
  <c r="V85"/>
  <c r="W85"/>
  <c r="X85"/>
  <c r="Y85"/>
  <c r="Z85"/>
  <c r="AA85"/>
  <c r="AB85"/>
  <c r="AC85"/>
  <c r="AD85"/>
  <c r="AE85"/>
  <c r="AF85"/>
  <c r="AG85"/>
  <c r="F86"/>
  <c r="G86"/>
  <c r="K86"/>
  <c r="U86"/>
  <c r="V86"/>
  <c r="W86"/>
  <c r="X86"/>
  <c r="Y86"/>
  <c r="Z86"/>
  <c r="AA86"/>
  <c r="AB86"/>
  <c r="AC86"/>
  <c r="AD86"/>
  <c r="AE86"/>
  <c r="AF86"/>
  <c r="AG86"/>
  <c r="F87"/>
  <c r="G87"/>
  <c r="K87"/>
  <c r="U87"/>
  <c r="V87"/>
  <c r="W87"/>
  <c r="X87"/>
  <c r="Y87"/>
  <c r="Z87"/>
  <c r="AA87"/>
  <c r="AB87"/>
  <c r="AC87"/>
  <c r="AD87"/>
  <c r="AE87"/>
  <c r="AF87"/>
  <c r="AG87"/>
  <c r="J88"/>
  <c r="F95"/>
  <c r="E92"/>
  <c r="F92"/>
  <c r="G92"/>
  <c r="AF88"/>
  <c r="X88"/>
  <c r="AB88"/>
  <c r="AD88"/>
  <c r="Z88"/>
  <c r="V88"/>
  <c r="C95"/>
  <c r="E95"/>
  <c r="G95"/>
  <c r="I95"/>
  <c r="AG88"/>
  <c r="AE88"/>
  <c r="AC88"/>
  <c r="AA88"/>
  <c r="Y88"/>
  <c r="W88"/>
  <c r="U88"/>
  <c r="H95"/>
  <c r="D95"/>
  <c r="H92"/>
  <c r="E3"/>
  <c r="I3"/>
  <c r="E63"/>
  <c r="I63"/>
  <c r="E87"/>
  <c r="I87"/>
  <c r="E28"/>
  <c r="I28"/>
  <c r="E62"/>
  <c r="I62"/>
  <c r="E29"/>
  <c r="I29"/>
  <c r="E30"/>
  <c r="I30"/>
  <c r="E60"/>
  <c r="I60"/>
  <c r="E78"/>
  <c r="I78"/>
  <c r="E45"/>
  <c r="I45"/>
  <c r="E12"/>
  <c r="I12"/>
  <c r="E79"/>
  <c r="I79"/>
  <c r="E46"/>
  <c r="I46"/>
  <c r="E14"/>
  <c r="I14"/>
  <c r="E73"/>
  <c r="I73"/>
  <c r="E44"/>
  <c r="I44"/>
  <c r="E11"/>
  <c r="I11"/>
  <c r="E70"/>
  <c r="I70"/>
  <c r="E53"/>
  <c r="I53"/>
  <c r="E36"/>
  <c r="I36"/>
  <c r="E21"/>
  <c r="I21"/>
  <c r="E9"/>
  <c r="I9"/>
  <c r="E85"/>
  <c r="I85"/>
  <c r="E71"/>
  <c r="I71"/>
  <c r="E54"/>
  <c r="I54"/>
  <c r="E37"/>
  <c r="I37"/>
  <c r="E22"/>
  <c r="I22"/>
  <c r="E6"/>
  <c r="I6"/>
  <c r="E82"/>
  <c r="I82"/>
  <c r="E65"/>
  <c r="I65"/>
  <c r="E52"/>
  <c r="I52"/>
  <c r="E39"/>
  <c r="I39"/>
  <c r="E20"/>
  <c r="I20"/>
  <c r="E84"/>
  <c r="I84"/>
  <c r="E74"/>
  <c r="I74"/>
  <c r="E66"/>
  <c r="I66"/>
  <c r="E57"/>
  <c r="I57"/>
  <c r="E49"/>
  <c r="I49"/>
  <c r="E41"/>
  <c r="I41"/>
  <c r="E32"/>
  <c r="I32"/>
  <c r="E25"/>
  <c r="I25"/>
  <c r="E17"/>
  <c r="I17"/>
  <c r="E4"/>
  <c r="I4"/>
  <c r="E5"/>
  <c r="I5"/>
  <c r="E80"/>
  <c r="I80"/>
  <c r="E75"/>
  <c r="I75"/>
  <c r="E67"/>
  <c r="I67"/>
  <c r="E58"/>
  <c r="I58"/>
  <c r="E50"/>
  <c r="I50"/>
  <c r="E42"/>
  <c r="I42"/>
  <c r="E33"/>
  <c r="I33"/>
  <c r="E26"/>
  <c r="I26"/>
  <c r="E18"/>
  <c r="I18"/>
  <c r="E13"/>
  <c r="I13"/>
  <c r="E2"/>
  <c r="I2"/>
  <c r="E83"/>
  <c r="I83"/>
  <c r="E77"/>
  <c r="I77"/>
  <c r="E69"/>
  <c r="I69"/>
  <c r="E61"/>
  <c r="I61"/>
  <c r="E56"/>
  <c r="I56"/>
  <c r="E48"/>
  <c r="I48"/>
  <c r="E40"/>
  <c r="I40"/>
  <c r="E35"/>
  <c r="I35"/>
  <c r="E24"/>
  <c r="I24"/>
  <c r="E16"/>
  <c r="I16"/>
  <c r="E86"/>
  <c r="I86"/>
  <c r="E81"/>
  <c r="I81"/>
  <c r="E76"/>
  <c r="I76"/>
  <c r="E72"/>
  <c r="I72"/>
  <c r="E68"/>
  <c r="I68"/>
  <c r="E64"/>
  <c r="I64"/>
  <c r="E59"/>
  <c r="I59"/>
  <c r="E55"/>
  <c r="I55"/>
  <c r="E51"/>
  <c r="I51"/>
  <c r="E47"/>
  <c r="I47"/>
  <c r="E43"/>
  <c r="I43"/>
  <c r="E38"/>
  <c r="I38"/>
  <c r="E34"/>
  <c r="I34"/>
  <c r="E31"/>
  <c r="I31"/>
  <c r="E27"/>
  <c r="I27"/>
  <c r="E23"/>
  <c r="I23"/>
  <c r="E19"/>
  <c r="I19"/>
  <c r="E15"/>
  <c r="I15"/>
  <c r="E8"/>
  <c r="I8"/>
  <c r="E10"/>
  <c r="I10"/>
  <c r="E7"/>
  <c r="I7"/>
  <c r="I89"/>
</calcChain>
</file>

<file path=xl/comments1.xml><?xml version="1.0" encoding="utf-8"?>
<comments xmlns="http://schemas.openxmlformats.org/spreadsheetml/2006/main">
  <authors>
    <author>Leah Redfield</author>
  </authors>
  <commentList>
    <comment ref="F4" authorId="0">
      <text>
        <r>
          <rPr>
            <b/>
            <sz val="10"/>
            <color indexed="81"/>
            <rFont val="Arial"/>
            <family val="2"/>
          </rPr>
          <t>=VLOOKUP(E4,H3:I15,2)</t>
        </r>
      </text>
    </comment>
    <comment ref="D6" authorId="0">
      <text>
        <r>
          <rPr>
            <b/>
            <sz val="10"/>
            <color indexed="81"/>
            <rFont val="Arial"/>
            <family val="2"/>
          </rPr>
          <t>=SUM(B5:D5)</t>
        </r>
      </text>
    </comment>
  </commentList>
</comments>
</file>

<file path=xl/comments2.xml><?xml version="1.0" encoding="utf-8"?>
<comments xmlns="http://schemas.openxmlformats.org/spreadsheetml/2006/main">
  <authors>
    <author>Leah Redfield</author>
  </authors>
  <commentList>
    <comment ref="E38" authorId="0">
      <text>
        <r>
          <rPr>
            <b/>
            <sz val="10"/>
            <color indexed="81"/>
            <rFont val="Arial"/>
            <family val="2"/>
          </rPr>
          <t>=HLOOKUP('Output (Salad)'!$F$4,'Raw Data (Salad)'!$U$1:$BP$87,(A38+1),)</t>
        </r>
      </text>
    </comment>
    <comment ref="F41" authorId="0">
      <text>
        <r>
          <rPr>
            <b/>
            <sz val="10"/>
            <color indexed="81"/>
            <rFont val="Arial"/>
            <family val="2"/>
          </rPr>
          <t>=IF(D41='Output (Salad)'!$B$4,1,0)</t>
        </r>
      </text>
    </comment>
    <comment ref="G43" authorId="0">
      <text>
        <r>
          <rPr>
            <b/>
            <sz val="10"/>
            <color indexed="81"/>
            <rFont val="Arial"/>
            <family val="2"/>
          </rPr>
          <t>=IF(L43&lt;='Output (Salad)'!$C$4,(200-'Raw Data (Salad)'!L43),0)</t>
        </r>
      </text>
    </comment>
    <comment ref="I44" authorId="0">
      <text>
        <r>
          <rPr>
            <b/>
            <sz val="10"/>
            <color indexed="81"/>
            <rFont val="Arial"/>
            <family val="2"/>
          </rPr>
          <t>=SUMPRODUCT(F44:H44,'Output (Salad)'!$B$5:$D$5)*E44</t>
        </r>
      </text>
    </comment>
    <comment ref="V47" authorId="0">
      <text>
        <r>
          <rPr>
            <b/>
            <sz val="10"/>
            <color indexed="81"/>
            <rFont val="Arial"/>
            <family val="2"/>
          </rPr>
          <t>=VLOOKUP($C47,'Food Pairing Data'!$C$2:$S$188,6)</t>
        </r>
      </text>
    </comment>
    <comment ref="J88" authorId="0">
      <text>
        <r>
          <rPr>
            <b/>
            <sz val="10"/>
            <color indexed="81"/>
            <rFont val="Arial"/>
            <family val="2"/>
          </rPr>
          <t>=SUM(J2:J87)</t>
        </r>
      </text>
    </comment>
    <comment ref="AD88" authorId="0">
      <text>
        <r>
          <rPr>
            <b/>
            <sz val="10"/>
            <color indexed="81"/>
            <rFont val="Arial"/>
            <family val="2"/>
          </rPr>
          <t>=SUM(AD2:AD87)</t>
        </r>
      </text>
    </comment>
    <comment ref="I89" authorId="0">
      <text>
        <r>
          <rPr>
            <b/>
            <sz val="10"/>
            <color indexed="81"/>
            <rFont val="Arial"/>
            <family val="2"/>
          </rPr>
          <t>=SUMPRODUCT(I2:I87,J2:J87)</t>
        </r>
      </text>
    </comment>
  </commentList>
</comments>
</file>

<file path=xl/comments3.xml><?xml version="1.0" encoding="utf-8"?>
<comments xmlns="http://schemas.openxmlformats.org/spreadsheetml/2006/main">
  <authors>
    <author>Leah Redfield</author>
  </authors>
  <commentList>
    <comment ref="D6" authorId="0">
      <text>
        <r>
          <rPr>
            <b/>
            <sz val="10"/>
            <color indexed="81"/>
            <rFont val="Arial"/>
            <family val="2"/>
          </rPr>
          <t>=SUM(B5:D5)</t>
        </r>
      </text>
    </comment>
  </commentList>
</comments>
</file>

<file path=xl/comments4.xml><?xml version="1.0" encoding="utf-8"?>
<comments xmlns="http://schemas.openxmlformats.org/spreadsheetml/2006/main">
  <authors>
    <author>Leah Redfield</author>
  </authors>
  <commentList>
    <comment ref="F4" authorId="0">
      <text>
        <r>
          <rPr>
            <b/>
            <sz val="10"/>
            <color indexed="81"/>
            <rFont val="Arial"/>
            <family val="2"/>
          </rPr>
          <t>=VLOOKUP(E4,H3:I15,2)</t>
        </r>
      </text>
    </comment>
    <comment ref="D5" authorId="0">
      <text>
        <r>
          <rPr>
            <b/>
            <sz val="10"/>
            <color indexed="81"/>
            <rFont val="Arial"/>
            <family val="2"/>
          </rPr>
          <t>=1-B5-C5</t>
        </r>
      </text>
    </comment>
    <comment ref="D6" authorId="0">
      <text>
        <r>
          <rPr>
            <b/>
            <sz val="10"/>
            <color indexed="81"/>
            <rFont val="Arial"/>
            <family val="2"/>
          </rPr>
          <t>=SUM(B5:D5)</t>
        </r>
      </text>
    </comment>
  </commentList>
</comments>
</file>

<file path=xl/sharedStrings.xml><?xml version="1.0" encoding="utf-8"?>
<sst xmlns="http://schemas.openxmlformats.org/spreadsheetml/2006/main" count="5680" uniqueCount="720">
  <si>
    <t>Optimal Selection</t>
  </si>
  <si>
    <t>Foods to Avoid</t>
  </si>
  <si>
    <t>Importance</t>
  </si>
  <si>
    <t>Desired Wine</t>
  </si>
  <si>
    <t>Maximum</t>
  </si>
  <si>
    <t>Minimum</t>
  </si>
  <si>
    <t>Food</t>
  </si>
  <si>
    <t>Parameters</t>
  </si>
  <si>
    <t>ID</t>
  </si>
  <si>
    <t>Total</t>
  </si>
  <si>
    <t>Roasted Veggies &amp; Salad</t>
  </si>
  <si>
    <t>Domaine Brusset Gigondas Tradition Le Grand Montmirail</t>
  </si>
  <si>
    <t> Rhône Valley › Gigondas</t>
  </si>
  <si>
    <t> Grenache (65%), Syrah (15%), Mourvèdre (15%), Cinsault (5%)</t>
  </si>
  <si>
    <t>Red Meat</t>
  </si>
  <si>
    <t>Rustenberg John X Merriman</t>
  </si>
  <si>
    <t> Merlot (54%), Cabernet Sauvignon (33%), Petit Verdot (6%), Cabernet Franc (4%), Malbec (3%)</t>
  </si>
  <si>
    <t>Bodega Catena Zapata Malbec</t>
  </si>
  <si>
    <t> Argentina</t>
  </si>
  <si>
    <t> Mendoza</t>
  </si>
  <si>
    <t> Malbec</t>
  </si>
  <si>
    <t> Winebow</t>
  </si>
  <si>
    <t>steamed fish</t>
  </si>
  <si>
    <t>-$$-</t>
  </si>
  <si>
    <t>Allegrini Palazzo della Torre</t>
  </si>
  <si>
    <t> Italy</t>
  </si>
  <si>
    <t> Veneto › Fumane</t>
  </si>
  <si>
    <t> Corvina (70%), Rondinella (25%), Sangiovese (5%)</t>
  </si>
  <si>
    <t> 13.5%</t>
  </si>
  <si>
    <t>meat pasta</t>
  </si>
  <si>
    <t>Joseph Faiveley Bourgogne Pinot Noir 'Paulée'</t>
  </si>
  <si>
    <t> Burgundy</t>
  </si>
  <si>
    <t> Pinot Noir</t>
  </si>
  <si>
    <t> Frederick Wildman</t>
  </si>
  <si>
    <t> 13%</t>
  </si>
  <si>
    <t>Montinore Pinot Noir</t>
  </si>
  <si>
    <t>Fish</t>
  </si>
  <si>
    <t>Cheese</t>
  </si>
  <si>
    <t>Identifier</t>
  </si>
  <si>
    <t>Cost Guage</t>
  </si>
  <si>
    <t>Name</t>
  </si>
  <si>
    <t>Type of Wine</t>
  </si>
  <si>
    <t>Rating</t>
  </si>
  <si>
    <t>Selection</t>
  </si>
  <si>
    <t>Price</t>
  </si>
  <si>
    <t>Country</t>
  </si>
  <si>
    <t>Region</t>
  </si>
  <si>
    <t>Grape</t>
  </si>
  <si>
    <t>Importer</t>
  </si>
  <si>
    <t>Alcohol</t>
  </si>
  <si>
    <t>Pair 1</t>
  </si>
  <si>
    <t>Pair 2</t>
  </si>
  <si>
    <t>Avoid</t>
  </si>
  <si>
    <t>steak</t>
  </si>
  <si>
    <t>beef</t>
  </si>
  <si>
    <t>chicken</t>
  </si>
  <si>
    <t>Cured meats</t>
  </si>
  <si>
    <t>duck</t>
  </si>
  <si>
    <t>fish</t>
  </si>
  <si>
    <t>Fried chicken</t>
  </si>
  <si>
    <t>goat</t>
  </si>
  <si>
    <t>Grilled chicken</t>
  </si>
  <si>
    <t>grilled meat</t>
  </si>
  <si>
    <t>Grilled meat/chicken/seafood</t>
  </si>
  <si>
    <t>lamb</t>
  </si>
  <si>
    <t>pork</t>
  </si>
  <si>
    <t>Pork Tenderloin</t>
  </si>
  <si>
    <t>poultry</t>
  </si>
  <si>
    <t>Prosciutto</t>
  </si>
  <si>
    <t>Roast chicken</t>
  </si>
  <si>
    <t>roast poultry</t>
  </si>
  <si>
    <t>salmon</t>
  </si>
  <si>
    <t>sausage</t>
  </si>
  <si>
    <t>turkey</t>
  </si>
  <si>
    <t>Caviar</t>
  </si>
  <si>
    <t>Ceviche</t>
  </si>
  <si>
    <t>Grilled fish</t>
  </si>
  <si>
    <t>Lobster</t>
  </si>
  <si>
    <t>Lox</t>
  </si>
  <si>
    <t>Raw shellfish</t>
  </si>
  <si>
    <t>Scallops</t>
  </si>
  <si>
    <t>Steamed Fish</t>
  </si>
  <si>
    <t>blue cheese</t>
  </si>
  <si>
    <t>parmesan cheese</t>
  </si>
  <si>
    <t>Pecorino</t>
  </si>
  <si>
    <t>Ricotta</t>
  </si>
  <si>
    <t>Soft cheeses</t>
  </si>
  <si>
    <t>Young cheese</t>
  </si>
  <si>
    <t>Arugula</t>
  </si>
  <si>
    <t>bean stew</t>
  </si>
  <si>
    <t>Capers</t>
  </si>
  <si>
    <t>cheese</t>
  </si>
  <si>
    <t>Edamame</t>
  </si>
  <si>
    <t>Green salad</t>
  </si>
  <si>
    <t>grilled vegetables</t>
  </si>
  <si>
    <t>mushroom</t>
  </si>
  <si>
    <t>Nuts</t>
  </si>
  <si>
    <t>Olives</t>
  </si>
  <si>
    <t>Papaya salad</t>
  </si>
  <si>
    <t>stew</t>
  </si>
  <si>
    <t>Vinegary salads</t>
  </si>
  <si>
    <t>Asparagus</t>
  </si>
  <si>
    <t>Beef stew</t>
  </si>
  <si>
    <t>citrusy salad</t>
  </si>
  <si>
    <t>Creamy soups</t>
  </si>
  <si>
    <t>Foods to Avoid Serving</t>
  </si>
  <si>
    <t>Food Selection Options</t>
    <phoneticPr fontId="4" type="noConversion"/>
  </si>
  <si>
    <t>Rating</t>
    <phoneticPr fontId="4" type="noConversion"/>
  </si>
  <si>
    <t>Stars</t>
    <phoneticPr fontId="4" type="noConversion"/>
  </si>
  <si>
    <t> Castelao (79%), Trincadeira (10.5%), Aragonez (10.5%)</t>
  </si>
  <si>
    <t> Palm Bay Inernational</t>
  </si>
  <si>
    <t> Israel</t>
  </si>
  <si>
    <t> Judean Hills</t>
  </si>
  <si>
    <t> Cabernet Sauvignon (75%), Merlot (25%)</t>
  </si>
  <si>
    <t> Royal</t>
  </si>
  <si>
    <t>La Torre Brunello di Montalcino</t>
  </si>
  <si>
    <t> Tuscany › Brunello di Montalcino</t>
  </si>
  <si>
    <t> Sangiovese Grosso</t>
  </si>
  <si>
    <t> Neal Rosenthal</t>
  </si>
  <si>
    <t>Vaona Odino Amarone Classico</t>
  </si>
  <si>
    <t> Veneto › Valpolicella</t>
  </si>
  <si>
    <t> 70% Corvina/Corvinone, 25% Rondinella, 5% Molinara</t>
  </si>
  <si>
    <t> Angel's Share</t>
  </si>
  <si>
    <t> 15%</t>
  </si>
  <si>
    <t>Mount Eden Cabernet Sauvignon</t>
  </si>
  <si>
    <t>Mount Eden Vineyards Estate Pinot Noir</t>
  </si>
  <si>
    <t>Etude Pinot Noir</t>
  </si>
  <si>
    <t>Domaine Faiveley Givry 'Champ Lalot'</t>
  </si>
  <si>
    <t>bitter greens</t>
  </si>
  <si>
    <t>Au Bon Climat Pinot Noir</t>
  </si>
  <si>
    <t>spicy</t>
  </si>
  <si>
    <t>Jaboulet Parallèle 45 Côtes du Rhone magnum</t>
  </si>
  <si>
    <t> Rhône Valley</t>
  </si>
  <si>
    <t> Grenache 60%, Syrah 40%</t>
  </si>
  <si>
    <t>cured meats</t>
  </si>
  <si>
    <t>Domaine Sainte Léocadie Leukadios Rouge</t>
  </si>
  <si>
    <t> Languedoc › Minervois</t>
  </si>
  <si>
    <t> Syrah (50%), Grenache (30%), Carignan (10%), Mourvèdre (10%)</t>
  </si>
  <si>
    <t> Bertin Henri</t>
  </si>
  <si>
    <t>La Mozza Morellino di Scansano I Perazzi</t>
  </si>
  <si>
    <t> Tuscany › Maremma</t>
  </si>
  <si>
    <t>Pizza</t>
  </si>
  <si>
    <t>Risotto</t>
  </si>
  <si>
    <t>Salad Nicoise</t>
  </si>
  <si>
    <t>Spicy Asian cuisine</t>
  </si>
  <si>
    <t>Meat pasta</t>
  </si>
  <si>
    <t>Seafood pasta</t>
  </si>
  <si>
    <t>tomato pasta</t>
  </si>
  <si>
    <t>Cream Sauces</t>
  </si>
  <si>
    <t>Mole</t>
  </si>
  <si>
    <t>Citrus</t>
  </si>
  <si>
    <t>Dried herbs</t>
  </si>
  <si>
    <t>Lemongrass</t>
  </si>
  <si>
    <t>Mint</t>
  </si>
  <si>
    <t>oregano</t>
  </si>
  <si>
    <t>Rosemary</t>
  </si>
  <si>
    <t>Tarragon</t>
  </si>
  <si>
    <t>chocolate</t>
  </si>
  <si>
    <t>Dark chocolate</t>
  </si>
  <si>
    <t>Ice cream</t>
  </si>
  <si>
    <t>Name 2</t>
  </si>
  <si>
    <t>-$$$$-</t>
  </si>
  <si>
    <t>Ornellaia (Half-bottle)</t>
  </si>
  <si>
    <t>Red</t>
  </si>
  <si>
    <t>Italy</t>
  </si>
  <si>
    <t>Tuscany › Bolgheri</t>
  </si>
  <si>
    <t xml:space="preserve"> Cabernet Sauvignon (60%), Merlot (25%), Cabernet Franc (12%), Petit Verdot (3%)</t>
  </si>
  <si>
    <t>Empire</t>
  </si>
  <si>
    <t>fruit</t>
  </si>
  <si>
    <t>Pesquera Tinto Reserva</t>
  </si>
  <si>
    <t> Spain</t>
  </si>
  <si>
    <t> Ribera del Duero</t>
  </si>
  <si>
    <t> Tempranillo</t>
  </si>
  <si>
    <t> Lauber</t>
  </si>
  <si>
    <t> 14%</t>
  </si>
  <si>
    <t>Domaine de Beaurenard Châteauneuf-du-Pape Rouge</t>
  </si>
  <si>
    <t> France</t>
  </si>
  <si>
    <t> Rhône Valley › Châteauneuf-du-Pape</t>
  </si>
  <si>
    <t> 70% Grenache, 10% Syrah, 10% Mourvèdre, 10% Cinsault</t>
  </si>
  <si>
    <t> Southern Wines &amp; Spirits</t>
  </si>
  <si>
    <t> 14.5%</t>
  </si>
  <si>
    <t>-$$$-</t>
  </si>
  <si>
    <t>Rudi Schultz Syrah</t>
  </si>
  <si>
    <t> South Africa</t>
  </si>
  <si>
    <t> Stellenbosch</t>
  </si>
  <si>
    <t> Syrah</t>
  </si>
  <si>
    <t> Southern</t>
  </si>
  <si>
    <t>Elki Syrah</t>
  </si>
  <si>
    <t>Joseph Faiveley Bourgogne Passetoutgrains</t>
  </si>
  <si>
    <t>Mauro Molino Barbera d'Alba</t>
  </si>
  <si>
    <t>Fish</t>
    <phoneticPr fontId="4" type="noConversion"/>
  </si>
  <si>
    <t>Mocali Fossetti Rosso Toscana</t>
  </si>
  <si>
    <t>Beef</t>
    <phoneticPr fontId="4" type="noConversion"/>
  </si>
  <si>
    <t>Pork</t>
    <phoneticPr fontId="4" type="noConversion"/>
  </si>
  <si>
    <t>Orleans Hills Lodi Syrah</t>
  </si>
  <si>
    <t>Poultry</t>
    <phoneticPr fontId="4" type="noConversion"/>
  </si>
  <si>
    <t>Woop Woop Big Woop! Red Wine</t>
  </si>
  <si>
    <t>Australia</t>
    <phoneticPr fontId="4" type="noConversion"/>
  </si>
  <si>
    <t>South Eastern</t>
    <phoneticPr fontId="4" type="noConversion"/>
  </si>
  <si>
    <t>Steak</t>
    <phoneticPr fontId="4" type="noConversion"/>
  </si>
  <si>
    <t> 85% Sangiovese, 4% Syrah, 4% Alicante, 3% Colorino, 4% Ciliegiolo</t>
  </si>
  <si>
    <t> Angels Share</t>
  </si>
  <si>
    <t>Montes Pinot Noir</t>
  </si>
  <si>
    <t> Casablanca Valley</t>
  </si>
  <si>
    <t> Empire/TGIC</t>
  </si>
  <si>
    <t>Segal's Fusion Dry Red Wine</t>
  </si>
  <si>
    <t>burger</t>
  </si>
  <si>
    <t>Toccacielo Lambrusco</t>
  </si>
  <si>
    <t>pizza</t>
  </si>
  <si>
    <t>Castle Rock Pinot Noir</t>
  </si>
  <si>
    <t>Louis Martini Sonoma County Cabernet Sauvignon</t>
  </si>
  <si>
    <t> Cabernet Sauvignon</t>
  </si>
  <si>
    <t>Potel-Aviron Beaujolais-Villages</t>
  </si>
  <si>
    <t>pate</t>
  </si>
  <si>
    <t>Los Vascos Cabernet Sauvignon</t>
  </si>
  <si>
    <t> Pasternak Wine Imports</t>
  </si>
  <si>
    <t>Nieto Santa Isabel Cabernet Savignon</t>
  </si>
  <si>
    <t>Yatir Red Wine</t>
  </si>
  <si>
    <t> Merlot (35%), Shiraz (24%), Cabernet Sauvignon (20%), Malbec (10%), Cabernet Franc (8%), Petit Verdot (3%)</t>
  </si>
  <si>
    <t>Carmel Appellation Series Petit Sirah</t>
  </si>
  <si>
    <t>Ridge Paso Robles Zinfandel</t>
  </si>
  <si>
    <t>shellfish</t>
  </si>
  <si>
    <t>Ridge Carignane Buchignane Ranch</t>
  </si>
  <si>
    <t>Château Caronne St.-Gemme Haut-Medoc</t>
  </si>
  <si>
    <t>Anima Negra ÀN/2</t>
  </si>
  <si>
    <t>citrus</t>
  </si>
  <si>
    <t>Pesquera Tinto Crianza</t>
  </si>
  <si>
    <t> Ribera del Duero › Ribera del Duero</t>
  </si>
  <si>
    <t>Kuyen Maipo Valley Red</t>
  </si>
  <si>
    <t>Tenutae Lageder Romigberg</t>
  </si>
  <si>
    <t>Château de Haut-Serre Cahors</t>
  </si>
  <si>
    <t>Clos du Val Cabernet Sauvignon (Half-bottle)</t>
  </si>
  <si>
    <t>Wallace Brook Pinot Noir</t>
  </si>
  <si>
    <t>bbq</t>
  </si>
  <si>
    <t>Château le Pavillon de Boyrein</t>
  </si>
  <si>
    <t> Bordeaux › Graves</t>
  </si>
  <si>
    <t> Cabernet Sauvignon (60%), Merlot (40%)</t>
  </si>
  <si>
    <t> 12.5%</t>
  </si>
  <si>
    <t>red meat</t>
  </si>
  <si>
    <t>sashimi</t>
  </si>
  <si>
    <t>Los Vascos Reserve Cabernet Sauvignon</t>
  </si>
  <si>
    <t> Chile</t>
  </si>
  <si>
    <t> Colchagua Valley</t>
  </si>
  <si>
    <t> Cabernet Sauvignon (60%), Carménère (20%), Syrah (10%), Malbec (5%)</t>
  </si>
  <si>
    <t>sushi</t>
  </si>
  <si>
    <t>-$-</t>
  </si>
  <si>
    <t>Aletta Garnacha</t>
  </si>
  <si>
    <t> Aragon › Campo de Borja</t>
  </si>
  <si>
    <t> Garnacha</t>
  </si>
  <si>
    <t> Aviva Vino</t>
  </si>
  <si>
    <t>Jose Maria de Fonseca Periquita</t>
  </si>
  <si>
    <t> Portugal</t>
  </si>
  <si>
    <t> Terras do Sado</t>
  </si>
  <si>
    <t>Beef</t>
    <phoneticPr fontId="4" type="noConversion"/>
  </si>
  <si>
    <t>Lamb</t>
    <phoneticPr fontId="4" type="noConversion"/>
  </si>
  <si>
    <t>Fish</t>
    <phoneticPr fontId="4" type="noConversion"/>
  </si>
  <si>
    <t>Spain</t>
    <phoneticPr fontId="4" type="noConversion"/>
  </si>
  <si>
    <t>Ribera del Duero</t>
    <phoneticPr fontId="4" type="noConversion"/>
  </si>
  <si>
    <t>Tinta Fino</t>
    <phoneticPr fontId="4" type="noConversion"/>
  </si>
  <si>
    <t>Domaine du Castel</t>
  </si>
  <si>
    <t>Pork</t>
    <phoneticPr fontId="4" type="noConversion"/>
  </si>
  <si>
    <t>Lamb</t>
    <phoneticPr fontId="4" type="noConversion"/>
  </si>
  <si>
    <t>Citrus</t>
    <phoneticPr fontId="4" type="noConversion"/>
  </si>
  <si>
    <t>Bodega Chacra Barda Pinot Noir</t>
  </si>
  <si>
    <t>Argentina</t>
    <phoneticPr fontId="4" type="noConversion"/>
  </si>
  <si>
    <t>Rio Negro Valley</t>
    <phoneticPr fontId="4" type="noConversion"/>
  </si>
  <si>
    <t>Pinot Noir</t>
    <phoneticPr fontId="4" type="noConversion"/>
  </si>
  <si>
    <t>Empire</t>
    <phoneticPr fontId="4" type="noConversion"/>
  </si>
  <si>
    <t>Poultry</t>
    <phoneticPr fontId="4" type="noConversion"/>
  </si>
  <si>
    <t>Fish</t>
    <phoneticPr fontId="4" type="noConversion"/>
  </si>
  <si>
    <t>Chocolate</t>
    <phoneticPr fontId="4" type="noConversion"/>
  </si>
  <si>
    <t>Harkham Shiraz</t>
  </si>
  <si>
    <t>Australia</t>
    <phoneticPr fontId="4" type="noConversion"/>
  </si>
  <si>
    <t>Hunter Valley</t>
    <phoneticPr fontId="4" type="noConversion"/>
  </si>
  <si>
    <t>Syrah</t>
    <phoneticPr fontId="4" type="noConversion"/>
  </si>
  <si>
    <t>Royal Wine</t>
    <phoneticPr fontId="4" type="noConversion"/>
  </si>
  <si>
    <t>Poultry</t>
    <phoneticPr fontId="4" type="noConversion"/>
  </si>
  <si>
    <t>Teperberg Meritage</t>
  </si>
  <si>
    <t>Ella Valley</t>
    <phoneticPr fontId="4" type="noConversion"/>
  </si>
  <si>
    <t>Cabernet Sauvignon Merlot Cabernet Franc</t>
    <phoneticPr fontId="4" type="noConversion"/>
  </si>
  <si>
    <t>Leopardi Fructus Rosso Conero</t>
  </si>
  <si>
    <t>Conero</t>
    <phoneticPr fontId="4" type="noConversion"/>
  </si>
  <si>
    <t>Montepulciano</t>
    <phoneticPr fontId="4" type="noConversion"/>
  </si>
  <si>
    <t>Angel's Share</t>
    <phoneticPr fontId="4" type="noConversion"/>
  </si>
  <si>
    <t>Vidigal Reserva Vinho Tinto</t>
  </si>
  <si>
    <t>Portugal</t>
    <phoneticPr fontId="4" type="noConversion"/>
  </si>
  <si>
    <t>Estremadura</t>
    <phoneticPr fontId="4" type="noConversion"/>
  </si>
  <si>
    <t>Tinta Roriz Casteleo Cabernet Sauvignon</t>
    <phoneticPr fontId="4" type="noConversion"/>
  </si>
  <si>
    <t>El Coto Crianza</t>
  </si>
  <si>
    <t>Domaine Pélaquié Côtes-du-Rhône</t>
  </si>
  <si>
    <t>Astica Malbec</t>
  </si>
  <si>
    <t>Scholium Project Babylon</t>
  </si>
  <si>
    <t>Jordan Cabernet Sauvignon</t>
  </si>
  <si>
    <t>Valduero Reserva Ribera del Duero</t>
  </si>
  <si>
    <t>Graham's Ruby Port</t>
  </si>
  <si>
    <t>Sweet</t>
  </si>
  <si>
    <t>Portugal</t>
  </si>
  <si>
    <t>Lauber</t>
  </si>
  <si>
    <t>Baron Herzog Late Harvest Chenin Blanc</t>
  </si>
  <si>
    <t>Chenin Blanc</t>
  </si>
  <si>
    <t>Royal</t>
  </si>
  <si>
    <t>Blue cheese</t>
  </si>
  <si>
    <t>=</t>
  </si>
  <si>
    <t>Optimal Match</t>
  </si>
  <si>
    <t>Wine Name</t>
  </si>
  <si>
    <t>Type</t>
  </si>
  <si>
    <t>Selections</t>
    <phoneticPr fontId="4" type="noConversion"/>
  </si>
  <si>
    <t>Type</t>
    <phoneticPr fontId="4" type="noConversion"/>
  </si>
  <si>
    <t>Price</t>
    <phoneticPr fontId="4" type="noConversion"/>
  </si>
  <si>
    <t>Food</t>
    <phoneticPr fontId="4" type="noConversion"/>
  </si>
  <si>
    <t>Weights</t>
    <phoneticPr fontId="4" type="noConversion"/>
  </si>
  <si>
    <t>Type Rating</t>
    <phoneticPr fontId="4" type="noConversion"/>
  </si>
  <si>
    <t>Red</t>
    <phoneticPr fontId="4" type="noConversion"/>
  </si>
  <si>
    <t>=</t>
    <phoneticPr fontId="4" type="noConversion"/>
  </si>
  <si>
    <t>Italy</t>
    <phoneticPr fontId="4" type="noConversion"/>
  </si>
  <si>
    <t>Piedmont</t>
    <phoneticPr fontId="4" type="noConversion"/>
  </si>
  <si>
    <t>Barbera</t>
    <phoneticPr fontId="4" type="noConversion"/>
  </si>
  <si>
    <t>Skurnik</t>
    <phoneticPr fontId="4" type="noConversion"/>
  </si>
  <si>
    <t>Pizza</t>
    <phoneticPr fontId="4" type="noConversion"/>
  </si>
  <si>
    <t>Lamb</t>
    <phoneticPr fontId="4" type="noConversion"/>
  </si>
  <si>
    <t>Fish</t>
    <phoneticPr fontId="4" type="noConversion"/>
  </si>
  <si>
    <t>Italy</t>
    <phoneticPr fontId="4" type="noConversion"/>
  </si>
  <si>
    <t>Tuscany</t>
    <phoneticPr fontId="4" type="noConversion"/>
  </si>
  <si>
    <t>tacos</t>
  </si>
  <si>
    <t>Calcinae Chianti Colli Senesi</t>
  </si>
  <si>
    <t>Jean-Maurice Raffault Chinon Les Galuches</t>
  </si>
  <si>
    <t>Venta La Ossa</t>
  </si>
  <si>
    <t>Qupé Syrah</t>
  </si>
  <si>
    <t>roast chicken</t>
  </si>
  <si>
    <t>Ramon Cardova Rioja</t>
  </si>
  <si>
    <t>Dominio de Tares Baltos Bierzo</t>
  </si>
  <si>
    <t>Palacios Remondo La Vendimia Rioja</t>
  </si>
  <si>
    <t>Château de Fesles Anjou Rouge</t>
  </si>
  <si>
    <t>Domaine Les Aphillanthes Vin de Pays de Vaucluse</t>
  </si>
  <si>
    <t>Cabernet Sauvignon Merlot Cabernet Franc</t>
    <phoneticPr fontId="4" type="noConversion"/>
  </si>
  <si>
    <t>Royal</t>
    <phoneticPr fontId="4" type="noConversion"/>
  </si>
  <si>
    <t>Beef</t>
    <phoneticPr fontId="4" type="noConversion"/>
  </si>
  <si>
    <t>Lamb</t>
    <phoneticPr fontId="4" type="noConversion"/>
  </si>
  <si>
    <t>Fish</t>
    <phoneticPr fontId="4" type="noConversion"/>
  </si>
  <si>
    <t>Italy</t>
    <phoneticPr fontId="4" type="noConversion"/>
  </si>
  <si>
    <t>Lamb</t>
    <phoneticPr fontId="4" type="noConversion"/>
  </si>
  <si>
    <t>Italy</t>
    <phoneticPr fontId="4" type="noConversion"/>
  </si>
  <si>
    <t>Tuscany</t>
    <phoneticPr fontId="4" type="noConversion"/>
  </si>
  <si>
    <t>Sangiovese Merlot</t>
    <phoneticPr fontId="4" type="noConversion"/>
  </si>
  <si>
    <t>Lauber</t>
    <phoneticPr fontId="4" type="noConversion"/>
  </si>
  <si>
    <t>Pizza</t>
    <phoneticPr fontId="4" type="noConversion"/>
  </si>
  <si>
    <t>Steak</t>
    <phoneticPr fontId="4" type="noConversion"/>
  </si>
  <si>
    <t>Cream</t>
    <phoneticPr fontId="4" type="noConversion"/>
  </si>
  <si>
    <t>Dashwood Pinot Noir</t>
  </si>
  <si>
    <t>New Zealand</t>
    <phoneticPr fontId="4" type="noConversion"/>
  </si>
  <si>
    <t>Wairu</t>
    <phoneticPr fontId="4" type="noConversion"/>
  </si>
  <si>
    <t>Pinot Noir</t>
    <phoneticPr fontId="4" type="noConversion"/>
  </si>
  <si>
    <t>Fish</t>
    <phoneticPr fontId="4" type="noConversion"/>
  </si>
  <si>
    <t>Tomato Pasta</t>
    <phoneticPr fontId="4" type="noConversion"/>
  </si>
  <si>
    <t>Bitter Greens</t>
    <phoneticPr fontId="4" type="noConversion"/>
  </si>
  <si>
    <t>Borgoantico Montepulciano d'Abruzzo</t>
  </si>
  <si>
    <t>Abruzzo</t>
    <phoneticPr fontId="4" type="noConversion"/>
  </si>
  <si>
    <t>Montepulciano</t>
    <phoneticPr fontId="4" type="noConversion"/>
  </si>
  <si>
    <t>Touton</t>
    <phoneticPr fontId="4" type="noConversion"/>
  </si>
  <si>
    <t>Meat</t>
    <phoneticPr fontId="4" type="noConversion"/>
  </si>
  <si>
    <t>Les Deux Rives Corbières Rouge</t>
  </si>
  <si>
    <t>France</t>
    <phoneticPr fontId="4" type="noConversion"/>
  </si>
  <si>
    <t>Corbieres</t>
    <phoneticPr fontId="4" type="noConversion"/>
  </si>
  <si>
    <t>Grenache Syrah Mourvedre Carignan</t>
    <phoneticPr fontId="4" type="noConversion"/>
  </si>
  <si>
    <t>Lauber</t>
    <phoneticPr fontId="4" type="noConversion"/>
  </si>
  <si>
    <t>Lamb</t>
    <phoneticPr fontId="4" type="noConversion"/>
  </si>
  <si>
    <t>Pork</t>
    <phoneticPr fontId="4" type="noConversion"/>
  </si>
  <si>
    <t>Fish</t>
    <phoneticPr fontId="4" type="noConversion"/>
  </si>
  <si>
    <t>Trapiche Pinot Noir</t>
  </si>
  <si>
    <t>Mendoza</t>
    <phoneticPr fontId="4" type="noConversion"/>
  </si>
  <si>
    <t>Pinot Noir</t>
    <phoneticPr fontId="4" type="noConversion"/>
  </si>
  <si>
    <t>Southern</t>
    <phoneticPr fontId="4" type="noConversion"/>
  </si>
  <si>
    <t>Morando Barolo</t>
  </si>
  <si>
    <t>Barolo</t>
    <phoneticPr fontId="4" type="noConversion"/>
  </si>
  <si>
    <t>Nebbiolo</t>
    <phoneticPr fontId="4" type="noConversion"/>
  </si>
  <si>
    <t>Touton</t>
    <phoneticPr fontId="4" type="noConversion"/>
  </si>
  <si>
    <t>Meat</t>
    <phoneticPr fontId="4" type="noConversion"/>
  </si>
  <si>
    <t>Tomato Pasta</t>
    <phoneticPr fontId="4" type="noConversion"/>
  </si>
  <si>
    <t>Bitter Greens</t>
    <phoneticPr fontId="4" type="noConversion"/>
  </si>
  <si>
    <t>Rijckaert Viré-Clessé Vercherres</t>
  </si>
  <si>
    <t>White</t>
  </si>
  <si>
    <t>Vire-Clesse</t>
    <phoneticPr fontId="4" type="noConversion"/>
  </si>
  <si>
    <t>Chardonnay</t>
    <phoneticPr fontId="4" type="noConversion"/>
  </si>
  <si>
    <t>Landgon Shiverick</t>
    <phoneticPr fontId="4" type="noConversion"/>
  </si>
  <si>
    <t>Vegetable Pasta</t>
    <phoneticPr fontId="4" type="noConversion"/>
  </si>
  <si>
    <t>Joseph Drouhin Laforet Bourgogne Chardonnay</t>
  </si>
  <si>
    <t>Sangiovese</t>
    <phoneticPr fontId="4" type="noConversion"/>
  </si>
  <si>
    <t>Skurnik</t>
    <phoneticPr fontId="4" type="noConversion"/>
  </si>
  <si>
    <t>Beef</t>
    <phoneticPr fontId="4" type="noConversion"/>
  </si>
  <si>
    <t>Pork</t>
    <phoneticPr fontId="4" type="noConversion"/>
  </si>
  <si>
    <t>Fish</t>
    <phoneticPr fontId="4" type="noConversion"/>
  </si>
  <si>
    <t>Australia</t>
    <phoneticPr fontId="4" type="noConversion"/>
  </si>
  <si>
    <t>South Eastern</t>
    <phoneticPr fontId="4" type="noConversion"/>
  </si>
  <si>
    <t>Grenache Shiraz Petit Verdot</t>
    <phoneticPr fontId="4" type="noConversion"/>
  </si>
  <si>
    <t>Epicurean Wines</t>
    <phoneticPr fontId="4" type="noConversion"/>
  </si>
  <si>
    <t>Steak</t>
    <phoneticPr fontId="4" type="noConversion"/>
  </si>
  <si>
    <t>Turkey</t>
    <phoneticPr fontId="4" type="noConversion"/>
  </si>
  <si>
    <t>Sashimi</t>
    <phoneticPr fontId="4" type="noConversion"/>
  </si>
  <si>
    <t>Spain</t>
    <phoneticPr fontId="4" type="noConversion"/>
  </si>
  <si>
    <t>Rioja</t>
    <phoneticPr fontId="4" type="noConversion"/>
  </si>
  <si>
    <t>Tempranillo</t>
    <phoneticPr fontId="4" type="noConversion"/>
  </si>
  <si>
    <t>Wildman</t>
    <phoneticPr fontId="4" type="noConversion"/>
  </si>
  <si>
    <t>Poultry</t>
    <phoneticPr fontId="4" type="noConversion"/>
  </si>
  <si>
    <t>France</t>
    <phoneticPr fontId="4" type="noConversion"/>
  </si>
  <si>
    <t>Rhone Valley</t>
    <phoneticPr fontId="4" type="noConversion"/>
  </si>
  <si>
    <t>Syrah Grenache</t>
    <phoneticPr fontId="4" type="noConversion"/>
  </si>
  <si>
    <t>David Bwler</t>
    <phoneticPr fontId="4" type="noConversion"/>
  </si>
  <si>
    <t>Argentina</t>
    <phoneticPr fontId="4" type="noConversion"/>
  </si>
  <si>
    <t>Cuyo</t>
    <phoneticPr fontId="4" type="noConversion"/>
  </si>
  <si>
    <t>Malbec</t>
    <phoneticPr fontId="4" type="noConversion"/>
  </si>
  <si>
    <t>Wildman</t>
    <phoneticPr fontId="4" type="noConversion"/>
  </si>
  <si>
    <t>Seafood</t>
    <phoneticPr fontId="4" type="noConversion"/>
  </si>
  <si>
    <t>Israel</t>
    <phoneticPr fontId="4" type="noConversion"/>
  </si>
  <si>
    <t>Judean Hills</t>
    <phoneticPr fontId="4" type="noConversion"/>
  </si>
  <si>
    <t>Carbernet Sauvignon Merlot</t>
    <phoneticPr fontId="4" type="noConversion"/>
  </si>
  <si>
    <t>Royal</t>
    <phoneticPr fontId="4" type="noConversion"/>
  </si>
  <si>
    <t>Garnacha (60%), Monastrell (20%), Pinot Noir (20%)</t>
  </si>
  <si>
    <t>Tempranillo</t>
  </si>
  <si>
    <t>Sweetbreads</t>
  </si>
  <si>
    <t>Château Thuerry Côtes de Provence Rosé</t>
  </si>
  <si>
    <t>Winebow</t>
    <phoneticPr fontId="4" type="noConversion"/>
  </si>
  <si>
    <t>Syrah 50%, Grenache 40%, Cinsault 10%</t>
  </si>
  <si>
    <t>Angel's Share Imports</t>
  </si>
  <si>
    <t>Cantina del Taburno Aglianico Albarosa Rosé</t>
  </si>
  <si>
    <t xml:space="preserve">Campania › Beneventano </t>
  </si>
  <si>
    <t>Aglianico</t>
  </si>
  <si>
    <t>Domaine Pélaquié Tavel Rosé</t>
  </si>
  <si>
    <t xml:space="preserve">Rhône Valley › Tavel </t>
  </si>
  <si>
    <t>Grenache (50%), Cinsault (50%)</t>
  </si>
  <si>
    <t>David Bowler</t>
  </si>
  <si>
    <t>Burgundy</t>
    <phoneticPr fontId="4" type="noConversion"/>
  </si>
  <si>
    <t>Dreyfuss Ashby</t>
    <phoneticPr fontId="4" type="noConversion"/>
  </si>
  <si>
    <t>Teal Lake Moscato d'Aussie</t>
  </si>
  <si>
    <t>Moscato</t>
    <phoneticPr fontId="4" type="noConversion"/>
  </si>
  <si>
    <t>Royal Wine</t>
    <phoneticPr fontId="4" type="noConversion"/>
  </si>
  <si>
    <t>Fruit</t>
    <phoneticPr fontId="4" type="noConversion"/>
  </si>
  <si>
    <t>Cheese</t>
    <phoneticPr fontId="4" type="noConversion"/>
  </si>
  <si>
    <t>Indaba Chardonnay</t>
  </si>
  <si>
    <t>South Africa</t>
    <phoneticPr fontId="4" type="noConversion"/>
  </si>
  <si>
    <t>Western Cape</t>
    <phoneticPr fontId="4" type="noConversion"/>
  </si>
  <si>
    <t>Cape Classics</t>
    <phoneticPr fontId="4" type="noConversion"/>
  </si>
  <si>
    <t>Creamy Pasta</t>
    <phoneticPr fontId="4" type="noConversion"/>
  </si>
  <si>
    <t>Shrimp</t>
    <phoneticPr fontId="4" type="noConversion"/>
  </si>
  <si>
    <t>Chocolate</t>
    <phoneticPr fontId="4" type="noConversion"/>
  </si>
  <si>
    <t>Viña Godeval</t>
  </si>
  <si>
    <t>Spain</t>
    <phoneticPr fontId="4" type="noConversion"/>
  </si>
  <si>
    <t>Valderras</t>
    <phoneticPr fontId="4" type="noConversion"/>
  </si>
  <si>
    <t>Godello</t>
    <phoneticPr fontId="4" type="noConversion"/>
  </si>
  <si>
    <t>Tempernillo</t>
    <phoneticPr fontId="4" type="noConversion"/>
  </si>
  <si>
    <t>Seafood</t>
    <phoneticPr fontId="4" type="noConversion"/>
  </si>
  <si>
    <t>Salad</t>
    <phoneticPr fontId="4" type="noConversion"/>
  </si>
  <si>
    <t>Steak</t>
    <phoneticPr fontId="4" type="noConversion"/>
  </si>
  <si>
    <t>Skouros Moschofilero</t>
  </si>
  <si>
    <t>Greece</t>
    <phoneticPr fontId="4" type="noConversion"/>
  </si>
  <si>
    <t>Peloponnese</t>
    <phoneticPr fontId="4" type="noConversion"/>
  </si>
  <si>
    <t>Moschofilero</t>
    <phoneticPr fontId="4" type="noConversion"/>
  </si>
  <si>
    <t>Wildman</t>
    <phoneticPr fontId="4" type="noConversion"/>
  </si>
  <si>
    <t>Salad</t>
    <phoneticPr fontId="4" type="noConversion"/>
  </si>
  <si>
    <t>Beef</t>
    <phoneticPr fontId="4" type="noConversion"/>
  </si>
  <si>
    <t>Domaine des Aphillanthes Côtes du Rhône Clémentia Blanc</t>
    <phoneticPr fontId="4" type="noConversion"/>
  </si>
  <si>
    <t>France</t>
    <phoneticPr fontId="4" type="noConversion"/>
  </si>
  <si>
    <t>Southern Rhone</t>
    <phoneticPr fontId="4" type="noConversion"/>
  </si>
  <si>
    <t>Roussanne Viognier Clairette</t>
    <phoneticPr fontId="4" type="noConversion"/>
  </si>
  <si>
    <t>Weygandt</t>
    <phoneticPr fontId="4" type="noConversion"/>
  </si>
  <si>
    <t>Shellfish</t>
    <phoneticPr fontId="4" type="noConversion"/>
  </si>
  <si>
    <t>Vegetable</t>
    <phoneticPr fontId="4" type="noConversion"/>
  </si>
  <si>
    <t>Meat</t>
    <phoneticPr fontId="4" type="noConversion"/>
  </si>
  <si>
    <t>Laurent Miquel Chardonnay Viognier</t>
  </si>
  <si>
    <t>Languedoc</t>
    <phoneticPr fontId="4" type="noConversion"/>
  </si>
  <si>
    <t>Cahrdonnay Viognier</t>
    <phoneticPr fontId="4" type="noConversion"/>
  </si>
  <si>
    <t>Frederick Wildman</t>
    <phoneticPr fontId="4" type="noConversion"/>
  </si>
  <si>
    <t>Goat Cheese</t>
    <phoneticPr fontId="4" type="noConversion"/>
  </si>
  <si>
    <t>Scallops</t>
    <phoneticPr fontId="4" type="noConversion"/>
  </si>
  <si>
    <t>Chocolate</t>
    <phoneticPr fontId="4" type="noConversion"/>
  </si>
  <si>
    <t>Man Vineyards Chenin Blanc</t>
  </si>
  <si>
    <t>South Africa</t>
    <phoneticPr fontId="4" type="noConversion"/>
  </si>
  <si>
    <t>Coastal Region</t>
    <phoneticPr fontId="4" type="noConversion"/>
  </si>
  <si>
    <t>Chenin Blanc</t>
    <phoneticPr fontId="4" type="noConversion"/>
  </si>
  <si>
    <t>Southern</t>
    <phoneticPr fontId="4" type="noConversion"/>
  </si>
  <si>
    <t>Shellfish</t>
    <phoneticPr fontId="4" type="noConversion"/>
  </si>
  <si>
    <t>Fruit</t>
    <phoneticPr fontId="4" type="noConversion"/>
  </si>
  <si>
    <t>Chocolate</t>
    <phoneticPr fontId="4" type="noConversion"/>
  </si>
  <si>
    <t>Tramin Stoan</t>
  </si>
  <si>
    <t>Tomato Pasta</t>
    <phoneticPr fontId="4" type="noConversion"/>
  </si>
  <si>
    <t>Amisfield Pinot Noir</t>
  </si>
  <si>
    <t>New Zealand</t>
    <phoneticPr fontId="4" type="noConversion"/>
  </si>
  <si>
    <t>Central Otago</t>
    <phoneticPr fontId="4" type="noConversion"/>
  </si>
  <si>
    <t>Pasternak</t>
    <phoneticPr fontId="4" type="noConversion"/>
  </si>
  <si>
    <t>Gamla Cabernet Sauvignon</t>
  </si>
  <si>
    <t>Israel</t>
    <phoneticPr fontId="4" type="noConversion"/>
  </si>
  <si>
    <t>Galilee</t>
    <phoneticPr fontId="4" type="noConversion"/>
  </si>
  <si>
    <t>Blandy's Alvada Madeira 5 Year Old</t>
  </si>
  <si>
    <t xml:space="preserve">Madeira </t>
  </si>
  <si>
    <t>Malmsey (50%), Bual (50%)</t>
  </si>
  <si>
    <t>Price Ranking</t>
    <phoneticPr fontId="4" type="noConversion"/>
  </si>
  <si>
    <t>Fonterutoli Poggio alla Badiola</t>
  </si>
  <si>
    <t>Food Match</t>
    <phoneticPr fontId="4" type="noConversion"/>
  </si>
  <si>
    <t>Steak</t>
  </si>
  <si>
    <t>This is the optimal wine based on the food selection when considering the weights</t>
    <phoneticPr fontId="4" type="noConversion"/>
  </si>
  <si>
    <t>Red meat dishes</t>
  </si>
  <si>
    <t>Pork/Lamb</t>
  </si>
  <si>
    <t>Chicken/Duck</t>
  </si>
  <si>
    <t>Fish &amp; Seafood</t>
  </si>
  <si>
    <t>Raw Bar</t>
  </si>
  <si>
    <t>Roasted Vegetables &amp; Salad</t>
  </si>
  <si>
    <t>Tomato-based Italian</t>
  </si>
  <si>
    <t>Savory Herbs</t>
  </si>
  <si>
    <t>Spicy</t>
  </si>
  <si>
    <t xml:space="preserve">Italy </t>
  </si>
  <si>
    <t xml:space="preserve">Trentino-Alto Adige </t>
  </si>
  <si>
    <t xml:space="preserve">Chardonnay (60%), Pinot Bianco (11%), Sauvignon Blanc (22%), Gewürztraminer (7%) </t>
  </si>
  <si>
    <t xml:space="preserve">Winebow </t>
  </si>
  <si>
    <t>Meat</t>
  </si>
  <si>
    <t>Selbach TJ Riesling</t>
  </si>
  <si>
    <t xml:space="preserve">Germany </t>
  </si>
  <si>
    <t xml:space="preserve">Mosel-Saar-Ruwer </t>
  </si>
  <si>
    <t xml:space="preserve">Riesling </t>
  </si>
  <si>
    <t xml:space="preserve">Skurnik </t>
  </si>
  <si>
    <t>Sushi</t>
  </si>
  <si>
    <t>Sella &amp; Mosca La Cala Vermentino di Sardegna</t>
  </si>
  <si>
    <t xml:space="preserve">Sardinia </t>
  </si>
  <si>
    <t xml:space="preserve">Vermentino </t>
  </si>
  <si>
    <t xml:space="preserve">Southern </t>
  </si>
  <si>
    <t>Seafood</t>
  </si>
  <si>
    <t>Domaine San de Guilhem Côtes de Gascogne Blanc</t>
  </si>
  <si>
    <t>France</t>
  </si>
  <si>
    <t xml:space="preserve">Gascony </t>
  </si>
  <si>
    <t>Colombard (40%), Gros Manseng (30%), Ugni Blanc (30%)</t>
  </si>
  <si>
    <t>Vintage '59</t>
  </si>
  <si>
    <t>vegetable</t>
  </si>
  <si>
    <t>Astica Chardonnay</t>
  </si>
  <si>
    <t>Argentina</t>
  </si>
  <si>
    <t xml:space="preserve">Cuyo </t>
  </si>
  <si>
    <t>Chardonnay</t>
  </si>
  <si>
    <t>Frederick Wildman</t>
  </si>
  <si>
    <t>Creamy pasta</t>
  </si>
  <si>
    <t>Roast Chicken</t>
  </si>
  <si>
    <t>Teddy Hall "Summer Moments" Chenin Blanc</t>
  </si>
  <si>
    <t>South Africa</t>
  </si>
  <si>
    <t xml:space="preserve">Stellenbosch </t>
  </si>
  <si>
    <t>Skurnik</t>
  </si>
  <si>
    <t>Darting Dürkheimer Hochbenn Kabinett Riesling</t>
  </si>
  <si>
    <t>Germany</t>
  </si>
  <si>
    <t xml:space="preserve">Pfalz </t>
  </si>
  <si>
    <t>Riesling</t>
  </si>
  <si>
    <t>Whitehaven Sauvignon Blanc</t>
  </si>
  <si>
    <t>New Zealand</t>
  </si>
  <si>
    <t xml:space="preserve">Marlborough </t>
  </si>
  <si>
    <t>Sauvignon Blanc</t>
  </si>
  <si>
    <t>Carmel Winery Carmel Ridge White</t>
  </si>
  <si>
    <t>Israel</t>
  </si>
  <si>
    <t xml:space="preserve">Shomron › Zichron Ya'acov </t>
  </si>
  <si>
    <t>Chardonnay (50%), Sauvignon Blanc (50%)</t>
  </si>
  <si>
    <t>Bitter greens</t>
  </si>
  <si>
    <t>Borgoantico Pinot Grigio</t>
  </si>
  <si>
    <t xml:space="preserve">Veneto › Venezia </t>
  </si>
  <si>
    <t>Pinot Grigio</t>
  </si>
  <si>
    <t>Touton</t>
  </si>
  <si>
    <t>vegetable pasta</t>
  </si>
  <si>
    <t>Santa Julia Organica Chardonnay</t>
  </si>
  <si>
    <t xml:space="preserve">Mendoza </t>
  </si>
  <si>
    <t>Wildman</t>
  </si>
  <si>
    <t>Roast poultry</t>
  </si>
  <si>
    <t>Castelvero Cortese</t>
  </si>
  <si>
    <t xml:space="preserve">Piedmont </t>
  </si>
  <si>
    <t>Cortese</t>
  </si>
  <si>
    <t>Vias</t>
  </si>
  <si>
    <t>Ouro Verde Vinho Verde</t>
  </si>
  <si>
    <t xml:space="preserve">Vinho Verde </t>
  </si>
  <si>
    <t>Alvarinho</t>
  </si>
  <si>
    <t>Admiral</t>
  </si>
  <si>
    <t>Oyster Bay Chardonnay</t>
  </si>
  <si>
    <t>Llopart Rosé Brut Reserva Cava</t>
  </si>
  <si>
    <t>Rose</t>
  </si>
  <si>
    <t>Spain</t>
  </si>
  <si>
    <t xml:space="preserve">Penedes </t>
  </si>
  <si>
    <t>Riff Pinot Grigio</t>
  </si>
  <si>
    <t>Urban Uco Torrontés</t>
  </si>
  <si>
    <t>Clos des Papes Châteauneuf-du-Pape Blanc</t>
  </si>
  <si>
    <t>Beurre Blanc</t>
  </si>
  <si>
    <t xml:space="preserve">Provence › Côtes de Provence </t>
  </si>
  <si>
    <t>Casa Lapostolle Chardonnay Cuvée Alexandré</t>
  </si>
  <si>
    <t>crab cakes</t>
  </si>
  <si>
    <t>Scholium Project Naucratis</t>
  </si>
  <si>
    <t>Barkan Barrel Fermented Chardonnay Reserve</t>
  </si>
  <si>
    <t>Clément Klur Gentil de Katz</t>
  </si>
  <si>
    <t>Lieb Family Cellars</t>
  </si>
  <si>
    <t>Feudi di San Gregorio</t>
  </si>
  <si>
    <t>Grilled Vegetables</t>
  </si>
  <si>
    <t>Gorka Izagirre Txakoli de Bizkaia</t>
  </si>
  <si>
    <t>Setzer Grüner Veltliner</t>
  </si>
  <si>
    <t>Girard Sauvignon Blanc</t>
  </si>
  <si>
    <t>Anthony Road Vignoles</t>
  </si>
  <si>
    <t>Domaine Michel Barraud Macon-Villages</t>
  </si>
  <si>
    <t>Flowers Sonoma Coast Chardonnay</t>
  </si>
  <si>
    <t>Bethel Heights Pinot Gris</t>
  </si>
  <si>
    <t>Duck</t>
  </si>
  <si>
    <t>Planeta La Segreta Bianco</t>
  </si>
  <si>
    <t>Domaine de la L'Arfentiere Macon-Uchizy</t>
  </si>
  <si>
    <t>Channing Daughters Scuttlehole Chardonnay</t>
  </si>
  <si>
    <t>Three Thieves Bandit Pinot Grigio</t>
  </si>
  <si>
    <t>Marquis de la Tour Brut Rosé</t>
  </si>
  <si>
    <t xml:space="preserve">Loire Valley </t>
  </si>
  <si>
    <t>Cabernet Franc (50%), Grolleau (20%), Syrah (20%), Grenache (10%)</t>
  </si>
  <si>
    <t>Southern</t>
  </si>
  <si>
    <t>Vilmart &amp; Cie Champagne Grande Réserve Brut Premier Cru</t>
  </si>
  <si>
    <t>Sparkling</t>
  </si>
  <si>
    <t xml:space="preserve">Champagne › Rilly la Montagne </t>
  </si>
  <si>
    <t>Chardonnay (60%), Pinot Noir (40%)</t>
  </si>
  <si>
    <t>Duval Leroy Brut Champagne</t>
  </si>
  <si>
    <t xml:space="preserve">Champagne </t>
  </si>
  <si>
    <t>Pinot Noir (70%), Chardonnay (30%)</t>
  </si>
  <si>
    <t>Bayfield</t>
  </si>
  <si>
    <t>Marquis de la Tour Brut</t>
  </si>
  <si>
    <t>Chenin Blanc, Chardonnay, Sauvignon Blanc</t>
  </si>
  <si>
    <t>Palm Bay Inernational</t>
  </si>
  <si>
    <t>aged cheese</t>
  </si>
  <si>
    <t>Billecart-Salmon Brut Réserve Champagne</t>
  </si>
  <si>
    <t xml:space="preserve">Champagne › Mareuil-Sur-Ay </t>
  </si>
  <si>
    <t>Pinot Noir, Pinot Meunier, Chardonnay</t>
  </si>
  <si>
    <t>Robert Chadderdon</t>
  </si>
  <si>
    <t>Castell d'Olèrdola Brut Cava Sparkling Wine</t>
  </si>
  <si>
    <t>Parellada (34%), Macabeo (33%), Xarel-Lo (33%)</t>
  </si>
  <si>
    <t>Royal Wine</t>
  </si>
  <si>
    <t>ceviche</t>
  </si>
  <si>
    <t>capers</t>
  </si>
  <si>
    <t>Bartenura Moscato</t>
  </si>
  <si>
    <t xml:space="preserve">Lombardy › Pavia </t>
  </si>
  <si>
    <t>Moscato</t>
  </si>
  <si>
    <t>Villa Jolanda Prosecco</t>
  </si>
  <si>
    <t xml:space="preserve">Veneto </t>
  </si>
  <si>
    <t>Prosecco</t>
  </si>
  <si>
    <t>La Ina Fino Sherry</t>
  </si>
  <si>
    <t xml:space="preserve">Jerez </t>
  </si>
  <si>
    <t>Choya Plum Wine</t>
  </si>
  <si>
    <t>Japan</t>
  </si>
  <si>
    <t xml:space="preserve">Osaka › Habikino </t>
  </si>
  <si>
    <t>Kyodo Beverage</t>
  </si>
  <si>
    <t>La Cigarrera Manzanilla Sherry</t>
  </si>
  <si>
    <t xml:space="preserve">Jerez › Manzanilla </t>
  </si>
  <si>
    <t>Palomino</t>
  </si>
  <si>
    <t>T. Edwards</t>
  </si>
  <si>
    <t>Shellfish</t>
  </si>
  <si>
    <t>Chocolate</t>
  </si>
  <si>
    <t>Astica Torrontés</t>
  </si>
  <si>
    <t>Château Miraval Clara Lua Provence White Wine</t>
  </si>
  <si>
    <t>Grilled meat</t>
  </si>
  <si>
    <t>Hugel Pinot Blanc</t>
  </si>
  <si>
    <t>Sum of Weights</t>
    <phoneticPr fontId="4" type="noConversion"/>
  </si>
  <si>
    <t>Naia Verdejo</t>
  </si>
  <si>
    <t>Naia Las Brisas</t>
  </si>
  <si>
    <t>White by W California White Wine</t>
  </si>
  <si>
    <t>Chateau Lafayette Reneau</t>
  </si>
  <si>
    <t>Paumanok Vineyards Dry Rosé Wine</t>
  </si>
  <si>
    <t>Red Hook Sargon Vineyard WCP Cabernet Franc Rosé</t>
  </si>
  <si>
    <t>Pourcieux Rosé de Provence</t>
  </si>
  <si>
    <t>Baron Herzog White Zinfandel</t>
  </si>
  <si>
    <t>Elviwines Adar Brut Cava</t>
  </si>
  <si>
    <t>Juvé y Camps Brut Cava Milesimé</t>
  </si>
  <si>
    <t>Gruet Brut Sparkling Wine</t>
  </si>
  <si>
    <t>Cristalino Brut Cava</t>
  </si>
  <si>
    <t>Perrier-Jouët Champagne Brut</t>
  </si>
  <si>
    <t>Schramsberg Brut Blanc de Noirs</t>
  </si>
  <si>
    <t>Steamed vegetables</t>
  </si>
  <si>
    <t>Lieb Family Cellars Blanc de Blancs Pinot Blanc Brut</t>
  </si>
  <si>
    <t>Argyle Brut Sparkling Wine</t>
  </si>
  <si>
    <t>Bartenura Prosecco</t>
  </si>
  <si>
    <t>Althea Prosecco di Valdobbiadene</t>
  </si>
  <si>
    <t>Baron Herzog Late Harvest Zinfandel</t>
  </si>
  <si>
    <t>Fruit &amp; other acids</t>
  </si>
  <si>
    <t>Creamy</t>
  </si>
  <si>
    <t>Lamb</t>
  </si>
  <si>
    <t>Beef</t>
  </si>
  <si>
    <t>Pork</t>
  </si>
  <si>
    <t>Poultry</t>
  </si>
  <si>
    <t>Turkey</t>
  </si>
  <si>
    <t>Sashimi</t>
  </si>
  <si>
    <t>Heller Estate Cabernet Sauvignon</t>
  </si>
  <si>
    <t>Channing Daughters Rosso Fresco</t>
  </si>
  <si>
    <t>Foris Oregon Pinot Noir</t>
  </si>
  <si>
    <t>Chalone Monterey Pinot Noir</t>
  </si>
  <si>
    <t>Bitter Greens</t>
  </si>
  <si>
    <t>Three Thieves Bandit Merlot</t>
  </si>
  <si>
    <t>Tomato Pasta</t>
  </si>
  <si>
    <t>Cream</t>
  </si>
  <si>
    <t>Gouleyant Cahors</t>
  </si>
  <si>
    <t>Château Haut Branda Bordeaux Rouge</t>
  </si>
  <si>
    <t>Faustino VII Rioja</t>
  </si>
  <si>
    <t>Indaba Merlot</t>
  </si>
  <si>
    <t>Vegetable Pasta</t>
  </si>
  <si>
    <t>Goose Bay Sauvignon Blanc</t>
  </si>
  <si>
    <t>Goat Cheese</t>
  </si>
  <si>
    <t>William Fevre Chablis Champs Royaux</t>
  </si>
  <si>
    <t>Bastianich Friulano</t>
  </si>
  <si>
    <t>Creamy Pasta</t>
  </si>
  <si>
    <t>Binyamina Reserve Chardonnay (Unoaked)</t>
  </si>
  <si>
    <t>Chicken</t>
  </si>
  <si>
    <t>Fournier Sauvignon Vin de Pays du Jardin de la France</t>
  </si>
  <si>
    <t>Domaine de la Pinardière Muscadet</t>
  </si>
  <si>
    <t>Salad</t>
  </si>
  <si>
    <t>Fruit</t>
  </si>
  <si>
    <t>Shrimp</t>
  </si>
  <si>
    <t>Domaine des Aphillanthes Côtes du Rhône Clémentia Blanc</t>
  </si>
  <si>
    <t>Vegetable</t>
  </si>
  <si>
    <t>Montes Sauvignon Blanc</t>
  </si>
  <si>
    <t>Montinore Estate Pinot Gris</t>
  </si>
  <si>
    <t>Ravines Argetsinger Vineyard Dry Riesling</t>
  </si>
  <si>
    <t>Hermann J. Wiemer Dry Riesling</t>
  </si>
  <si>
    <t>Fried Chicken</t>
  </si>
  <si>
    <t>Joseph Drouhin Saint-Veran</t>
  </si>
  <si>
    <t>Chateau St. Jean Sonoma Fumé Blanc</t>
  </si>
  <si>
    <t>Roasted Vegetables</t>
  </si>
  <si>
    <t>Ravines Keuka Village White Wine</t>
  </si>
  <si>
    <t>Weights</t>
  </si>
  <si>
    <t>Stars</t>
  </si>
  <si>
    <t>total</t>
  </si>
  <si>
    <t>Inputs</t>
  </si>
  <si>
    <t>Red</t>
    <phoneticPr fontId="4" type="noConversion"/>
  </si>
  <si>
    <t>a</t>
    <phoneticPr fontId="4" type="noConversion"/>
  </si>
  <si>
    <t>Sonoma-Cutrer Russian River Ranches Chardonnay</t>
  </si>
</sst>
</file>

<file path=xl/styles.xml><?xml version="1.0" encoding="utf-8"?>
<styleSheet xmlns="http://schemas.openxmlformats.org/spreadsheetml/2006/main">
  <numFmts count="2">
    <numFmt numFmtId="43" formatCode="_(* #,##0.00_);_(* \(#,##0.00\);_(* &quot;-&quot;??_);_(@_)"/>
    <numFmt numFmtId="164" formatCode="&quot;$&quot;#,##0.00"/>
  </numFmts>
  <fonts count="12">
    <font>
      <sz val="10"/>
      <name val="Verdana"/>
    </font>
    <font>
      <sz val="11"/>
      <color indexed="8"/>
      <name val="Calibri"/>
      <family val="2"/>
    </font>
    <font>
      <b/>
      <sz val="10"/>
      <name val="Verdana"/>
    </font>
    <font>
      <sz val="10"/>
      <name val="Verdana"/>
    </font>
    <font>
      <sz val="8"/>
      <name val="Verdana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sz val="10"/>
      <color indexed="15"/>
      <name val="Verdana"/>
      <family val="2"/>
    </font>
    <font>
      <sz val="10"/>
      <color indexed="48"/>
      <name val="Verdana"/>
      <family val="2"/>
    </font>
    <font>
      <sz val="10"/>
      <color rgb="FF0070C0"/>
      <name val="Verdana"/>
      <family val="2"/>
    </font>
    <font>
      <b/>
      <sz val="10"/>
      <color indexed="81"/>
      <name val="Arial"/>
      <family val="2"/>
    </font>
    <font>
      <sz val="10"/>
      <color indexed="10"/>
      <name val="Verdana"/>
      <family val="2"/>
    </font>
  </fonts>
  <fills count="7">
    <fill>
      <patternFill patternType="none"/>
    </fill>
    <fill>
      <patternFill patternType="gray125"/>
    </fill>
    <fill>
      <patternFill patternType="solid">
        <fgColor indexed="24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15"/>
      </right>
      <top style="medium">
        <color indexed="64"/>
      </top>
      <bottom/>
      <diagonal/>
    </border>
    <border>
      <left style="medium">
        <color indexed="15"/>
      </left>
      <right style="medium">
        <color indexed="15"/>
      </right>
      <top style="medium">
        <color indexed="15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15"/>
      </right>
      <top/>
      <bottom/>
      <diagonal/>
    </border>
    <border>
      <left style="medium">
        <color indexed="15"/>
      </left>
      <right style="medium">
        <color indexed="15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15"/>
      </right>
      <top/>
      <bottom style="medium">
        <color indexed="64"/>
      </bottom>
      <diagonal/>
    </border>
    <border>
      <left style="medium">
        <color indexed="15"/>
      </left>
      <right style="medium">
        <color indexed="15"/>
      </right>
      <top/>
      <bottom style="medium">
        <color indexed="15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 style="medium">
        <color indexed="64"/>
      </top>
      <bottom style="thin">
        <color indexed="64"/>
      </bottom>
      <diagonal/>
    </border>
    <border>
      <left style="medium">
        <color rgb="FF0070C0"/>
      </left>
      <right style="medium">
        <color rgb="FF0070C0"/>
      </right>
      <top/>
      <bottom style="medium">
        <color indexed="64"/>
      </bottom>
      <diagonal/>
    </border>
    <border>
      <left/>
      <right style="medium">
        <color indexed="10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48">
    <xf numFmtId="0" fontId="0" fillId="0" borderId="0" xfId="0"/>
    <xf numFmtId="0" fontId="5" fillId="0" borderId="0" xfId="0" applyFont="1"/>
    <xf numFmtId="0" fontId="5" fillId="0" borderId="0" xfId="0" applyFont="1" applyAlignment="1">
      <alignment horizontal="center"/>
    </xf>
    <xf numFmtId="0" fontId="2" fillId="2" borderId="1" xfId="0" applyFont="1" applyFill="1" applyBorder="1"/>
    <xf numFmtId="0" fontId="2" fillId="2" borderId="2" xfId="0" applyFont="1" applyFill="1" applyBorder="1"/>
    <xf numFmtId="0" fontId="2" fillId="2" borderId="3" xfId="0" applyFont="1" applyFill="1" applyBorder="1"/>
    <xf numFmtId="0" fontId="0" fillId="3" borderId="0" xfId="0" applyFill="1"/>
    <xf numFmtId="0" fontId="0" fillId="3" borderId="0" xfId="0" quotePrefix="1" applyFill="1"/>
    <xf numFmtId="0" fontId="0" fillId="3" borderId="4" xfId="0" applyFill="1" applyBorder="1"/>
    <xf numFmtId="0" fontId="2" fillId="2" borderId="0" xfId="0" applyFont="1" applyFill="1"/>
    <xf numFmtId="0" fontId="7" fillId="3" borderId="5" xfId="0" applyFont="1" applyFill="1" applyBorder="1" applyAlignment="1">
      <alignment horizontal="center"/>
    </xf>
    <xf numFmtId="0" fontId="7" fillId="3" borderId="6" xfId="0" applyFont="1" applyFill="1" applyBorder="1" applyAlignment="1">
      <alignment horizontal="center"/>
    </xf>
    <xf numFmtId="0" fontId="7" fillId="3" borderId="7" xfId="0" applyFont="1" applyFill="1" applyBorder="1" applyAlignment="1">
      <alignment horizontal="center"/>
    </xf>
    <xf numFmtId="0" fontId="5" fillId="3" borderId="0" xfId="0" applyFont="1" applyFill="1"/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11" xfId="0" applyNumberFormat="1" applyFill="1" applyBorder="1"/>
    <xf numFmtId="43" fontId="6" fillId="3" borderId="0" xfId="1" applyFont="1" applyFill="1"/>
    <xf numFmtId="9" fontId="6" fillId="3" borderId="0" xfId="2" applyFont="1" applyFill="1" applyAlignment="1">
      <alignment horizontal="left"/>
    </xf>
    <xf numFmtId="0" fontId="0" fillId="3" borderId="12" xfId="0" applyFill="1" applyBorder="1"/>
    <xf numFmtId="0" fontId="0" fillId="3" borderId="0" xfId="0" applyFill="1" applyBorder="1"/>
    <xf numFmtId="0" fontId="0" fillId="3" borderId="13" xfId="0" applyFill="1" applyBorder="1"/>
    <xf numFmtId="0" fontId="0" fillId="3" borderId="14" xfId="0" applyNumberFormat="1" applyFill="1" applyBorder="1"/>
    <xf numFmtId="9" fontId="6" fillId="3" borderId="0" xfId="2" applyFont="1" applyFill="1"/>
    <xf numFmtId="0" fontId="0" fillId="3" borderId="15" xfId="0" applyFill="1" applyBorder="1"/>
    <xf numFmtId="0" fontId="0" fillId="3" borderId="16" xfId="0" applyFill="1" applyBorder="1"/>
    <xf numFmtId="0" fontId="0" fillId="3" borderId="17" xfId="0" applyFill="1" applyBorder="1"/>
    <xf numFmtId="0" fontId="0" fillId="3" borderId="18" xfId="0" applyNumberFormat="1" applyFill="1" applyBorder="1"/>
    <xf numFmtId="0" fontId="0" fillId="3" borderId="0" xfId="0" applyNumberFormat="1" applyFill="1"/>
    <xf numFmtId="0" fontId="0" fillId="3" borderId="19" xfId="0" applyNumberFormat="1" applyFill="1" applyBorder="1"/>
    <xf numFmtId="0" fontId="0" fillId="3" borderId="20" xfId="0" applyFill="1" applyBorder="1"/>
    <xf numFmtId="0" fontId="0" fillId="3" borderId="21" xfId="0" applyFill="1" applyBorder="1"/>
    <xf numFmtId="0" fontId="0" fillId="3" borderId="22" xfId="0" applyFill="1" applyBorder="1"/>
    <xf numFmtId="0" fontId="0" fillId="2" borderId="0" xfId="0" applyFill="1"/>
    <xf numFmtId="0" fontId="6" fillId="0" borderId="0" xfId="0" applyFont="1"/>
    <xf numFmtId="0" fontId="3" fillId="3" borderId="0" xfId="0" applyFont="1" applyFill="1"/>
    <xf numFmtId="0" fontId="0" fillId="3" borderId="1" xfId="0" applyFill="1" applyBorder="1"/>
    <xf numFmtId="0" fontId="0" fillId="3" borderId="2" xfId="0" applyFill="1" applyBorder="1"/>
    <xf numFmtId="0" fontId="0" fillId="3" borderId="3" xfId="0" applyFill="1" applyBorder="1"/>
    <xf numFmtId="0" fontId="0" fillId="3" borderId="23" xfId="0" applyFill="1" applyBorder="1" applyAlignment="1">
      <alignment horizontal="center"/>
    </xf>
    <xf numFmtId="0" fontId="5" fillId="0" borderId="0" xfId="0" applyFont="1" applyBorder="1" applyAlignment="1">
      <alignment horizontal="left"/>
    </xf>
    <xf numFmtId="0" fontId="0" fillId="3" borderId="24" xfId="0" applyFill="1" applyBorder="1"/>
    <xf numFmtId="0" fontId="0" fillId="3" borderId="25" xfId="0" applyFill="1" applyBorder="1"/>
    <xf numFmtId="0" fontId="0" fillId="3" borderId="26" xfId="0" applyFill="1" applyBorder="1"/>
    <xf numFmtId="0" fontId="2" fillId="2" borderId="0" xfId="0" applyFont="1" applyFill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0" fillId="3" borderId="0" xfId="0" applyNumberFormat="1" applyFill="1" applyBorder="1"/>
    <xf numFmtId="0" fontId="2" fillId="5" borderId="12" xfId="0" applyFont="1" applyFill="1" applyBorder="1"/>
    <xf numFmtId="0" fontId="0" fillId="3" borderId="27" xfId="0" applyFill="1" applyBorder="1"/>
    <xf numFmtId="164" fontId="0" fillId="3" borderId="27" xfId="0" applyNumberFormat="1" applyFill="1" applyBorder="1" applyAlignment="1">
      <alignment horizontal="left"/>
    </xf>
    <xf numFmtId="0" fontId="2" fillId="5" borderId="15" xfId="0" applyFont="1" applyFill="1" applyBorder="1"/>
    <xf numFmtId="0" fontId="0" fillId="3" borderId="28" xfId="0" applyFill="1" applyBorder="1"/>
    <xf numFmtId="0" fontId="2" fillId="5" borderId="29" xfId="0" applyFont="1" applyFill="1" applyBorder="1"/>
    <xf numFmtId="0" fontId="2" fillId="5" borderId="32" xfId="0" applyFont="1" applyFill="1" applyBorder="1"/>
    <xf numFmtId="0" fontId="2" fillId="5" borderId="35" xfId="0" applyFont="1" applyFill="1" applyBorder="1"/>
    <xf numFmtId="0" fontId="0" fillId="3" borderId="36" xfId="0" applyFill="1" applyBorder="1"/>
    <xf numFmtId="0" fontId="7" fillId="3" borderId="1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37" xfId="0" applyFont="1" applyFill="1" applyBorder="1" applyAlignment="1">
      <alignment horizontal="center"/>
    </xf>
    <xf numFmtId="0" fontId="0" fillId="3" borderId="39" xfId="0" applyFill="1" applyBorder="1"/>
    <xf numFmtId="0" fontId="9" fillId="3" borderId="1" xfId="0" applyFont="1" applyFill="1" applyBorder="1" applyAlignment="1">
      <alignment horizontal="center"/>
    </xf>
    <xf numFmtId="0" fontId="9" fillId="3" borderId="2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9" fillId="3" borderId="37" xfId="0" applyFont="1" applyFill="1" applyBorder="1" applyAlignment="1">
      <alignment horizontal="center"/>
    </xf>
    <xf numFmtId="0" fontId="9" fillId="3" borderId="38" xfId="0" applyFont="1" applyFill="1" applyBorder="1" applyAlignment="1">
      <alignment horizontal="center"/>
    </xf>
    <xf numFmtId="0" fontId="9" fillId="0" borderId="39" xfId="0" applyFont="1" applyFill="1" applyBorder="1" applyAlignment="1">
      <alignment horizontal="center"/>
    </xf>
    <xf numFmtId="0" fontId="9" fillId="3" borderId="39" xfId="0" applyFont="1" applyFill="1" applyBorder="1" applyAlignment="1">
      <alignment horizontal="center"/>
    </xf>
    <xf numFmtId="0" fontId="9" fillId="3" borderId="39" xfId="0" applyFont="1" applyFill="1" applyBorder="1"/>
    <xf numFmtId="0" fontId="9" fillId="3" borderId="36" xfId="0" applyFont="1" applyFill="1" applyBorder="1"/>
    <xf numFmtId="0" fontId="0" fillId="3" borderId="33" xfId="0" applyFill="1" applyBorder="1" applyAlignment="1">
      <alignment horizontal="center"/>
    </xf>
    <xf numFmtId="0" fontId="0" fillId="3" borderId="33" xfId="0" quotePrefix="1" applyFill="1" applyBorder="1" applyAlignment="1">
      <alignment horizontal="center"/>
    </xf>
    <xf numFmtId="0" fontId="0" fillId="3" borderId="34" xfId="0" applyFill="1" applyBorder="1" applyAlignment="1">
      <alignment horizontal="center"/>
    </xf>
    <xf numFmtId="0" fontId="2" fillId="5" borderId="8" xfId="0" applyFont="1" applyFill="1" applyBorder="1" applyAlignment="1">
      <alignment horizontal="center"/>
    </xf>
    <xf numFmtId="0" fontId="2" fillId="5" borderId="12" xfId="0" applyFont="1" applyFill="1" applyBorder="1" applyAlignment="1">
      <alignment horizontal="center"/>
    </xf>
    <xf numFmtId="0" fontId="2" fillId="5" borderId="9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8" fillId="3" borderId="1" xfId="0" applyFont="1" applyFill="1" applyBorder="1" applyAlignment="1">
      <alignment horizontal="center"/>
    </xf>
    <xf numFmtId="0" fontId="8" fillId="3" borderId="2" xfId="0" applyFont="1" applyFill="1" applyBorder="1" applyAlignment="1">
      <alignment horizontal="center"/>
    </xf>
    <xf numFmtId="0" fontId="8" fillId="4" borderId="2" xfId="0" applyFont="1" applyFill="1" applyBorder="1" applyAlignment="1">
      <alignment horizontal="center"/>
    </xf>
    <xf numFmtId="0" fontId="8" fillId="3" borderId="37" xfId="0" applyFont="1" applyFill="1" applyBorder="1" applyAlignment="1">
      <alignment horizontal="center"/>
    </xf>
    <xf numFmtId="0" fontId="8" fillId="4" borderId="38" xfId="0" applyFont="1" applyFill="1" applyBorder="1" applyAlignment="1">
      <alignment horizontal="center"/>
    </xf>
    <xf numFmtId="0" fontId="8" fillId="4" borderId="39" xfId="0" applyFont="1" applyFill="1" applyBorder="1" applyAlignment="1">
      <alignment horizontal="center"/>
    </xf>
    <xf numFmtId="0" fontId="8" fillId="0" borderId="39" xfId="0" applyFont="1" applyFill="1" applyBorder="1" applyAlignment="1">
      <alignment horizontal="center"/>
    </xf>
    <xf numFmtId="0" fontId="7" fillId="3" borderId="38" xfId="0" applyFont="1" applyFill="1" applyBorder="1" applyAlignment="1">
      <alignment horizontal="center"/>
    </xf>
    <xf numFmtId="0" fontId="7" fillId="3" borderId="39" xfId="0" applyFont="1" applyFill="1" applyBorder="1" applyAlignment="1">
      <alignment horizontal="center"/>
    </xf>
    <xf numFmtId="0" fontId="5" fillId="5" borderId="42" xfId="0" applyFont="1" applyFill="1" applyBorder="1" applyAlignment="1">
      <alignment horizontal="center"/>
    </xf>
    <xf numFmtId="0" fontId="0" fillId="3" borderId="43" xfId="0" applyNumberFormat="1" applyFill="1" applyBorder="1"/>
    <xf numFmtId="43" fontId="6" fillId="3" borderId="0" xfId="1" applyFont="1" applyFill="1" applyBorder="1"/>
    <xf numFmtId="9" fontId="6" fillId="3" borderId="0" xfId="2" applyFont="1" applyFill="1" applyBorder="1" applyAlignment="1">
      <alignment horizontal="left"/>
    </xf>
    <xf numFmtId="9" fontId="6" fillId="3" borderId="0" xfId="2" applyFont="1" applyFill="1" applyBorder="1"/>
    <xf numFmtId="0" fontId="6" fillId="0" borderId="0" xfId="0" applyFont="1" applyBorder="1"/>
    <xf numFmtId="0" fontId="0" fillId="3" borderId="6" xfId="0" quotePrefix="1" applyFill="1" applyBorder="1" applyAlignment="1">
      <alignment horizontal="center"/>
    </xf>
    <xf numFmtId="0" fontId="0" fillId="3" borderId="7" xfId="0" quotePrefix="1" applyFill="1" applyBorder="1" applyAlignment="1">
      <alignment horizontal="center"/>
    </xf>
    <xf numFmtId="0" fontId="2" fillId="2" borderId="44" xfId="0" applyFont="1" applyFill="1" applyBorder="1" applyAlignment="1">
      <alignment horizontal="center" vertical="center"/>
    </xf>
    <xf numFmtId="0" fontId="2" fillId="5" borderId="45" xfId="0" applyFont="1" applyFill="1" applyBorder="1" applyAlignment="1">
      <alignment horizontal="center"/>
    </xf>
    <xf numFmtId="0" fontId="2" fillId="5" borderId="46" xfId="0" applyFont="1" applyFill="1" applyBorder="1" applyAlignment="1">
      <alignment horizontal="center"/>
    </xf>
    <xf numFmtId="0" fontId="7" fillId="3" borderId="36" xfId="0" applyFont="1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0" xfId="0" applyFill="1" applyBorder="1" applyAlignment="1">
      <alignment horizontal="center"/>
    </xf>
    <xf numFmtId="0" fontId="2" fillId="5" borderId="47" xfId="0" applyFont="1" applyFill="1" applyBorder="1" applyAlignment="1">
      <alignment horizontal="center"/>
    </xf>
    <xf numFmtId="0" fontId="0" fillId="3" borderId="48" xfId="0" quotePrefix="1" applyFill="1" applyBorder="1" applyAlignment="1">
      <alignment horizontal="center"/>
    </xf>
    <xf numFmtId="0" fontId="5" fillId="5" borderId="40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/>
    </xf>
    <xf numFmtId="0" fontId="5" fillId="5" borderId="41" xfId="0" applyFont="1" applyFill="1" applyBorder="1" applyAlignment="1">
      <alignment horizontal="center" vertical="center" wrapText="1"/>
    </xf>
    <xf numFmtId="0" fontId="5" fillId="6" borderId="40" xfId="0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 wrapText="1"/>
    </xf>
    <xf numFmtId="0" fontId="5" fillId="6" borderId="41" xfId="0" applyFont="1" applyFill="1" applyBorder="1" applyAlignment="1">
      <alignment horizontal="center" vertical="center"/>
    </xf>
    <xf numFmtId="0" fontId="1" fillId="6" borderId="49" xfId="0" applyFont="1" applyFill="1" applyBorder="1" applyAlignment="1">
      <alignment horizontal="center" vertical="center"/>
    </xf>
    <xf numFmtId="0" fontId="0" fillId="3" borderId="12" xfId="0" applyFill="1" applyBorder="1" applyAlignment="1">
      <alignment horizontal="left"/>
    </xf>
    <xf numFmtId="0" fontId="0" fillId="3" borderId="15" xfId="0" applyFill="1" applyBorder="1" applyAlignment="1">
      <alignment horizontal="left"/>
    </xf>
    <xf numFmtId="0" fontId="0" fillId="3" borderId="50" xfId="0" applyNumberFormat="1" applyFill="1" applyBorder="1"/>
    <xf numFmtId="0" fontId="0" fillId="3" borderId="39" xfId="0" applyNumberFormat="1" applyFill="1" applyBorder="1"/>
    <xf numFmtId="43" fontId="6" fillId="3" borderId="39" xfId="1" applyFont="1" applyFill="1" applyBorder="1"/>
    <xf numFmtId="9" fontId="6" fillId="3" borderId="39" xfId="2" applyFont="1" applyFill="1" applyBorder="1"/>
    <xf numFmtId="0" fontId="2" fillId="3" borderId="0" xfId="0" applyFont="1" applyFill="1" applyAlignment="1">
      <alignment horizontal="right"/>
    </xf>
    <xf numFmtId="0" fontId="2" fillId="3" borderId="51" xfId="0" applyFont="1" applyFill="1" applyBorder="1" applyAlignment="1">
      <alignment horizontal="right"/>
    </xf>
    <xf numFmtId="0" fontId="2" fillId="2" borderId="45" xfId="0" applyFont="1" applyFill="1" applyBorder="1" applyAlignment="1">
      <alignment horizontal="center" vertical="center"/>
    </xf>
    <xf numFmtId="164" fontId="0" fillId="3" borderId="39" xfId="0" applyNumberFormat="1" applyFill="1" applyBorder="1" applyAlignment="1">
      <alignment horizontal="left"/>
    </xf>
    <xf numFmtId="0" fontId="0" fillId="3" borderId="0" xfId="0" applyFill="1" applyAlignment="1">
      <alignment wrapText="1"/>
    </xf>
    <xf numFmtId="0" fontId="5" fillId="5" borderId="53" xfId="0" applyFont="1" applyFill="1" applyBorder="1" applyAlignment="1">
      <alignment horizontal="center" vertical="center"/>
    </xf>
    <xf numFmtId="0" fontId="6" fillId="0" borderId="24" xfId="0" applyFont="1" applyBorder="1"/>
    <xf numFmtId="0" fontId="0" fillId="3" borderId="54" xfId="0" applyFill="1" applyBorder="1"/>
    <xf numFmtId="0" fontId="11" fillId="3" borderId="12" xfId="0" applyFont="1" applyFill="1" applyBorder="1" applyAlignment="1">
      <alignment horizontal="left"/>
    </xf>
    <xf numFmtId="0" fontId="11" fillId="3" borderId="0" xfId="0" applyFont="1" applyFill="1" applyBorder="1"/>
    <xf numFmtId="0" fontId="11" fillId="3" borderId="12" xfId="0" applyFont="1" applyFill="1" applyBorder="1"/>
    <xf numFmtId="0" fontId="11" fillId="3" borderId="43" xfId="0" applyNumberFormat="1" applyFont="1" applyFill="1" applyBorder="1"/>
    <xf numFmtId="0" fontId="11" fillId="3" borderId="24" xfId="0" applyFont="1" applyFill="1" applyBorder="1"/>
    <xf numFmtId="0" fontId="5" fillId="5" borderId="55" xfId="0" applyFont="1" applyFill="1" applyBorder="1" applyAlignment="1">
      <alignment horizontal="center" vertical="center" wrapText="1"/>
    </xf>
    <xf numFmtId="0" fontId="0" fillId="3" borderId="56" xfId="0" applyFill="1" applyBorder="1" applyAlignment="1">
      <alignment wrapText="1"/>
    </xf>
    <xf numFmtId="0" fontId="6" fillId="0" borderId="56" xfId="0" applyFont="1" applyBorder="1" applyAlignment="1">
      <alignment wrapText="1"/>
    </xf>
    <xf numFmtId="0" fontId="11" fillId="3" borderId="56" xfId="0" applyFont="1" applyFill="1" applyBorder="1" applyAlignment="1">
      <alignment wrapText="1"/>
    </xf>
    <xf numFmtId="0" fontId="0" fillId="3" borderId="52" xfId="0" applyFill="1" applyBorder="1" applyAlignment="1">
      <alignment wrapText="1"/>
    </xf>
    <xf numFmtId="0" fontId="2" fillId="2" borderId="8" xfId="0" applyFont="1" applyFill="1" applyBorder="1" applyAlignment="1">
      <alignment horizontal="center"/>
    </xf>
    <xf numFmtId="0" fontId="0" fillId="0" borderId="29" xfId="0" applyBorder="1" applyAlignment="1">
      <alignment horizontal="center"/>
    </xf>
    <xf numFmtId="0" fontId="2" fillId="2" borderId="30" xfId="0" applyFont="1" applyFill="1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39" xfId="0" applyFill="1" applyBorder="1" applyAlignment="1">
      <alignment horizontal="center"/>
    </xf>
    <xf numFmtId="0" fontId="0" fillId="3" borderId="36" xfId="0" applyFill="1" applyBorder="1" applyAlignment="1">
      <alignment horizontal="center"/>
    </xf>
    <xf numFmtId="0" fontId="2" fillId="2" borderId="45" xfId="0" applyFont="1" applyFill="1" applyBorder="1" applyAlignment="1">
      <alignment horizontal="center" vertical="center"/>
    </xf>
    <xf numFmtId="0" fontId="2" fillId="2" borderId="46" xfId="0" applyFont="1" applyFill="1" applyBorder="1" applyAlignment="1">
      <alignment horizontal="center" vertical="center"/>
    </xf>
    <xf numFmtId="0" fontId="0" fillId="3" borderId="0" xfId="0" applyFill="1" applyAlignment="1">
      <alignment horizontal="center"/>
    </xf>
    <xf numFmtId="0" fontId="6" fillId="0" borderId="0" xfId="0" applyFont="1"/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1" Type="http://schemas.openxmlformats.org/officeDocument/2006/relationships/theme" Target="theme/theme1.xml"/><Relationship Id="rId12" Type="http://schemas.openxmlformats.org/officeDocument/2006/relationships/styles" Target="styles.xml"/><Relationship Id="rId13" Type="http://schemas.openxmlformats.org/officeDocument/2006/relationships/sharedStrings" Target="sharedStrings.xml"/><Relationship Id="rId14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worksheet" Target="worksheets/sheet8.xml"/><Relationship Id="rId9" Type="http://schemas.openxmlformats.org/officeDocument/2006/relationships/worksheet" Target="worksheets/sheet9.xml"/><Relationship Id="rId10" Type="http://schemas.openxmlformats.org/officeDocument/2006/relationships/worksheet" Target="worksheets/sheet10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2.vml"/><Relationship Id="rId2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3.vml"/><Relationship Id="rId2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4.vml"/><Relationship Id="rId2" Type="http://schemas.openxmlformats.org/officeDocument/2006/relationships/comments" Target="../comments3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vmlDrawing" Target="../drawings/vmlDrawing5.vml"/><Relationship Id="rId2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1" enableFormatConditionsCalculation="0"/>
  <dimension ref="A1"/>
  <sheetViews>
    <sheetView workbookViewId="0"/>
  </sheetViews>
  <sheetFormatPr baseColWidth="10" defaultColWidth="8.7109375" defaultRowHeight="13"/>
  <sheetData/>
  <pageMargins left="0.7" right="0.7" top="0.75" bottom="0.75" header="0.3" footer="0.3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8" enableFormatConditionsCalculation="0"/>
  <dimension ref="A1:AF193"/>
  <sheetViews>
    <sheetView view="pageLayout" workbookViewId="0">
      <selection activeCell="G9" sqref="G9:S9"/>
    </sheetView>
  </sheetViews>
  <sheetFormatPr baseColWidth="10" defaultColWidth="11" defaultRowHeight="13"/>
  <sheetData>
    <row r="1" spans="1:32" ht="14">
      <c r="A1" s="1" t="s">
        <v>38</v>
      </c>
      <c r="B1" s="2" t="s">
        <v>39</v>
      </c>
      <c r="C1" s="2" t="s">
        <v>40</v>
      </c>
      <c r="D1" s="2" t="s">
        <v>50</v>
      </c>
      <c r="E1" s="2" t="s">
        <v>51</v>
      </c>
      <c r="F1" s="2" t="s">
        <v>52</v>
      </c>
      <c r="G1" s="2" t="s">
        <v>499</v>
      </c>
      <c r="H1" s="2" t="s">
        <v>500</v>
      </c>
      <c r="I1" s="2" t="s">
        <v>501</v>
      </c>
      <c r="J1" s="2" t="s">
        <v>502</v>
      </c>
      <c r="K1" s="2" t="s">
        <v>503</v>
      </c>
      <c r="L1" s="2" t="s">
        <v>504</v>
      </c>
      <c r="M1" s="2" t="s">
        <v>505</v>
      </c>
      <c r="N1" s="2" t="s">
        <v>506</v>
      </c>
      <c r="O1" s="2" t="s">
        <v>507</v>
      </c>
      <c r="P1" s="2" t="s">
        <v>669</v>
      </c>
      <c r="Q1" s="2" t="s">
        <v>670</v>
      </c>
      <c r="R1" s="2" t="s">
        <v>56</v>
      </c>
      <c r="S1" s="2" t="s">
        <v>295</v>
      </c>
      <c r="T1" s="37" t="s">
        <v>160</v>
      </c>
      <c r="U1" s="37"/>
      <c r="V1" s="37"/>
      <c r="W1" s="37"/>
      <c r="X1" s="37"/>
      <c r="Y1" s="37"/>
      <c r="Z1" s="37"/>
      <c r="AA1" s="37"/>
      <c r="AB1" s="37"/>
      <c r="AC1" s="37"/>
      <c r="AD1" s="37"/>
      <c r="AE1" s="37"/>
      <c r="AF1" s="37"/>
    </row>
    <row r="2" spans="1:32" ht="14">
      <c r="A2" s="37">
        <v>1</v>
      </c>
      <c r="B2" s="37" t="s">
        <v>161</v>
      </c>
      <c r="C2" s="37" t="s">
        <v>162</v>
      </c>
      <c r="D2" s="37" t="s">
        <v>53</v>
      </c>
      <c r="E2" s="37" t="s">
        <v>89</v>
      </c>
      <c r="F2" s="37" t="s">
        <v>168</v>
      </c>
      <c r="G2" s="37">
        <v>1</v>
      </c>
      <c r="H2" s="37">
        <v>0</v>
      </c>
      <c r="I2" s="37">
        <v>0</v>
      </c>
      <c r="J2" s="37">
        <v>0</v>
      </c>
      <c r="K2" s="37">
        <v>0</v>
      </c>
      <c r="L2" s="37">
        <v>0</v>
      </c>
      <c r="M2" s="37">
        <v>0</v>
      </c>
      <c r="N2" s="37">
        <v>0</v>
      </c>
      <c r="O2" s="37">
        <v>0</v>
      </c>
      <c r="P2" s="37">
        <v>0</v>
      </c>
      <c r="Q2" s="37">
        <v>0</v>
      </c>
      <c r="R2" s="37">
        <v>0</v>
      </c>
      <c r="S2" s="37">
        <v>0</v>
      </c>
      <c r="T2" s="147" t="s">
        <v>162</v>
      </c>
      <c r="U2" s="147"/>
      <c r="V2" s="37"/>
      <c r="W2" s="37"/>
      <c r="X2" s="37"/>
      <c r="Y2" s="37"/>
      <c r="Z2" s="37"/>
      <c r="AA2" s="37"/>
      <c r="AB2" s="37"/>
      <c r="AC2" s="37"/>
      <c r="AD2" s="37"/>
      <c r="AE2" s="37"/>
      <c r="AF2" s="37"/>
    </row>
    <row r="3" spans="1:32" ht="14">
      <c r="A3" s="37">
        <v>2</v>
      </c>
      <c r="B3" s="37" t="s">
        <v>161</v>
      </c>
      <c r="C3" s="37" t="s">
        <v>169</v>
      </c>
      <c r="D3" s="37" t="s">
        <v>65</v>
      </c>
      <c r="E3" s="37" t="s">
        <v>91</v>
      </c>
      <c r="F3" s="37" t="s">
        <v>58</v>
      </c>
      <c r="G3" s="37">
        <v>0</v>
      </c>
      <c r="H3" s="37">
        <v>1</v>
      </c>
      <c r="I3" s="37">
        <v>0</v>
      </c>
      <c r="J3" s="37">
        <v>0</v>
      </c>
      <c r="K3" s="37">
        <v>0</v>
      </c>
      <c r="L3" s="37">
        <v>0</v>
      </c>
      <c r="M3" s="37">
        <v>0</v>
      </c>
      <c r="N3" s="37">
        <v>0</v>
      </c>
      <c r="O3" s="37">
        <v>0</v>
      </c>
      <c r="P3" s="37">
        <v>0</v>
      </c>
      <c r="Q3" s="37">
        <v>0</v>
      </c>
      <c r="R3" s="37">
        <v>0</v>
      </c>
      <c r="S3" s="37">
        <v>0</v>
      </c>
      <c r="T3" s="147" t="s">
        <v>169</v>
      </c>
      <c r="U3" s="147"/>
      <c r="V3" s="147"/>
      <c r="W3" s="37"/>
      <c r="X3" s="37"/>
      <c r="Y3" s="37"/>
      <c r="Z3" s="37"/>
      <c r="AA3" s="37"/>
      <c r="AB3" s="37"/>
      <c r="AC3" s="37"/>
      <c r="AD3" s="37"/>
      <c r="AE3" s="37"/>
      <c r="AF3" s="37"/>
    </row>
    <row r="4" spans="1:32" ht="14">
      <c r="A4" s="37">
        <v>3</v>
      </c>
      <c r="B4" s="37" t="s">
        <v>161</v>
      </c>
      <c r="C4" s="37" t="s">
        <v>175</v>
      </c>
      <c r="D4" s="37" t="s">
        <v>55</v>
      </c>
      <c r="E4" s="37" t="s">
        <v>89</v>
      </c>
      <c r="F4" s="37" t="s">
        <v>58</v>
      </c>
      <c r="G4" s="37">
        <v>1</v>
      </c>
      <c r="H4" s="37">
        <v>0</v>
      </c>
      <c r="I4" s="37">
        <v>1</v>
      </c>
      <c r="J4" s="37">
        <v>0</v>
      </c>
      <c r="K4" s="37">
        <v>0</v>
      </c>
      <c r="L4" s="37">
        <v>0</v>
      </c>
      <c r="M4" s="37">
        <v>0</v>
      </c>
      <c r="N4" s="37">
        <v>0</v>
      </c>
      <c r="O4" s="37">
        <v>0</v>
      </c>
      <c r="P4" s="37">
        <v>0</v>
      </c>
      <c r="Q4" s="37">
        <v>0</v>
      </c>
      <c r="R4" s="37">
        <v>0</v>
      </c>
      <c r="S4" s="37">
        <v>0</v>
      </c>
      <c r="T4" s="147" t="s">
        <v>175</v>
      </c>
      <c r="U4" s="147"/>
      <c r="V4" s="147"/>
      <c r="W4" s="147"/>
      <c r="X4" s="147"/>
      <c r="Y4" s="37"/>
      <c r="Z4" s="37"/>
      <c r="AA4" s="37"/>
      <c r="AB4" s="37"/>
      <c r="AC4" s="37"/>
      <c r="AD4" s="37"/>
      <c r="AE4" s="37"/>
      <c r="AF4" s="37"/>
    </row>
    <row r="5" spans="1:32" ht="14">
      <c r="A5" s="37">
        <v>4</v>
      </c>
      <c r="B5" s="37" t="s">
        <v>181</v>
      </c>
      <c r="C5" s="37" t="s">
        <v>182</v>
      </c>
      <c r="D5" s="37" t="s">
        <v>72</v>
      </c>
      <c r="E5" s="37" t="s">
        <v>64</v>
      </c>
      <c r="F5" s="37" t="s">
        <v>58</v>
      </c>
      <c r="G5" s="37">
        <v>0</v>
      </c>
      <c r="H5" s="37">
        <v>1</v>
      </c>
      <c r="I5" s="37">
        <v>0</v>
      </c>
      <c r="J5" s="37">
        <v>0</v>
      </c>
      <c r="K5" s="37">
        <v>0</v>
      </c>
      <c r="L5" s="37">
        <v>0</v>
      </c>
      <c r="M5" s="37">
        <v>0</v>
      </c>
      <c r="N5" s="37">
        <v>0</v>
      </c>
      <c r="O5" s="37">
        <v>0</v>
      </c>
      <c r="P5" s="37">
        <v>0</v>
      </c>
      <c r="Q5" s="37">
        <v>0</v>
      </c>
      <c r="R5" s="37">
        <v>0</v>
      </c>
      <c r="S5" s="37">
        <v>0</v>
      </c>
      <c r="T5" s="147" t="s">
        <v>182</v>
      </c>
      <c r="U5" s="14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</row>
    <row r="6" spans="1:32" ht="14">
      <c r="A6" s="37">
        <v>5</v>
      </c>
      <c r="B6" s="37" t="s">
        <v>181</v>
      </c>
      <c r="C6" s="37" t="s">
        <v>11</v>
      </c>
      <c r="D6" s="37" t="s">
        <v>14</v>
      </c>
      <c r="E6" s="37" t="s">
        <v>64</v>
      </c>
      <c r="F6" s="37" t="s">
        <v>58</v>
      </c>
      <c r="G6" s="37">
        <v>1</v>
      </c>
      <c r="H6" s="37">
        <v>1</v>
      </c>
      <c r="I6" s="37">
        <v>0</v>
      </c>
      <c r="J6" s="37">
        <v>0</v>
      </c>
      <c r="K6" s="37">
        <v>0</v>
      </c>
      <c r="L6" s="37">
        <v>0</v>
      </c>
      <c r="M6" s="37">
        <v>0</v>
      </c>
      <c r="N6" s="37">
        <v>0</v>
      </c>
      <c r="O6" s="37">
        <v>0</v>
      </c>
      <c r="P6" s="37">
        <v>0</v>
      </c>
      <c r="Q6" s="37">
        <v>0</v>
      </c>
      <c r="R6" s="37">
        <v>0</v>
      </c>
      <c r="S6" s="37">
        <v>0</v>
      </c>
      <c r="T6" s="147" t="s">
        <v>11</v>
      </c>
      <c r="U6" s="147"/>
      <c r="V6" s="147"/>
      <c r="W6" s="147"/>
      <c r="X6" s="147"/>
      <c r="Y6" s="37"/>
      <c r="Z6" s="37"/>
      <c r="AA6" s="37"/>
      <c r="AB6" s="37"/>
      <c r="AC6" s="37"/>
      <c r="AD6" s="37"/>
      <c r="AE6" s="37"/>
      <c r="AF6" s="37"/>
    </row>
    <row r="7" spans="1:32" ht="14">
      <c r="A7" s="37">
        <v>6</v>
      </c>
      <c r="B7" s="37" t="s">
        <v>181</v>
      </c>
      <c r="C7" s="37" t="s">
        <v>15</v>
      </c>
      <c r="D7" s="37" t="s">
        <v>53</v>
      </c>
      <c r="E7" s="37" t="s">
        <v>154</v>
      </c>
      <c r="F7" s="37" t="s">
        <v>58</v>
      </c>
      <c r="G7" s="37">
        <v>1</v>
      </c>
      <c r="H7" s="37">
        <v>0</v>
      </c>
      <c r="I7" s="37">
        <v>0</v>
      </c>
      <c r="J7" s="37">
        <v>0</v>
      </c>
      <c r="K7" s="37">
        <v>0</v>
      </c>
      <c r="L7" s="37">
        <v>0</v>
      </c>
      <c r="M7" s="37">
        <v>0</v>
      </c>
      <c r="N7" s="37">
        <v>0</v>
      </c>
      <c r="O7" s="37">
        <v>0</v>
      </c>
      <c r="P7" s="37">
        <v>0</v>
      </c>
      <c r="Q7" s="37">
        <v>0</v>
      </c>
      <c r="R7" s="37">
        <v>0</v>
      </c>
      <c r="S7" s="37">
        <v>0</v>
      </c>
      <c r="T7" s="147" t="s">
        <v>15</v>
      </c>
      <c r="U7" s="147"/>
      <c r="V7" s="147"/>
      <c r="W7" s="37"/>
      <c r="X7" s="37"/>
      <c r="Y7" s="37"/>
      <c r="Z7" s="37"/>
      <c r="AA7" s="37"/>
      <c r="AB7" s="37"/>
      <c r="AC7" s="37"/>
      <c r="AD7" s="37"/>
      <c r="AE7" s="37"/>
      <c r="AF7" s="37"/>
    </row>
    <row r="8" spans="1:32" ht="14">
      <c r="A8" s="37">
        <v>7</v>
      </c>
      <c r="B8" s="37" t="s">
        <v>181</v>
      </c>
      <c r="C8" s="37" t="s">
        <v>17</v>
      </c>
      <c r="D8" s="37" t="s">
        <v>53</v>
      </c>
      <c r="E8" s="37" t="s">
        <v>65</v>
      </c>
      <c r="F8" s="37" t="s">
        <v>22</v>
      </c>
      <c r="G8" s="37">
        <v>1</v>
      </c>
      <c r="H8" s="37">
        <v>1</v>
      </c>
      <c r="I8" s="37">
        <v>0</v>
      </c>
      <c r="J8" s="37">
        <v>0</v>
      </c>
      <c r="K8" s="37">
        <v>0</v>
      </c>
      <c r="L8" s="37">
        <v>0</v>
      </c>
      <c r="M8" s="37">
        <v>0</v>
      </c>
      <c r="N8" s="37">
        <v>0</v>
      </c>
      <c r="O8" s="37">
        <v>0</v>
      </c>
      <c r="P8" s="37">
        <v>0</v>
      </c>
      <c r="Q8" s="37">
        <v>0</v>
      </c>
      <c r="R8" s="37">
        <v>0</v>
      </c>
      <c r="S8" s="37">
        <v>0</v>
      </c>
      <c r="T8" s="147" t="s">
        <v>17</v>
      </c>
      <c r="U8" s="147"/>
      <c r="V8" s="147"/>
      <c r="W8" s="37"/>
      <c r="X8" s="37"/>
      <c r="Y8" s="37"/>
      <c r="Z8" s="37"/>
      <c r="AA8" s="37"/>
      <c r="AB8" s="37"/>
      <c r="AC8" s="37"/>
      <c r="AD8" s="37"/>
      <c r="AE8" s="37"/>
      <c r="AF8" s="37"/>
    </row>
    <row r="9" spans="1:32" ht="14">
      <c r="A9" s="37">
        <v>8</v>
      </c>
      <c r="B9" s="37" t="s">
        <v>23</v>
      </c>
      <c r="C9" s="37" t="s">
        <v>24</v>
      </c>
      <c r="D9" s="37" t="s">
        <v>29</v>
      </c>
      <c r="E9" s="37" t="s">
        <v>29</v>
      </c>
      <c r="F9" s="37" t="s">
        <v>22</v>
      </c>
      <c r="G9" s="37">
        <v>1</v>
      </c>
      <c r="H9" s="37">
        <v>0</v>
      </c>
      <c r="I9" s="37">
        <v>0</v>
      </c>
      <c r="J9" s="37">
        <v>0</v>
      </c>
      <c r="K9" s="37">
        <v>0</v>
      </c>
      <c r="L9" s="37">
        <v>0</v>
      </c>
      <c r="M9" s="37">
        <v>0</v>
      </c>
      <c r="N9" s="37">
        <v>0</v>
      </c>
      <c r="O9" s="37">
        <v>0</v>
      </c>
      <c r="P9" s="37">
        <v>0</v>
      </c>
      <c r="Q9" s="37">
        <v>0</v>
      </c>
      <c r="R9" s="37">
        <v>0</v>
      </c>
      <c r="S9" s="37">
        <v>0</v>
      </c>
      <c r="T9" s="147" t="s">
        <v>24</v>
      </c>
      <c r="U9" s="147"/>
      <c r="V9" s="147"/>
      <c r="W9" s="37"/>
      <c r="X9" s="37"/>
      <c r="Y9" s="37"/>
      <c r="Z9" s="37"/>
      <c r="AA9" s="37"/>
      <c r="AB9" s="37"/>
      <c r="AC9" s="37"/>
      <c r="AD9" s="37"/>
      <c r="AE9" s="37"/>
      <c r="AF9" s="37"/>
    </row>
    <row r="10" spans="1:32" ht="14">
      <c r="A10" s="37">
        <v>9</v>
      </c>
      <c r="B10" s="37" t="s">
        <v>23</v>
      </c>
      <c r="C10" s="37" t="s">
        <v>30</v>
      </c>
      <c r="D10" s="37" t="s">
        <v>69</v>
      </c>
      <c r="E10" s="37" t="s">
        <v>57</v>
      </c>
      <c r="F10" s="37" t="s">
        <v>22</v>
      </c>
      <c r="G10" s="37">
        <v>0</v>
      </c>
      <c r="H10" s="37">
        <v>0</v>
      </c>
      <c r="I10" s="37">
        <v>1</v>
      </c>
      <c r="J10" s="37">
        <v>0</v>
      </c>
      <c r="K10" s="37">
        <v>0</v>
      </c>
      <c r="L10" s="37">
        <v>0</v>
      </c>
      <c r="M10" s="37">
        <v>0</v>
      </c>
      <c r="N10" s="37">
        <v>0</v>
      </c>
      <c r="O10" s="37">
        <v>0</v>
      </c>
      <c r="P10" s="37">
        <v>0</v>
      </c>
      <c r="Q10" s="37">
        <v>0</v>
      </c>
      <c r="R10" s="37">
        <v>0</v>
      </c>
      <c r="S10" s="37">
        <v>0</v>
      </c>
      <c r="T10" s="147" t="s">
        <v>30</v>
      </c>
      <c r="U10" s="147"/>
      <c r="V10" s="147"/>
      <c r="W10" s="147"/>
      <c r="X10" s="37"/>
      <c r="Y10" s="37"/>
      <c r="Z10" s="37"/>
      <c r="AA10" s="37"/>
      <c r="AB10" s="37"/>
      <c r="AC10" s="37"/>
      <c r="AD10" s="37"/>
      <c r="AE10" s="37"/>
      <c r="AF10" s="37"/>
    </row>
    <row r="11" spans="1:32" ht="14">
      <c r="A11" s="37">
        <v>10</v>
      </c>
      <c r="B11" s="37" t="s">
        <v>23</v>
      </c>
      <c r="C11" s="37" t="s">
        <v>35</v>
      </c>
      <c r="D11" s="37" t="s">
        <v>58</v>
      </c>
      <c r="E11" s="37" t="s">
        <v>233</v>
      </c>
      <c r="F11" s="37" t="s">
        <v>99</v>
      </c>
      <c r="G11" s="37">
        <v>0</v>
      </c>
      <c r="H11" s="37">
        <v>0</v>
      </c>
      <c r="I11" s="37">
        <v>0</v>
      </c>
      <c r="J11" s="37">
        <v>1</v>
      </c>
      <c r="K11" s="37">
        <v>0</v>
      </c>
      <c r="L11" s="37">
        <v>0</v>
      </c>
      <c r="M11" s="37">
        <v>0</v>
      </c>
      <c r="N11" s="37">
        <v>0</v>
      </c>
      <c r="O11" s="37">
        <v>0</v>
      </c>
      <c r="P11" s="37">
        <v>0</v>
      </c>
      <c r="Q11" s="37">
        <v>0</v>
      </c>
      <c r="R11" s="37">
        <v>0</v>
      </c>
      <c r="S11" s="37">
        <v>0</v>
      </c>
      <c r="T11" s="147" t="s">
        <v>35</v>
      </c>
      <c r="U11" s="147"/>
      <c r="V11" s="37"/>
      <c r="W11" s="37"/>
      <c r="X11" s="37"/>
      <c r="Y11" s="37"/>
      <c r="Z11" s="37"/>
      <c r="AA11" s="37"/>
      <c r="AB11" s="37"/>
      <c r="AC11" s="37"/>
      <c r="AD11" s="37"/>
      <c r="AE11" s="37"/>
      <c r="AF11" s="37"/>
    </row>
    <row r="12" spans="1:32" ht="14">
      <c r="A12" s="37">
        <v>11</v>
      </c>
      <c r="B12" s="37" t="s">
        <v>23</v>
      </c>
      <c r="C12" s="37" t="s">
        <v>234</v>
      </c>
      <c r="D12" s="37" t="s">
        <v>53</v>
      </c>
      <c r="E12" s="37" t="s">
        <v>238</v>
      </c>
      <c r="F12" s="37" t="s">
        <v>239</v>
      </c>
      <c r="G12" s="37">
        <v>1</v>
      </c>
      <c r="H12" s="37">
        <v>0</v>
      </c>
      <c r="I12" s="37">
        <v>0</v>
      </c>
      <c r="J12" s="37">
        <v>0</v>
      </c>
      <c r="K12" s="37">
        <v>0</v>
      </c>
      <c r="L12" s="37">
        <v>0</v>
      </c>
      <c r="M12" s="37">
        <v>0</v>
      </c>
      <c r="N12" s="37">
        <v>0</v>
      </c>
      <c r="O12" s="37">
        <v>0</v>
      </c>
      <c r="P12" s="37">
        <v>0</v>
      </c>
      <c r="Q12" s="37">
        <v>0</v>
      </c>
      <c r="R12" s="37">
        <v>0</v>
      </c>
      <c r="S12" s="37">
        <v>0</v>
      </c>
      <c r="T12" s="147" t="s">
        <v>234</v>
      </c>
      <c r="U12" s="147"/>
      <c r="V12" s="147"/>
      <c r="W12" s="37"/>
      <c r="X12" s="37"/>
      <c r="Y12" s="37"/>
      <c r="Z12" s="37"/>
      <c r="AA12" s="37"/>
      <c r="AB12" s="37"/>
      <c r="AC12" s="37"/>
      <c r="AD12" s="37"/>
      <c r="AE12" s="37"/>
      <c r="AF12" s="37"/>
    </row>
    <row r="13" spans="1:32" ht="14">
      <c r="A13" s="37">
        <v>12</v>
      </c>
      <c r="B13" s="37" t="s">
        <v>23</v>
      </c>
      <c r="C13" s="37" t="s">
        <v>240</v>
      </c>
      <c r="D13" s="37" t="s">
        <v>53</v>
      </c>
      <c r="E13" s="37" t="s">
        <v>64</v>
      </c>
      <c r="F13" s="37" t="s">
        <v>244</v>
      </c>
      <c r="G13" s="37">
        <v>1</v>
      </c>
      <c r="H13" s="37">
        <v>1</v>
      </c>
      <c r="I13" s="37">
        <v>0</v>
      </c>
      <c r="J13" s="37">
        <v>0</v>
      </c>
      <c r="K13" s="37">
        <v>0</v>
      </c>
      <c r="L13" s="37">
        <v>0</v>
      </c>
      <c r="M13" s="37">
        <v>0</v>
      </c>
      <c r="N13" s="37">
        <v>0</v>
      </c>
      <c r="O13" s="37">
        <v>0</v>
      </c>
      <c r="P13" s="37">
        <v>0</v>
      </c>
      <c r="Q13" s="37">
        <v>0</v>
      </c>
      <c r="R13" s="37">
        <v>0</v>
      </c>
      <c r="S13" s="37">
        <v>0</v>
      </c>
      <c r="T13" s="147" t="s">
        <v>240</v>
      </c>
      <c r="U13" s="147"/>
      <c r="V13" s="147"/>
      <c r="W13" s="147"/>
      <c r="X13" s="37"/>
      <c r="Y13" s="37"/>
      <c r="Z13" s="37"/>
      <c r="AA13" s="37"/>
      <c r="AB13" s="37"/>
      <c r="AC13" s="37"/>
      <c r="AD13" s="37"/>
      <c r="AE13" s="37"/>
      <c r="AF13" s="37"/>
    </row>
    <row r="14" spans="1:32" ht="14">
      <c r="A14" s="37">
        <v>13</v>
      </c>
      <c r="B14" s="37" t="s">
        <v>245</v>
      </c>
      <c r="C14" s="37" t="s">
        <v>246</v>
      </c>
      <c r="D14" s="37" t="s">
        <v>65</v>
      </c>
      <c r="E14" s="37" t="s">
        <v>53</v>
      </c>
      <c r="F14" s="37" t="s">
        <v>58</v>
      </c>
      <c r="G14" s="37">
        <v>1</v>
      </c>
      <c r="H14" s="37">
        <v>1</v>
      </c>
      <c r="I14" s="37">
        <v>0</v>
      </c>
      <c r="J14" s="37">
        <v>0</v>
      </c>
      <c r="K14" s="37">
        <v>0</v>
      </c>
      <c r="L14" s="37">
        <v>0</v>
      </c>
      <c r="M14" s="37">
        <v>0</v>
      </c>
      <c r="N14" s="37">
        <v>0</v>
      </c>
      <c r="O14" s="37">
        <v>0</v>
      </c>
      <c r="P14" s="37">
        <v>0</v>
      </c>
      <c r="Q14" s="37">
        <v>0</v>
      </c>
      <c r="R14" s="37">
        <v>0</v>
      </c>
      <c r="S14" s="37">
        <v>0</v>
      </c>
      <c r="T14" s="147" t="s">
        <v>246</v>
      </c>
      <c r="U14" s="14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</row>
    <row r="15" spans="1:32" ht="14">
      <c r="A15" s="37">
        <v>14</v>
      </c>
      <c r="B15" s="37" t="s">
        <v>245</v>
      </c>
      <c r="C15" s="37" t="s">
        <v>250</v>
      </c>
      <c r="D15" s="37" t="s">
        <v>58</v>
      </c>
      <c r="E15" s="37" t="s">
        <v>53</v>
      </c>
      <c r="F15" s="37" t="s">
        <v>239</v>
      </c>
      <c r="G15" s="37">
        <v>1</v>
      </c>
      <c r="H15" s="37">
        <v>0</v>
      </c>
      <c r="I15" s="37">
        <v>0</v>
      </c>
      <c r="J15" s="37">
        <v>1</v>
      </c>
      <c r="K15" s="37">
        <v>0</v>
      </c>
      <c r="L15" s="37">
        <v>0</v>
      </c>
      <c r="M15" s="37">
        <v>0</v>
      </c>
      <c r="N15" s="37">
        <v>0</v>
      </c>
      <c r="O15" s="37">
        <v>0</v>
      </c>
      <c r="P15" s="37">
        <v>0</v>
      </c>
      <c r="Q15" s="37">
        <v>0</v>
      </c>
      <c r="R15" s="37">
        <v>0</v>
      </c>
      <c r="S15" s="37">
        <v>0</v>
      </c>
      <c r="T15" s="147" t="s">
        <v>250</v>
      </c>
      <c r="U15" s="147"/>
      <c r="V15" s="147"/>
      <c r="W15" s="37"/>
      <c r="X15" s="37"/>
      <c r="Y15" s="37"/>
      <c r="Z15" s="37"/>
      <c r="AA15" s="37"/>
      <c r="AB15" s="37"/>
      <c r="AC15" s="37"/>
      <c r="AD15" s="37"/>
      <c r="AE15" s="37"/>
      <c r="AF15" s="37"/>
    </row>
    <row r="16" spans="1:32" ht="14">
      <c r="A16" s="37">
        <v>15</v>
      </c>
      <c r="B16" s="37" t="s">
        <v>161</v>
      </c>
      <c r="C16" s="37" t="s">
        <v>259</v>
      </c>
      <c r="D16" s="37" t="s">
        <v>53</v>
      </c>
      <c r="E16" s="37" t="s">
        <v>64</v>
      </c>
      <c r="F16" s="37" t="s">
        <v>58</v>
      </c>
      <c r="G16" s="37">
        <v>1</v>
      </c>
      <c r="H16" s="37">
        <v>1</v>
      </c>
      <c r="I16" s="37">
        <v>0</v>
      </c>
      <c r="J16" s="37">
        <v>0</v>
      </c>
      <c r="K16" s="37">
        <v>0</v>
      </c>
      <c r="L16" s="37">
        <v>0</v>
      </c>
      <c r="M16" s="37">
        <v>0</v>
      </c>
      <c r="N16" s="37">
        <v>0</v>
      </c>
      <c r="O16" s="37">
        <v>0</v>
      </c>
      <c r="P16" s="37">
        <v>0</v>
      </c>
      <c r="Q16" s="37">
        <v>0</v>
      </c>
      <c r="R16" s="37">
        <v>0</v>
      </c>
      <c r="S16" s="37">
        <v>0</v>
      </c>
      <c r="T16" s="147" t="s">
        <v>259</v>
      </c>
      <c r="U16" s="147"/>
      <c r="V16" s="37"/>
      <c r="W16" s="37"/>
      <c r="X16" s="37"/>
      <c r="Y16" s="37"/>
      <c r="Z16" s="37"/>
      <c r="AA16" s="37"/>
      <c r="AB16" s="37"/>
      <c r="AC16" s="37"/>
      <c r="AD16" s="37"/>
      <c r="AE16" s="37"/>
      <c r="AF16" s="37"/>
    </row>
    <row r="17" spans="1:32" ht="14">
      <c r="A17" s="37">
        <v>16</v>
      </c>
      <c r="B17" s="37" t="s">
        <v>161</v>
      </c>
      <c r="C17" s="37" t="s">
        <v>115</v>
      </c>
      <c r="D17" s="37" t="s">
        <v>54</v>
      </c>
      <c r="E17" s="37" t="s">
        <v>64</v>
      </c>
      <c r="F17" s="37" t="s">
        <v>157</v>
      </c>
      <c r="G17" s="37">
        <v>1</v>
      </c>
      <c r="H17" s="37">
        <v>1</v>
      </c>
      <c r="I17" s="37">
        <v>0</v>
      </c>
      <c r="J17" s="37">
        <v>0</v>
      </c>
      <c r="K17" s="37">
        <v>0</v>
      </c>
      <c r="L17" s="37">
        <v>0</v>
      </c>
      <c r="M17" s="37">
        <v>0</v>
      </c>
      <c r="N17" s="37">
        <v>0</v>
      </c>
      <c r="O17" s="37">
        <v>0</v>
      </c>
      <c r="P17" s="37">
        <v>0</v>
      </c>
      <c r="Q17" s="37">
        <v>0</v>
      </c>
      <c r="R17" s="37">
        <v>0</v>
      </c>
      <c r="S17" s="37">
        <v>0</v>
      </c>
      <c r="T17" s="147" t="s">
        <v>115</v>
      </c>
      <c r="U17" s="147"/>
      <c r="V17" s="147"/>
      <c r="W17" s="37"/>
      <c r="X17" s="37"/>
      <c r="Y17" s="37"/>
      <c r="Z17" s="37"/>
      <c r="AA17" s="37"/>
      <c r="AB17" s="37"/>
      <c r="AC17" s="37"/>
      <c r="AD17" s="37"/>
      <c r="AE17" s="37"/>
      <c r="AF17" s="37"/>
    </row>
    <row r="18" spans="1:32" ht="14">
      <c r="A18" s="37">
        <v>17</v>
      </c>
      <c r="B18" s="37" t="s">
        <v>161</v>
      </c>
      <c r="C18" s="37" t="s">
        <v>119</v>
      </c>
      <c r="D18" s="37" t="s">
        <v>54</v>
      </c>
      <c r="E18" s="37" t="s">
        <v>157</v>
      </c>
      <c r="F18" s="37" t="s">
        <v>239</v>
      </c>
      <c r="G18" s="37">
        <v>1</v>
      </c>
      <c r="H18" s="37">
        <v>0</v>
      </c>
      <c r="I18" s="37">
        <v>0</v>
      </c>
      <c r="J18" s="37">
        <v>0</v>
      </c>
      <c r="K18" s="37">
        <v>0</v>
      </c>
      <c r="L18" s="37">
        <v>0</v>
      </c>
      <c r="M18" s="37">
        <v>0</v>
      </c>
      <c r="N18" s="37">
        <v>0</v>
      </c>
      <c r="O18" s="37">
        <v>0</v>
      </c>
      <c r="P18" s="37">
        <v>0</v>
      </c>
      <c r="Q18" s="37">
        <v>0</v>
      </c>
      <c r="R18" s="37">
        <v>1</v>
      </c>
      <c r="S18" s="37">
        <v>0</v>
      </c>
      <c r="T18" s="147" t="s">
        <v>119</v>
      </c>
      <c r="U18" s="147"/>
      <c r="V18" s="147"/>
      <c r="W18" s="37"/>
      <c r="X18" s="37"/>
      <c r="Y18" s="37"/>
      <c r="Z18" s="37"/>
      <c r="AA18" s="37"/>
      <c r="AB18" s="37"/>
      <c r="AC18" s="37"/>
      <c r="AD18" s="37"/>
      <c r="AE18" s="37"/>
      <c r="AF18" s="37"/>
    </row>
    <row r="19" spans="1:32" ht="14">
      <c r="A19" s="37">
        <v>18</v>
      </c>
      <c r="B19" s="37" t="s">
        <v>161</v>
      </c>
      <c r="C19" s="37" t="s">
        <v>124</v>
      </c>
      <c r="D19" s="37" t="s">
        <v>64</v>
      </c>
      <c r="E19" s="37" t="s">
        <v>55</v>
      </c>
      <c r="F19" s="37" t="s">
        <v>244</v>
      </c>
      <c r="G19" s="37">
        <v>0</v>
      </c>
      <c r="H19" s="37">
        <v>1</v>
      </c>
      <c r="I19" s="37">
        <v>1</v>
      </c>
      <c r="J19" s="37">
        <v>0</v>
      </c>
      <c r="K19" s="37">
        <v>0</v>
      </c>
      <c r="L19" s="37">
        <v>0</v>
      </c>
      <c r="M19" s="37">
        <v>0</v>
      </c>
      <c r="N19" s="37">
        <v>0</v>
      </c>
      <c r="O19" s="37">
        <v>0</v>
      </c>
      <c r="P19" s="37">
        <v>0</v>
      </c>
      <c r="Q19" s="37">
        <v>0</v>
      </c>
      <c r="R19" s="37">
        <v>0</v>
      </c>
      <c r="S19" s="37">
        <v>0</v>
      </c>
      <c r="T19" s="147" t="s">
        <v>124</v>
      </c>
      <c r="U19" s="147"/>
      <c r="V19" s="147"/>
      <c r="W19" s="37"/>
      <c r="X19" s="37"/>
      <c r="Y19" s="37"/>
      <c r="Z19" s="37"/>
      <c r="AA19" s="37"/>
      <c r="AB19" s="37"/>
      <c r="AC19" s="37"/>
      <c r="AD19" s="37"/>
      <c r="AE19" s="37"/>
      <c r="AF19" s="37"/>
    </row>
    <row r="20" spans="1:32" ht="14">
      <c r="A20" s="37">
        <v>19</v>
      </c>
      <c r="B20" s="37" t="s">
        <v>161</v>
      </c>
      <c r="C20" s="37" t="s">
        <v>125</v>
      </c>
      <c r="D20" s="37" t="s">
        <v>64</v>
      </c>
      <c r="E20" s="37" t="s">
        <v>57</v>
      </c>
      <c r="F20" s="37" t="s">
        <v>157</v>
      </c>
      <c r="G20" s="37">
        <v>0</v>
      </c>
      <c r="H20" s="37">
        <v>1</v>
      </c>
      <c r="I20" s="37">
        <v>1</v>
      </c>
      <c r="J20" s="37">
        <v>0</v>
      </c>
      <c r="K20" s="37">
        <v>0</v>
      </c>
      <c r="L20" s="37">
        <v>0</v>
      </c>
      <c r="M20" s="37">
        <v>0</v>
      </c>
      <c r="N20" s="37">
        <v>0</v>
      </c>
      <c r="O20" s="37">
        <v>0</v>
      </c>
      <c r="P20" s="37">
        <v>0</v>
      </c>
      <c r="Q20" s="37">
        <v>0</v>
      </c>
      <c r="R20" s="37">
        <v>0</v>
      </c>
      <c r="S20" s="37">
        <v>0</v>
      </c>
      <c r="T20" s="147" t="s">
        <v>125</v>
      </c>
      <c r="U20" s="147"/>
      <c r="V20" s="147"/>
      <c r="W20" s="147"/>
      <c r="X20" s="37"/>
      <c r="Y20" s="37"/>
      <c r="Z20" s="37"/>
      <c r="AA20" s="37"/>
      <c r="AB20" s="37"/>
      <c r="AC20" s="37"/>
      <c r="AD20" s="37"/>
      <c r="AE20" s="37"/>
      <c r="AF20" s="37"/>
    </row>
    <row r="21" spans="1:32" ht="14">
      <c r="A21" s="37">
        <v>20</v>
      </c>
      <c r="B21" s="37" t="s">
        <v>161</v>
      </c>
      <c r="C21" s="37" t="s">
        <v>126</v>
      </c>
      <c r="D21" s="37" t="s">
        <v>57</v>
      </c>
      <c r="E21" s="37" t="s">
        <v>64</v>
      </c>
      <c r="F21" s="37" t="s">
        <v>104</v>
      </c>
      <c r="G21" s="37">
        <v>0</v>
      </c>
      <c r="H21" s="37">
        <v>1</v>
      </c>
      <c r="I21" s="37">
        <v>1</v>
      </c>
      <c r="J21" s="37">
        <v>0</v>
      </c>
      <c r="K21" s="37">
        <v>0</v>
      </c>
      <c r="L21" s="37">
        <v>0</v>
      </c>
      <c r="M21" s="37">
        <v>0</v>
      </c>
      <c r="N21" s="37">
        <v>0</v>
      </c>
      <c r="O21" s="37">
        <v>0</v>
      </c>
      <c r="P21" s="37">
        <v>0</v>
      </c>
      <c r="Q21" s="37">
        <v>0</v>
      </c>
      <c r="R21" s="37">
        <v>0</v>
      </c>
      <c r="S21" s="37">
        <v>0</v>
      </c>
      <c r="T21" s="147" t="s">
        <v>126</v>
      </c>
      <c r="U21" s="147"/>
      <c r="V21" s="37"/>
      <c r="W21" s="37"/>
      <c r="X21" s="37"/>
      <c r="Y21" s="37"/>
      <c r="Z21" s="37"/>
      <c r="AA21" s="37"/>
      <c r="AB21" s="37"/>
      <c r="AC21" s="37"/>
      <c r="AD21" s="37"/>
      <c r="AE21" s="37"/>
      <c r="AF21" s="37"/>
    </row>
    <row r="22" spans="1:32" ht="14">
      <c r="A22" s="37">
        <v>21</v>
      </c>
      <c r="B22" s="37" t="s">
        <v>181</v>
      </c>
      <c r="C22" s="37" t="s">
        <v>127</v>
      </c>
      <c r="D22" s="37" t="s">
        <v>57</v>
      </c>
      <c r="E22" s="37" t="s">
        <v>55</v>
      </c>
      <c r="F22" s="37" t="s">
        <v>128</v>
      </c>
      <c r="G22" s="37">
        <v>0</v>
      </c>
      <c r="H22" s="37">
        <v>0</v>
      </c>
      <c r="I22" s="37">
        <v>1</v>
      </c>
      <c r="J22" s="37">
        <v>0</v>
      </c>
      <c r="K22" s="37">
        <v>0</v>
      </c>
      <c r="L22" s="37">
        <v>0</v>
      </c>
      <c r="M22" s="37">
        <v>0</v>
      </c>
      <c r="N22" s="37">
        <v>0</v>
      </c>
      <c r="O22" s="37">
        <v>0</v>
      </c>
      <c r="P22" s="37">
        <v>0</v>
      </c>
      <c r="Q22" s="37">
        <v>0</v>
      </c>
      <c r="R22" s="37">
        <v>0</v>
      </c>
      <c r="S22" s="37">
        <v>0</v>
      </c>
      <c r="T22" s="147" t="s">
        <v>127</v>
      </c>
      <c r="U22" s="147"/>
      <c r="V22" s="147"/>
      <c r="W22" s="147"/>
      <c r="X22" s="37"/>
      <c r="Y22" s="37"/>
      <c r="Z22" s="37"/>
      <c r="AA22" s="37"/>
      <c r="AB22" s="37"/>
      <c r="AC22" s="37"/>
      <c r="AD22" s="37"/>
      <c r="AE22" s="37"/>
      <c r="AF22" s="37"/>
    </row>
    <row r="23" spans="1:32" ht="14">
      <c r="A23" s="37">
        <v>23</v>
      </c>
      <c r="B23" s="37" t="s">
        <v>181</v>
      </c>
      <c r="C23" s="37" t="s">
        <v>129</v>
      </c>
      <c r="D23" s="37" t="s">
        <v>55</v>
      </c>
      <c r="E23" s="37" t="s">
        <v>65</v>
      </c>
      <c r="F23" s="37" t="s">
        <v>130</v>
      </c>
      <c r="G23" s="37">
        <v>0</v>
      </c>
      <c r="H23" s="37">
        <v>1</v>
      </c>
      <c r="I23" s="37">
        <v>1</v>
      </c>
      <c r="J23" s="37">
        <v>0</v>
      </c>
      <c r="K23" s="37">
        <v>0</v>
      </c>
      <c r="L23" s="37">
        <v>0</v>
      </c>
      <c r="M23" s="37">
        <v>0</v>
      </c>
      <c r="N23" s="37">
        <v>0</v>
      </c>
      <c r="O23" s="37">
        <v>0</v>
      </c>
      <c r="P23" s="37">
        <v>0</v>
      </c>
      <c r="Q23" s="37">
        <v>0</v>
      </c>
      <c r="R23" s="37">
        <v>0</v>
      </c>
      <c r="S23" s="37">
        <v>0</v>
      </c>
      <c r="T23" s="147" t="s">
        <v>129</v>
      </c>
      <c r="U23" s="147"/>
      <c r="V23" s="147"/>
      <c r="W23" s="37"/>
      <c r="X23" s="37"/>
      <c r="Y23" s="37"/>
      <c r="Z23" s="37"/>
      <c r="AA23" s="37"/>
      <c r="AB23" s="37"/>
      <c r="AC23" s="37"/>
      <c r="AD23" s="37"/>
      <c r="AE23" s="37"/>
      <c r="AF23" s="37"/>
    </row>
    <row r="24" spans="1:32" ht="14">
      <c r="A24" s="37">
        <v>24</v>
      </c>
      <c r="B24" s="37" t="s">
        <v>181</v>
      </c>
      <c r="C24" s="37" t="s">
        <v>131</v>
      </c>
      <c r="D24" s="37" t="s">
        <v>55</v>
      </c>
      <c r="E24" s="37" t="s">
        <v>134</v>
      </c>
      <c r="F24" s="37" t="s">
        <v>239</v>
      </c>
      <c r="G24" s="37">
        <v>0</v>
      </c>
      <c r="H24" s="37">
        <v>1</v>
      </c>
      <c r="I24" s="37">
        <v>1</v>
      </c>
      <c r="J24" s="37">
        <v>0</v>
      </c>
      <c r="K24" s="37">
        <v>0</v>
      </c>
      <c r="L24" s="37">
        <v>0</v>
      </c>
      <c r="M24" s="37">
        <v>0</v>
      </c>
      <c r="N24" s="37">
        <v>0</v>
      </c>
      <c r="O24" s="37">
        <v>0</v>
      </c>
      <c r="P24" s="37">
        <v>0</v>
      </c>
      <c r="Q24" s="37">
        <v>0</v>
      </c>
      <c r="R24" s="37">
        <v>0</v>
      </c>
      <c r="S24" s="37">
        <v>0</v>
      </c>
      <c r="T24" s="147" t="s">
        <v>131</v>
      </c>
      <c r="U24" s="147"/>
      <c r="V24" s="147"/>
      <c r="W24" s="147"/>
      <c r="X24" s="147"/>
      <c r="Y24" s="37"/>
      <c r="Z24" s="37"/>
      <c r="AA24" s="37"/>
      <c r="AB24" s="37"/>
      <c r="AC24" s="37"/>
      <c r="AD24" s="37"/>
      <c r="AE24" s="37"/>
      <c r="AF24" s="37"/>
    </row>
    <row r="25" spans="1:32" ht="14">
      <c r="A25" s="37">
        <v>25</v>
      </c>
      <c r="B25" s="37" t="s">
        <v>23</v>
      </c>
      <c r="C25" s="37" t="s">
        <v>135</v>
      </c>
      <c r="D25" s="37" t="s">
        <v>65</v>
      </c>
      <c r="E25" s="37" t="s">
        <v>55</v>
      </c>
      <c r="F25" s="37" t="s">
        <v>128</v>
      </c>
      <c r="G25" s="37">
        <v>0</v>
      </c>
      <c r="H25" s="37">
        <v>1</v>
      </c>
      <c r="I25" s="37">
        <v>1</v>
      </c>
      <c r="J25" s="37">
        <v>0</v>
      </c>
      <c r="K25" s="37">
        <v>0</v>
      </c>
      <c r="L25" s="37">
        <v>0</v>
      </c>
      <c r="M25" s="37">
        <v>0</v>
      </c>
      <c r="N25" s="37">
        <v>0</v>
      </c>
      <c r="O25" s="37">
        <v>0</v>
      </c>
      <c r="P25" s="37">
        <v>0</v>
      </c>
      <c r="Q25" s="37">
        <v>0</v>
      </c>
      <c r="R25" s="37">
        <v>0</v>
      </c>
      <c r="S25" s="37">
        <v>0</v>
      </c>
      <c r="T25" s="147" t="s">
        <v>135</v>
      </c>
      <c r="U25" s="147"/>
      <c r="V25" s="147"/>
      <c r="W25" s="147"/>
      <c r="X25" s="37"/>
      <c r="Y25" s="37"/>
      <c r="Z25" s="37"/>
      <c r="AA25" s="37"/>
      <c r="AB25" s="37"/>
      <c r="AC25" s="37"/>
      <c r="AD25" s="37"/>
      <c r="AE25" s="37"/>
      <c r="AF25" s="37"/>
    </row>
    <row r="26" spans="1:32" ht="14">
      <c r="A26" s="37">
        <v>26</v>
      </c>
      <c r="B26" s="37" t="s">
        <v>23</v>
      </c>
      <c r="C26" s="37" t="s">
        <v>139</v>
      </c>
      <c r="D26" s="37" t="s">
        <v>94</v>
      </c>
      <c r="E26" s="37" t="s">
        <v>147</v>
      </c>
      <c r="F26" s="37" t="s">
        <v>244</v>
      </c>
      <c r="G26" s="37">
        <v>0</v>
      </c>
      <c r="H26" s="37">
        <v>0</v>
      </c>
      <c r="I26" s="37">
        <v>0</v>
      </c>
      <c r="J26" s="37">
        <v>0</v>
      </c>
      <c r="K26" s="37">
        <v>0</v>
      </c>
      <c r="L26" s="37">
        <v>1</v>
      </c>
      <c r="M26" s="37">
        <v>1</v>
      </c>
      <c r="N26" s="37">
        <v>0</v>
      </c>
      <c r="O26" s="37">
        <v>0</v>
      </c>
      <c r="P26" s="37">
        <v>0</v>
      </c>
      <c r="Q26" s="37">
        <v>0</v>
      </c>
      <c r="R26" s="37">
        <v>0</v>
      </c>
      <c r="S26" s="37">
        <v>0</v>
      </c>
      <c r="T26" s="147" t="s">
        <v>139</v>
      </c>
      <c r="U26" s="147"/>
      <c r="V26" s="147"/>
      <c r="W26" s="147"/>
      <c r="X26" s="37"/>
      <c r="Y26" s="37"/>
      <c r="Z26" s="37"/>
      <c r="AA26" s="37"/>
      <c r="AB26" s="37"/>
      <c r="AC26" s="37"/>
      <c r="AD26" s="37"/>
      <c r="AE26" s="37"/>
      <c r="AF26" s="37"/>
    </row>
    <row r="27" spans="1:32" ht="14">
      <c r="A27" s="37">
        <v>27</v>
      </c>
      <c r="B27" s="37" t="s">
        <v>23</v>
      </c>
      <c r="C27" s="37" t="s">
        <v>202</v>
      </c>
      <c r="D27" s="37" t="s">
        <v>71</v>
      </c>
      <c r="E27" s="37" t="s">
        <v>55</v>
      </c>
      <c r="F27" s="37" t="s">
        <v>82</v>
      </c>
      <c r="G27" s="37">
        <v>0</v>
      </c>
      <c r="H27" s="37">
        <v>0</v>
      </c>
      <c r="I27" s="37">
        <v>1</v>
      </c>
      <c r="J27" s="37">
        <v>1</v>
      </c>
      <c r="K27" s="37">
        <v>0</v>
      </c>
      <c r="L27" s="37">
        <v>0</v>
      </c>
      <c r="M27" s="37">
        <v>0</v>
      </c>
      <c r="N27" s="37">
        <v>0</v>
      </c>
      <c r="O27" s="37">
        <v>0</v>
      </c>
      <c r="P27" s="37">
        <v>0</v>
      </c>
      <c r="Q27" s="37">
        <v>0</v>
      </c>
      <c r="R27" s="37">
        <v>0</v>
      </c>
      <c r="S27" s="37">
        <v>0</v>
      </c>
      <c r="T27" s="147" t="s">
        <v>202</v>
      </c>
      <c r="U27" s="14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</row>
    <row r="28" spans="1:32" ht="14">
      <c r="A28" s="37">
        <v>28</v>
      </c>
      <c r="B28" s="37" t="s">
        <v>23</v>
      </c>
      <c r="C28" s="37" t="s">
        <v>205</v>
      </c>
      <c r="D28" s="37" t="s">
        <v>206</v>
      </c>
      <c r="E28" s="37" t="s">
        <v>53</v>
      </c>
      <c r="F28" s="37" t="s">
        <v>244</v>
      </c>
      <c r="G28" s="37">
        <v>1</v>
      </c>
      <c r="H28" s="37">
        <v>0</v>
      </c>
      <c r="I28" s="37">
        <v>0</v>
      </c>
      <c r="J28" s="37">
        <v>0</v>
      </c>
      <c r="K28" s="37">
        <v>0</v>
      </c>
      <c r="L28" s="37">
        <v>0</v>
      </c>
      <c r="M28" s="37">
        <v>0</v>
      </c>
      <c r="N28" s="37">
        <v>0</v>
      </c>
      <c r="O28" s="37">
        <v>0</v>
      </c>
      <c r="P28" s="37">
        <v>0</v>
      </c>
      <c r="Q28" s="37">
        <v>0</v>
      </c>
      <c r="R28" s="37">
        <v>0</v>
      </c>
      <c r="S28" s="37">
        <v>0</v>
      </c>
      <c r="T28" s="147" t="s">
        <v>205</v>
      </c>
      <c r="U28" s="147"/>
      <c r="V28" s="147"/>
      <c r="W28" s="37"/>
      <c r="X28" s="37"/>
      <c r="Y28" s="37"/>
      <c r="Z28" s="37"/>
      <c r="AA28" s="37"/>
      <c r="AB28" s="37"/>
      <c r="AC28" s="37"/>
      <c r="AD28" s="37"/>
      <c r="AE28" s="37"/>
      <c r="AF28" s="37"/>
    </row>
    <row r="29" spans="1:32" ht="14">
      <c r="A29" s="37">
        <v>29</v>
      </c>
      <c r="B29" s="37" t="s">
        <v>23</v>
      </c>
      <c r="C29" s="37" t="s">
        <v>207</v>
      </c>
      <c r="D29" s="37" t="s">
        <v>72</v>
      </c>
      <c r="E29" s="37" t="s">
        <v>208</v>
      </c>
      <c r="F29" s="37" t="s">
        <v>58</v>
      </c>
      <c r="G29" s="37">
        <v>0</v>
      </c>
      <c r="H29" s="37">
        <v>1</v>
      </c>
      <c r="I29" s="37">
        <v>0</v>
      </c>
      <c r="J29" s="37">
        <v>0</v>
      </c>
      <c r="K29" s="37">
        <v>0</v>
      </c>
      <c r="L29" s="37">
        <v>0</v>
      </c>
      <c r="M29" s="37">
        <v>1</v>
      </c>
      <c r="N29" s="37">
        <v>0</v>
      </c>
      <c r="O29" s="37">
        <v>0</v>
      </c>
      <c r="P29" s="37">
        <v>0</v>
      </c>
      <c r="Q29" s="37">
        <v>0</v>
      </c>
      <c r="R29" s="37">
        <v>0</v>
      </c>
      <c r="S29" s="37">
        <v>0</v>
      </c>
      <c r="T29" s="147" t="s">
        <v>207</v>
      </c>
      <c r="U29" s="147"/>
      <c r="V29" s="37"/>
      <c r="W29" s="37"/>
      <c r="X29" s="37"/>
      <c r="Y29" s="37"/>
      <c r="Z29" s="37"/>
      <c r="AA29" s="37"/>
      <c r="AB29" s="37"/>
      <c r="AC29" s="37"/>
      <c r="AD29" s="37"/>
      <c r="AE29" s="37"/>
      <c r="AF29" s="37"/>
    </row>
    <row r="30" spans="1:32" ht="14">
      <c r="A30" s="37">
        <v>30</v>
      </c>
      <c r="B30" s="37" t="s">
        <v>23</v>
      </c>
      <c r="C30" s="37" t="s">
        <v>209</v>
      </c>
      <c r="D30" s="37" t="s">
        <v>208</v>
      </c>
      <c r="E30" s="37" t="s">
        <v>57</v>
      </c>
      <c r="F30" s="37" t="s">
        <v>157</v>
      </c>
      <c r="G30" s="37">
        <v>0</v>
      </c>
      <c r="H30" s="37">
        <v>0</v>
      </c>
      <c r="I30" s="37">
        <v>1</v>
      </c>
      <c r="J30" s="37">
        <v>0</v>
      </c>
      <c r="K30" s="37">
        <v>0</v>
      </c>
      <c r="L30" s="37">
        <v>0</v>
      </c>
      <c r="M30" s="37">
        <v>1</v>
      </c>
      <c r="N30" s="37">
        <v>0</v>
      </c>
      <c r="O30" s="37">
        <v>0</v>
      </c>
      <c r="P30" s="37">
        <v>0</v>
      </c>
      <c r="Q30" s="37">
        <v>0</v>
      </c>
      <c r="R30" s="37">
        <v>0</v>
      </c>
      <c r="S30" s="37">
        <v>0</v>
      </c>
      <c r="T30" s="147" t="s">
        <v>209</v>
      </c>
      <c r="U30" s="14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</row>
    <row r="31" spans="1:32" ht="14">
      <c r="A31" s="37">
        <v>31</v>
      </c>
      <c r="B31" s="37" t="s">
        <v>23</v>
      </c>
      <c r="C31" s="37" t="s">
        <v>210</v>
      </c>
      <c r="D31" s="37" t="s">
        <v>67</v>
      </c>
      <c r="E31" s="37" t="s">
        <v>147</v>
      </c>
      <c r="F31" s="37" t="s">
        <v>239</v>
      </c>
      <c r="G31" s="37">
        <v>0</v>
      </c>
      <c r="H31" s="37">
        <v>0</v>
      </c>
      <c r="I31" s="37">
        <v>1</v>
      </c>
      <c r="J31" s="37">
        <v>0</v>
      </c>
      <c r="K31" s="37">
        <v>0</v>
      </c>
      <c r="L31" s="37">
        <v>0</v>
      </c>
      <c r="M31" s="37">
        <v>1</v>
      </c>
      <c r="N31" s="37">
        <v>0</v>
      </c>
      <c r="O31" s="37">
        <v>0</v>
      </c>
      <c r="P31" s="37">
        <v>0</v>
      </c>
      <c r="Q31" s="37">
        <v>0</v>
      </c>
      <c r="R31" s="37">
        <v>0</v>
      </c>
      <c r="S31" s="37">
        <v>0</v>
      </c>
      <c r="T31" s="147" t="s">
        <v>210</v>
      </c>
      <c r="U31" s="147"/>
      <c r="V31" s="147"/>
      <c r="W31" s="147"/>
      <c r="X31" s="147"/>
      <c r="Y31" s="37"/>
      <c r="Z31" s="37"/>
      <c r="AA31" s="37"/>
      <c r="AB31" s="37"/>
      <c r="AC31" s="37"/>
      <c r="AD31" s="37"/>
      <c r="AE31" s="37"/>
      <c r="AF31" s="37"/>
    </row>
    <row r="32" spans="1:32" ht="14">
      <c r="A32" s="37">
        <v>32</v>
      </c>
      <c r="B32" s="37" t="s">
        <v>23</v>
      </c>
      <c r="C32" s="37" t="s">
        <v>212</v>
      </c>
      <c r="D32" s="37" t="s">
        <v>72</v>
      </c>
      <c r="E32" s="37" t="s">
        <v>213</v>
      </c>
      <c r="F32" s="37" t="s">
        <v>239</v>
      </c>
      <c r="G32" s="37">
        <v>0</v>
      </c>
      <c r="H32" s="37">
        <v>1</v>
      </c>
      <c r="I32" s="37">
        <v>1</v>
      </c>
      <c r="J32" s="37">
        <v>0</v>
      </c>
      <c r="K32" s="37">
        <v>0</v>
      </c>
      <c r="L32" s="37">
        <v>0</v>
      </c>
      <c r="M32" s="37">
        <v>0</v>
      </c>
      <c r="N32" s="37">
        <v>0</v>
      </c>
      <c r="O32" s="37">
        <v>0</v>
      </c>
      <c r="P32" s="37">
        <v>0</v>
      </c>
      <c r="Q32" s="37">
        <v>0</v>
      </c>
      <c r="R32" s="37">
        <v>0</v>
      </c>
      <c r="S32" s="37">
        <v>0</v>
      </c>
      <c r="T32" s="147" t="s">
        <v>212</v>
      </c>
      <c r="U32" s="147"/>
      <c r="V32" s="147"/>
      <c r="W32" s="37"/>
      <c r="X32" s="37"/>
      <c r="Y32" s="37"/>
      <c r="Z32" s="37"/>
      <c r="AA32" s="37"/>
      <c r="AB32" s="37"/>
      <c r="AC32" s="37"/>
      <c r="AD32" s="37"/>
      <c r="AE32" s="37"/>
      <c r="AF32" s="37"/>
    </row>
    <row r="33" spans="1:32" ht="14">
      <c r="A33" s="37">
        <v>33</v>
      </c>
      <c r="B33" s="37" t="s">
        <v>245</v>
      </c>
      <c r="C33" s="37" t="s">
        <v>214</v>
      </c>
      <c r="D33" s="37" t="s">
        <v>65</v>
      </c>
      <c r="E33" s="37" t="s">
        <v>64</v>
      </c>
      <c r="F33" s="37" t="s">
        <v>244</v>
      </c>
      <c r="G33" s="37">
        <v>0</v>
      </c>
      <c r="H33" s="37">
        <v>1</v>
      </c>
      <c r="I33" s="37">
        <v>0</v>
      </c>
      <c r="J33" s="37">
        <v>0</v>
      </c>
      <c r="K33" s="37">
        <v>0</v>
      </c>
      <c r="L33" s="37">
        <v>0</v>
      </c>
      <c r="M33" s="37">
        <v>0</v>
      </c>
      <c r="N33" s="37">
        <v>0</v>
      </c>
      <c r="O33" s="37">
        <v>0</v>
      </c>
      <c r="P33" s="37">
        <v>0</v>
      </c>
      <c r="Q33" s="37">
        <v>0</v>
      </c>
      <c r="R33" s="37">
        <v>0</v>
      </c>
      <c r="S33" s="37">
        <v>0</v>
      </c>
      <c r="T33" s="147" t="s">
        <v>214</v>
      </c>
      <c r="U33" s="147"/>
      <c r="V33" s="147"/>
      <c r="W33" s="37"/>
      <c r="X33" s="37"/>
      <c r="Y33" s="37"/>
      <c r="Z33" s="37"/>
      <c r="AA33" s="37"/>
      <c r="AB33" s="37"/>
      <c r="AC33" s="37"/>
      <c r="AD33" s="37"/>
      <c r="AE33" s="37"/>
      <c r="AF33" s="37"/>
    </row>
    <row r="34" spans="1:32" ht="14">
      <c r="A34" s="37">
        <v>34</v>
      </c>
      <c r="B34" s="37" t="s">
        <v>245</v>
      </c>
      <c r="C34" s="37" t="s">
        <v>216</v>
      </c>
      <c r="D34" s="37" t="s">
        <v>206</v>
      </c>
      <c r="E34" s="37" t="s">
        <v>147</v>
      </c>
      <c r="F34" s="37" t="s">
        <v>103</v>
      </c>
      <c r="G34" s="37">
        <v>1</v>
      </c>
      <c r="H34" s="37">
        <v>0</v>
      </c>
      <c r="I34" s="37">
        <v>0</v>
      </c>
      <c r="J34" s="37">
        <v>0</v>
      </c>
      <c r="K34" s="37">
        <v>0</v>
      </c>
      <c r="L34" s="37">
        <v>0</v>
      </c>
      <c r="M34" s="37">
        <v>1</v>
      </c>
      <c r="N34" s="37">
        <v>0</v>
      </c>
      <c r="O34" s="37">
        <v>0</v>
      </c>
      <c r="P34" s="37">
        <v>0</v>
      </c>
      <c r="Q34" s="37">
        <v>0</v>
      </c>
      <c r="R34" s="37">
        <v>0</v>
      </c>
      <c r="S34" s="37">
        <v>0</v>
      </c>
      <c r="T34" s="147" t="s">
        <v>216</v>
      </c>
      <c r="U34" s="147"/>
      <c r="V34" s="147"/>
      <c r="W34" s="147"/>
      <c r="X34" s="37"/>
      <c r="Y34" s="37"/>
      <c r="Z34" s="37"/>
      <c r="AA34" s="37"/>
      <c r="AB34" s="37"/>
      <c r="AC34" s="37"/>
      <c r="AD34" s="37"/>
      <c r="AE34" s="37"/>
      <c r="AF34" s="37"/>
    </row>
    <row r="35" spans="1:32" ht="14">
      <c r="A35" s="37">
        <v>35</v>
      </c>
      <c r="B35" s="37" t="s">
        <v>181</v>
      </c>
      <c r="C35" s="37" t="s">
        <v>217</v>
      </c>
      <c r="D35" s="37" t="s">
        <v>64</v>
      </c>
      <c r="E35" s="37" t="s">
        <v>67</v>
      </c>
      <c r="F35" s="37" t="s">
        <v>58</v>
      </c>
      <c r="G35" s="37">
        <v>0</v>
      </c>
      <c r="H35" s="37">
        <v>1</v>
      </c>
      <c r="I35" s="37">
        <v>0</v>
      </c>
      <c r="J35" s="37">
        <v>0</v>
      </c>
      <c r="K35" s="37">
        <v>0</v>
      </c>
      <c r="L35" s="37">
        <v>0</v>
      </c>
      <c r="M35" s="37">
        <v>0</v>
      </c>
      <c r="N35" s="37">
        <v>0</v>
      </c>
      <c r="O35" s="37">
        <v>0</v>
      </c>
      <c r="P35" s="37">
        <v>0</v>
      </c>
      <c r="Q35" s="37">
        <v>0</v>
      </c>
      <c r="R35" s="37">
        <v>0</v>
      </c>
      <c r="S35" s="37">
        <v>0</v>
      </c>
      <c r="T35" s="147" t="s">
        <v>217</v>
      </c>
      <c r="U35" s="147"/>
      <c r="V35" s="37"/>
      <c r="W35" s="37"/>
      <c r="X35" s="37"/>
      <c r="Y35" s="37"/>
      <c r="Z35" s="37"/>
      <c r="AA35" s="37"/>
      <c r="AB35" s="37"/>
      <c r="AC35" s="37"/>
      <c r="AD35" s="37"/>
      <c r="AE35" s="37"/>
      <c r="AF35" s="37"/>
    </row>
    <row r="36" spans="1:32" ht="14">
      <c r="A36" s="37">
        <v>36</v>
      </c>
      <c r="B36" s="37" t="s">
        <v>181</v>
      </c>
      <c r="C36" s="37" t="s">
        <v>219</v>
      </c>
      <c r="D36" s="37" t="s">
        <v>55</v>
      </c>
      <c r="E36" s="37" t="s">
        <v>60</v>
      </c>
      <c r="F36" s="37" t="s">
        <v>128</v>
      </c>
      <c r="G36" s="37">
        <v>0</v>
      </c>
      <c r="H36" s="37">
        <v>0</v>
      </c>
      <c r="I36" s="37">
        <v>1</v>
      </c>
      <c r="J36" s="37">
        <v>0</v>
      </c>
      <c r="K36" s="37">
        <v>0</v>
      </c>
      <c r="L36" s="37">
        <v>0</v>
      </c>
      <c r="M36" s="37">
        <v>0</v>
      </c>
      <c r="N36" s="37">
        <v>0</v>
      </c>
      <c r="O36" s="37">
        <v>0</v>
      </c>
      <c r="P36" s="37">
        <v>0</v>
      </c>
      <c r="Q36" s="37">
        <v>0</v>
      </c>
      <c r="R36" s="37">
        <v>0</v>
      </c>
      <c r="S36" s="37">
        <v>0</v>
      </c>
      <c r="T36" s="147" t="s">
        <v>219</v>
      </c>
      <c r="U36" s="147"/>
      <c r="V36" s="147"/>
      <c r="W36" s="147"/>
      <c r="X36" s="37"/>
      <c r="Y36" s="37"/>
      <c r="Z36" s="37"/>
      <c r="AA36" s="37"/>
      <c r="AB36" s="37"/>
      <c r="AC36" s="37"/>
      <c r="AD36" s="37"/>
      <c r="AE36" s="37"/>
      <c r="AF36" s="37"/>
    </row>
    <row r="37" spans="1:32" ht="14">
      <c r="A37" s="37">
        <v>37</v>
      </c>
      <c r="B37" s="37" t="s">
        <v>181</v>
      </c>
      <c r="C37" s="37" t="s">
        <v>220</v>
      </c>
      <c r="D37" s="37" t="s">
        <v>206</v>
      </c>
      <c r="E37" s="37" t="s">
        <v>208</v>
      </c>
      <c r="F37" s="37" t="s">
        <v>221</v>
      </c>
      <c r="G37" s="37">
        <v>1</v>
      </c>
      <c r="H37" s="37">
        <v>0</v>
      </c>
      <c r="I37" s="37">
        <v>0</v>
      </c>
      <c r="J37" s="37">
        <v>0</v>
      </c>
      <c r="K37" s="37">
        <v>0</v>
      </c>
      <c r="L37" s="37">
        <v>0</v>
      </c>
      <c r="M37" s="37">
        <v>1</v>
      </c>
      <c r="N37" s="37">
        <v>0</v>
      </c>
      <c r="O37" s="37">
        <v>0</v>
      </c>
      <c r="P37" s="37">
        <v>0</v>
      </c>
      <c r="Q37" s="37">
        <v>0</v>
      </c>
      <c r="R37" s="37">
        <v>0</v>
      </c>
      <c r="S37" s="37">
        <v>0</v>
      </c>
      <c r="T37" s="147" t="s">
        <v>220</v>
      </c>
      <c r="U37" s="147"/>
      <c r="V37" s="147"/>
      <c r="W37" s="37"/>
      <c r="X37" s="37"/>
      <c r="Y37" s="37"/>
      <c r="Z37" s="37"/>
      <c r="AA37" s="37"/>
      <c r="AB37" s="37"/>
      <c r="AC37" s="37"/>
      <c r="AD37" s="37"/>
      <c r="AE37" s="37"/>
      <c r="AF37" s="37"/>
    </row>
    <row r="38" spans="1:32" ht="14">
      <c r="A38" s="37">
        <v>38</v>
      </c>
      <c r="B38" s="37" t="s">
        <v>181</v>
      </c>
      <c r="C38" s="37" t="s">
        <v>222</v>
      </c>
      <c r="D38" s="37" t="s">
        <v>206</v>
      </c>
      <c r="E38" s="37" t="s">
        <v>73</v>
      </c>
      <c r="F38" s="37" t="s">
        <v>239</v>
      </c>
      <c r="G38" s="37">
        <v>1</v>
      </c>
      <c r="H38" s="37">
        <v>0</v>
      </c>
      <c r="I38" s="37">
        <v>1</v>
      </c>
      <c r="J38" s="37">
        <v>0</v>
      </c>
      <c r="K38" s="37">
        <v>0</v>
      </c>
      <c r="L38" s="37">
        <v>0</v>
      </c>
      <c r="M38" s="37">
        <v>0</v>
      </c>
      <c r="N38" s="37">
        <v>0</v>
      </c>
      <c r="O38" s="37">
        <v>0</v>
      </c>
      <c r="P38" s="37">
        <v>0</v>
      </c>
      <c r="Q38" s="37">
        <v>0</v>
      </c>
      <c r="R38" s="37">
        <v>0</v>
      </c>
      <c r="S38" s="37">
        <v>0</v>
      </c>
      <c r="T38" s="147" t="s">
        <v>222</v>
      </c>
      <c r="U38" s="147"/>
      <c r="V38" s="147"/>
      <c r="W38" s="147"/>
      <c r="X38" s="37"/>
      <c r="Y38" s="37"/>
      <c r="Z38" s="37"/>
      <c r="AA38" s="37"/>
      <c r="AB38" s="37"/>
      <c r="AC38" s="37"/>
      <c r="AD38" s="37"/>
      <c r="AE38" s="37"/>
      <c r="AF38" s="37"/>
    </row>
    <row r="39" spans="1:32" ht="14">
      <c r="A39" s="37">
        <v>39</v>
      </c>
      <c r="B39" s="37" t="s">
        <v>181</v>
      </c>
      <c r="C39" s="37" t="s">
        <v>223</v>
      </c>
      <c r="D39" s="37" t="s">
        <v>53</v>
      </c>
      <c r="E39" s="37" t="s">
        <v>70</v>
      </c>
      <c r="F39" s="37" t="s">
        <v>128</v>
      </c>
      <c r="G39" s="37">
        <v>1</v>
      </c>
      <c r="H39" s="37">
        <v>0</v>
      </c>
      <c r="I39" s="37">
        <v>1</v>
      </c>
      <c r="J39" s="37">
        <v>0</v>
      </c>
      <c r="K39" s="37">
        <v>0</v>
      </c>
      <c r="L39" s="37">
        <v>0</v>
      </c>
      <c r="M39" s="37">
        <v>0</v>
      </c>
      <c r="N39" s="37">
        <v>0</v>
      </c>
      <c r="O39" s="37">
        <v>0</v>
      </c>
      <c r="P39" s="37">
        <v>0</v>
      </c>
      <c r="Q39" s="37">
        <v>0</v>
      </c>
      <c r="R39" s="37">
        <v>0</v>
      </c>
      <c r="S39" s="37">
        <v>0</v>
      </c>
      <c r="T39" s="147" t="s">
        <v>223</v>
      </c>
      <c r="U39" s="147"/>
      <c r="V39" s="147"/>
      <c r="W39" s="147"/>
      <c r="X39" s="37"/>
      <c r="Y39" s="37"/>
      <c r="Z39" s="37"/>
      <c r="AA39" s="37"/>
      <c r="AB39" s="37"/>
      <c r="AC39" s="37"/>
      <c r="AD39" s="37"/>
      <c r="AE39" s="37"/>
      <c r="AF39" s="37"/>
    </row>
    <row r="40" spans="1:32" ht="14">
      <c r="A40" s="37">
        <v>40</v>
      </c>
      <c r="B40" s="37" t="s">
        <v>181</v>
      </c>
      <c r="C40" s="37" t="s">
        <v>224</v>
      </c>
      <c r="D40" s="37" t="s">
        <v>53</v>
      </c>
      <c r="E40" s="37" t="s">
        <v>64</v>
      </c>
      <c r="F40" s="37" t="s">
        <v>225</v>
      </c>
      <c r="G40" s="37">
        <v>1</v>
      </c>
      <c r="H40" s="37">
        <v>1</v>
      </c>
      <c r="I40" s="37">
        <v>0</v>
      </c>
      <c r="J40" s="37">
        <v>0</v>
      </c>
      <c r="K40" s="37">
        <v>0</v>
      </c>
      <c r="L40" s="37">
        <v>0</v>
      </c>
      <c r="M40" s="37">
        <v>0</v>
      </c>
      <c r="N40" s="37">
        <v>0</v>
      </c>
      <c r="O40" s="37">
        <v>0</v>
      </c>
      <c r="P40" s="37">
        <v>0</v>
      </c>
      <c r="Q40" s="37">
        <v>0</v>
      </c>
      <c r="R40" s="37">
        <v>0</v>
      </c>
      <c r="S40" s="37">
        <v>0</v>
      </c>
      <c r="T40" s="147" t="s">
        <v>224</v>
      </c>
      <c r="U40" s="147"/>
      <c r="V40" s="37"/>
      <c r="W40" s="37"/>
      <c r="X40" s="37"/>
      <c r="Y40" s="37"/>
      <c r="Z40" s="37"/>
      <c r="AA40" s="37"/>
      <c r="AB40" s="37"/>
      <c r="AC40" s="37"/>
      <c r="AD40" s="37"/>
      <c r="AE40" s="37"/>
      <c r="AF40" s="37"/>
    </row>
    <row r="41" spans="1:32" ht="14">
      <c r="A41" s="37">
        <v>41</v>
      </c>
      <c r="B41" s="37" t="s">
        <v>181</v>
      </c>
      <c r="C41" s="37" t="s">
        <v>226</v>
      </c>
      <c r="D41" s="37" t="s">
        <v>64</v>
      </c>
      <c r="E41" s="37" t="s">
        <v>72</v>
      </c>
      <c r="F41" s="37" t="s">
        <v>239</v>
      </c>
      <c r="G41" s="37">
        <v>0</v>
      </c>
      <c r="H41" s="37">
        <v>1</v>
      </c>
      <c r="I41" s="37">
        <v>0</v>
      </c>
      <c r="J41" s="37">
        <v>0</v>
      </c>
      <c r="K41" s="37">
        <v>0</v>
      </c>
      <c r="L41" s="37">
        <v>0</v>
      </c>
      <c r="M41" s="37">
        <v>0</v>
      </c>
      <c r="N41" s="37">
        <v>0</v>
      </c>
      <c r="O41" s="37">
        <v>0</v>
      </c>
      <c r="P41" s="37">
        <v>0</v>
      </c>
      <c r="Q41" s="37">
        <v>0</v>
      </c>
      <c r="R41" s="37">
        <v>0</v>
      </c>
      <c r="S41" s="37">
        <v>0</v>
      </c>
      <c r="T41" s="147" t="s">
        <v>226</v>
      </c>
      <c r="U41" s="147"/>
      <c r="V41" s="147"/>
      <c r="W41" s="37"/>
      <c r="X41" s="37"/>
      <c r="Y41" s="37"/>
      <c r="Z41" s="37"/>
      <c r="AA41" s="37"/>
      <c r="AB41" s="37"/>
      <c r="AC41" s="37"/>
      <c r="AD41" s="37"/>
      <c r="AE41" s="37"/>
      <c r="AF41" s="37"/>
    </row>
    <row r="42" spans="1:32" ht="14">
      <c r="A42" s="37">
        <v>42</v>
      </c>
      <c r="B42" s="37" t="s">
        <v>181</v>
      </c>
      <c r="C42" s="37" t="s">
        <v>228</v>
      </c>
      <c r="D42" s="37" t="s">
        <v>29</v>
      </c>
      <c r="E42" s="37" t="s">
        <v>208</v>
      </c>
      <c r="F42" s="37" t="s">
        <v>239</v>
      </c>
      <c r="G42" s="37">
        <v>1</v>
      </c>
      <c r="H42" s="37">
        <v>0</v>
      </c>
      <c r="I42" s="37">
        <v>0</v>
      </c>
      <c r="J42" s="37">
        <v>0</v>
      </c>
      <c r="K42" s="37">
        <v>0</v>
      </c>
      <c r="L42" s="37">
        <v>0</v>
      </c>
      <c r="M42" s="37">
        <v>1</v>
      </c>
      <c r="N42" s="37">
        <v>0</v>
      </c>
      <c r="O42" s="37">
        <v>0</v>
      </c>
      <c r="P42" s="37">
        <v>0</v>
      </c>
      <c r="Q42" s="37">
        <v>0</v>
      </c>
      <c r="R42" s="37">
        <v>0</v>
      </c>
      <c r="S42" s="37">
        <v>0</v>
      </c>
      <c r="T42" s="147" t="s">
        <v>228</v>
      </c>
      <c r="U42" s="147"/>
      <c r="V42" s="147"/>
      <c r="W42" s="37"/>
      <c r="X42" s="37"/>
      <c r="Y42" s="37"/>
      <c r="Z42" s="37"/>
      <c r="AA42" s="37"/>
      <c r="AB42" s="37"/>
      <c r="AC42" s="37"/>
      <c r="AD42" s="37"/>
      <c r="AE42" s="37"/>
      <c r="AF42" s="37"/>
    </row>
    <row r="43" spans="1:32" ht="14">
      <c r="A43" s="37">
        <v>43</v>
      </c>
      <c r="B43" s="37" t="s">
        <v>181</v>
      </c>
      <c r="C43" s="37" t="s">
        <v>229</v>
      </c>
      <c r="D43" s="37" t="s">
        <v>95</v>
      </c>
      <c r="E43" s="37" t="s">
        <v>67</v>
      </c>
      <c r="F43" s="37" t="s">
        <v>128</v>
      </c>
      <c r="G43" s="37">
        <v>0</v>
      </c>
      <c r="H43" s="37">
        <v>0</v>
      </c>
      <c r="I43" s="37">
        <v>1</v>
      </c>
      <c r="J43" s="37">
        <v>0</v>
      </c>
      <c r="K43" s="37">
        <v>0</v>
      </c>
      <c r="L43" s="37">
        <v>0</v>
      </c>
      <c r="M43" s="37">
        <v>0</v>
      </c>
      <c r="N43" s="37">
        <v>0</v>
      </c>
      <c r="O43" s="37">
        <v>0</v>
      </c>
      <c r="P43" s="37">
        <v>0</v>
      </c>
      <c r="Q43" s="37">
        <v>0</v>
      </c>
      <c r="R43" s="37">
        <v>0</v>
      </c>
      <c r="S43" s="37">
        <v>0</v>
      </c>
      <c r="T43" s="147" t="s">
        <v>229</v>
      </c>
      <c r="U43" s="147"/>
      <c r="V43" s="147"/>
      <c r="W43" s="37"/>
      <c r="X43" s="37"/>
      <c r="Y43" s="37"/>
      <c r="Z43" s="37"/>
      <c r="AA43" s="37"/>
      <c r="AB43" s="37"/>
      <c r="AC43" s="37"/>
      <c r="AD43" s="37"/>
      <c r="AE43" s="37"/>
      <c r="AF43" s="37"/>
    </row>
    <row r="44" spans="1:32" ht="14">
      <c r="A44" s="37">
        <v>44</v>
      </c>
      <c r="B44" s="37" t="s">
        <v>181</v>
      </c>
      <c r="C44" s="37" t="s">
        <v>230</v>
      </c>
      <c r="D44" s="37" t="s">
        <v>64</v>
      </c>
      <c r="E44" s="37" t="s">
        <v>95</v>
      </c>
      <c r="F44" s="37" t="s">
        <v>157</v>
      </c>
      <c r="G44" s="37">
        <v>0</v>
      </c>
      <c r="H44" s="37">
        <v>1</v>
      </c>
      <c r="I44" s="37">
        <v>0</v>
      </c>
      <c r="J44" s="37">
        <v>0</v>
      </c>
      <c r="K44" s="37">
        <v>0</v>
      </c>
      <c r="L44" s="37">
        <v>0</v>
      </c>
      <c r="M44" s="37">
        <v>0</v>
      </c>
      <c r="N44" s="37">
        <v>0</v>
      </c>
      <c r="O44" s="37">
        <v>0</v>
      </c>
      <c r="P44" s="37">
        <v>0</v>
      </c>
      <c r="Q44" s="37">
        <v>0</v>
      </c>
      <c r="R44" s="37">
        <v>0</v>
      </c>
      <c r="S44" s="37">
        <v>0</v>
      </c>
      <c r="T44" s="147" t="s">
        <v>230</v>
      </c>
      <c r="U44" s="147"/>
      <c r="V44" s="147"/>
      <c r="W44" s="37"/>
      <c r="X44" s="37"/>
      <c r="Y44" s="37"/>
      <c r="Z44" s="37"/>
      <c r="AA44" s="37"/>
      <c r="AB44" s="37"/>
      <c r="AC44" s="37"/>
      <c r="AD44" s="37"/>
      <c r="AE44" s="37"/>
      <c r="AF44" s="37"/>
    </row>
    <row r="45" spans="1:32" ht="14">
      <c r="A45" s="37">
        <v>45</v>
      </c>
      <c r="B45" s="37" t="s">
        <v>181</v>
      </c>
      <c r="C45" s="37" t="s">
        <v>231</v>
      </c>
      <c r="D45" s="37" t="s">
        <v>53</v>
      </c>
      <c r="E45" s="37" t="s">
        <v>206</v>
      </c>
      <c r="F45" s="37" t="s">
        <v>225</v>
      </c>
      <c r="G45" s="37">
        <v>1</v>
      </c>
      <c r="H45" s="37">
        <v>0</v>
      </c>
      <c r="I45" s="37">
        <v>0</v>
      </c>
      <c r="J45" s="37">
        <v>0</v>
      </c>
      <c r="K45" s="37">
        <v>0</v>
      </c>
      <c r="L45" s="37">
        <v>0</v>
      </c>
      <c r="M45" s="37">
        <v>0</v>
      </c>
      <c r="N45" s="37">
        <v>0</v>
      </c>
      <c r="O45" s="37">
        <v>0</v>
      </c>
      <c r="P45" s="37">
        <v>0</v>
      </c>
      <c r="Q45" s="37">
        <v>0</v>
      </c>
      <c r="R45" s="37">
        <v>0</v>
      </c>
      <c r="S45" s="37">
        <v>0</v>
      </c>
      <c r="T45" s="147" t="s">
        <v>231</v>
      </c>
      <c r="U45" s="147"/>
      <c r="V45" s="147"/>
      <c r="W45" s="147"/>
      <c r="X45" s="37"/>
      <c r="Y45" s="37"/>
      <c r="Z45" s="37"/>
      <c r="AA45" s="37"/>
      <c r="AB45" s="37"/>
      <c r="AC45" s="37"/>
      <c r="AD45" s="37"/>
      <c r="AE45" s="37"/>
      <c r="AF45" s="37"/>
    </row>
    <row r="46" spans="1:32" ht="14">
      <c r="A46" s="37">
        <v>46</v>
      </c>
      <c r="B46" s="37" t="s">
        <v>181</v>
      </c>
      <c r="C46" s="37" t="s">
        <v>232</v>
      </c>
      <c r="D46" s="37" t="s">
        <v>323</v>
      </c>
      <c r="E46" s="37" t="s">
        <v>65</v>
      </c>
      <c r="F46" s="37" t="s">
        <v>128</v>
      </c>
      <c r="G46" s="37">
        <v>0</v>
      </c>
      <c r="H46" s="37">
        <v>1</v>
      </c>
      <c r="I46" s="37">
        <v>0</v>
      </c>
      <c r="J46" s="37">
        <v>0</v>
      </c>
      <c r="K46" s="37">
        <v>0</v>
      </c>
      <c r="L46" s="37">
        <v>0</v>
      </c>
      <c r="M46" s="37">
        <v>0</v>
      </c>
      <c r="N46" s="37">
        <v>0</v>
      </c>
      <c r="O46" s="37">
        <v>0</v>
      </c>
      <c r="P46" s="37">
        <v>0</v>
      </c>
      <c r="Q46" s="37">
        <v>0</v>
      </c>
      <c r="R46" s="37">
        <v>0</v>
      </c>
      <c r="S46" s="37">
        <v>0</v>
      </c>
      <c r="T46" s="147" t="s">
        <v>232</v>
      </c>
      <c r="U46" s="147"/>
      <c r="V46" s="147"/>
      <c r="W46" s="37"/>
      <c r="X46" s="37"/>
      <c r="Y46" s="37"/>
      <c r="Z46" s="37"/>
      <c r="AA46" s="37"/>
      <c r="AB46" s="37"/>
      <c r="AC46" s="37"/>
      <c r="AD46" s="37"/>
      <c r="AE46" s="37"/>
      <c r="AF46" s="37"/>
    </row>
    <row r="47" spans="1:32" ht="14">
      <c r="A47" s="37">
        <v>47</v>
      </c>
      <c r="B47" s="37" t="s">
        <v>23</v>
      </c>
      <c r="C47" s="37" t="s">
        <v>324</v>
      </c>
      <c r="D47" s="37" t="s">
        <v>64</v>
      </c>
      <c r="E47" s="37" t="s">
        <v>65</v>
      </c>
      <c r="F47" s="37" t="s">
        <v>130</v>
      </c>
      <c r="G47" s="37">
        <v>0</v>
      </c>
      <c r="H47" s="37">
        <v>1</v>
      </c>
      <c r="I47" s="37">
        <v>0</v>
      </c>
      <c r="J47" s="37">
        <v>0</v>
      </c>
      <c r="K47" s="37">
        <v>0</v>
      </c>
      <c r="L47" s="37">
        <v>0</v>
      </c>
      <c r="M47" s="37">
        <v>0</v>
      </c>
      <c r="N47" s="37">
        <v>0</v>
      </c>
      <c r="O47" s="37">
        <v>0</v>
      </c>
      <c r="P47" s="37">
        <v>0</v>
      </c>
      <c r="Q47" s="37">
        <v>0</v>
      </c>
      <c r="R47" s="37">
        <v>0</v>
      </c>
      <c r="S47" s="37">
        <v>0</v>
      </c>
      <c r="T47" s="147" t="s">
        <v>324</v>
      </c>
      <c r="U47" s="147"/>
      <c r="V47" s="147"/>
      <c r="W47" s="37"/>
      <c r="X47" s="37"/>
      <c r="Y47" s="37"/>
      <c r="Z47" s="37"/>
      <c r="AA47" s="37"/>
      <c r="AB47" s="37"/>
      <c r="AC47" s="37"/>
      <c r="AD47" s="37"/>
      <c r="AE47" s="37"/>
      <c r="AF47" s="37"/>
    </row>
    <row r="48" spans="1:32" ht="14">
      <c r="A48" s="37">
        <v>48</v>
      </c>
      <c r="B48" s="37" t="s">
        <v>23</v>
      </c>
      <c r="C48" s="37" t="s">
        <v>325</v>
      </c>
      <c r="D48" s="37" t="s">
        <v>57</v>
      </c>
      <c r="E48" s="37" t="s">
        <v>29</v>
      </c>
      <c r="F48" s="37" t="s">
        <v>239</v>
      </c>
      <c r="G48" s="37">
        <v>0</v>
      </c>
      <c r="H48" s="37">
        <v>0</v>
      </c>
      <c r="I48" s="37">
        <v>1</v>
      </c>
      <c r="J48" s="37">
        <v>0</v>
      </c>
      <c r="K48" s="37">
        <v>0</v>
      </c>
      <c r="L48" s="37">
        <v>0</v>
      </c>
      <c r="M48" s="37">
        <v>1</v>
      </c>
      <c r="N48" s="37">
        <v>0</v>
      </c>
      <c r="O48" s="37">
        <v>0</v>
      </c>
      <c r="P48" s="37">
        <v>0</v>
      </c>
      <c r="Q48" s="37">
        <v>0</v>
      </c>
      <c r="R48" s="37">
        <v>0</v>
      </c>
      <c r="S48" s="37">
        <v>0</v>
      </c>
      <c r="T48" s="147" t="s">
        <v>325</v>
      </c>
      <c r="U48" s="147"/>
      <c r="V48" s="147"/>
      <c r="W48" s="147"/>
      <c r="X48" s="37"/>
      <c r="Y48" s="37"/>
      <c r="Z48" s="37"/>
      <c r="AA48" s="37"/>
      <c r="AB48" s="37"/>
      <c r="AC48" s="37"/>
      <c r="AD48" s="37"/>
      <c r="AE48" s="37"/>
      <c r="AF48" s="37"/>
    </row>
    <row r="49" spans="1:32" ht="14">
      <c r="A49" s="37">
        <v>49</v>
      </c>
      <c r="B49" s="37" t="s">
        <v>23</v>
      </c>
      <c r="C49" s="37" t="s">
        <v>326</v>
      </c>
      <c r="D49" s="37" t="s">
        <v>57</v>
      </c>
      <c r="E49" s="37" t="s">
        <v>91</v>
      </c>
      <c r="F49" s="37" t="s">
        <v>225</v>
      </c>
      <c r="G49" s="37">
        <v>0</v>
      </c>
      <c r="H49" s="37">
        <v>0</v>
      </c>
      <c r="I49" s="37">
        <v>1</v>
      </c>
      <c r="J49" s="37">
        <v>0</v>
      </c>
      <c r="K49" s="37">
        <v>0</v>
      </c>
      <c r="L49" s="37">
        <v>0</v>
      </c>
      <c r="M49" s="37">
        <v>0</v>
      </c>
      <c r="N49" s="37">
        <v>0</v>
      </c>
      <c r="O49" s="37">
        <v>0</v>
      </c>
      <c r="P49" s="37">
        <v>0</v>
      </c>
      <c r="Q49" s="37">
        <v>0</v>
      </c>
      <c r="R49" s="37">
        <v>0</v>
      </c>
      <c r="S49" s="37">
        <v>0</v>
      </c>
      <c r="T49" s="147" t="s">
        <v>326</v>
      </c>
      <c r="U49" s="14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</row>
    <row r="50" spans="1:32" ht="14">
      <c r="A50" s="37">
        <v>50</v>
      </c>
      <c r="B50" s="37" t="s">
        <v>23</v>
      </c>
      <c r="C50" s="37" t="s">
        <v>327</v>
      </c>
      <c r="D50" s="37" t="s">
        <v>62</v>
      </c>
      <c r="E50" s="37" t="s">
        <v>328</v>
      </c>
      <c r="F50" s="37" t="s">
        <v>128</v>
      </c>
      <c r="G50" s="37">
        <v>1</v>
      </c>
      <c r="H50" s="37">
        <v>1</v>
      </c>
      <c r="I50" s="37">
        <v>1</v>
      </c>
      <c r="J50" s="37">
        <v>0</v>
      </c>
      <c r="K50" s="37">
        <v>0</v>
      </c>
      <c r="L50" s="37">
        <v>0</v>
      </c>
      <c r="M50" s="37">
        <v>0</v>
      </c>
      <c r="N50" s="37">
        <v>0</v>
      </c>
      <c r="O50" s="37">
        <v>0</v>
      </c>
      <c r="P50" s="37">
        <v>0</v>
      </c>
      <c r="Q50" s="37">
        <v>0</v>
      </c>
      <c r="R50" s="37">
        <v>0</v>
      </c>
      <c r="S50" s="37">
        <v>0</v>
      </c>
      <c r="T50" s="147" t="s">
        <v>327</v>
      </c>
      <c r="U50" s="14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</row>
    <row r="51" spans="1:32" ht="14">
      <c r="A51" s="37">
        <v>51</v>
      </c>
      <c r="B51" s="37" t="s">
        <v>23</v>
      </c>
      <c r="C51" s="37" t="s">
        <v>329</v>
      </c>
      <c r="D51" s="37" t="s">
        <v>58</v>
      </c>
      <c r="E51" s="37" t="s">
        <v>64</v>
      </c>
      <c r="F51" s="37" t="s">
        <v>225</v>
      </c>
      <c r="G51" s="37">
        <v>0</v>
      </c>
      <c r="H51" s="37">
        <v>1</v>
      </c>
      <c r="I51" s="37">
        <v>0</v>
      </c>
      <c r="J51" s="37">
        <v>1</v>
      </c>
      <c r="K51" s="37">
        <v>0</v>
      </c>
      <c r="L51" s="37">
        <v>0</v>
      </c>
      <c r="M51" s="37">
        <v>0</v>
      </c>
      <c r="N51" s="37">
        <v>0</v>
      </c>
      <c r="O51" s="37">
        <v>0</v>
      </c>
      <c r="P51" s="37">
        <v>0</v>
      </c>
      <c r="Q51" s="37">
        <v>0</v>
      </c>
      <c r="R51" s="37">
        <v>0</v>
      </c>
      <c r="S51" s="37">
        <v>0</v>
      </c>
      <c r="T51" s="147" t="s">
        <v>329</v>
      </c>
      <c r="U51" s="14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</row>
    <row r="52" spans="1:32" ht="14">
      <c r="A52" s="37">
        <v>52</v>
      </c>
      <c r="B52" s="37" t="s">
        <v>23</v>
      </c>
      <c r="C52" s="37" t="s">
        <v>330</v>
      </c>
      <c r="D52" s="37" t="s">
        <v>67</v>
      </c>
      <c r="E52" s="37" t="s">
        <v>95</v>
      </c>
      <c r="F52" s="37" t="s">
        <v>22</v>
      </c>
      <c r="G52" s="37">
        <v>0</v>
      </c>
      <c r="H52" s="37">
        <v>0</v>
      </c>
      <c r="I52" s="37">
        <v>1</v>
      </c>
      <c r="J52" s="37">
        <v>0</v>
      </c>
      <c r="K52" s="37">
        <v>0</v>
      </c>
      <c r="L52" s="37">
        <v>0</v>
      </c>
      <c r="M52" s="37">
        <v>0</v>
      </c>
      <c r="N52" s="37">
        <v>0</v>
      </c>
      <c r="O52" s="37">
        <v>0</v>
      </c>
      <c r="P52" s="37">
        <v>0</v>
      </c>
      <c r="Q52" s="37">
        <v>0</v>
      </c>
      <c r="R52" s="37">
        <v>0</v>
      </c>
      <c r="S52" s="37">
        <v>0</v>
      </c>
      <c r="T52" s="147" t="s">
        <v>330</v>
      </c>
      <c r="U52" s="147"/>
      <c r="V52" s="147"/>
      <c r="W52" s="37"/>
      <c r="X52" s="37"/>
      <c r="Y52" s="37"/>
      <c r="Z52" s="37"/>
      <c r="AA52" s="37"/>
      <c r="AB52" s="37"/>
      <c r="AC52" s="37"/>
      <c r="AD52" s="37"/>
      <c r="AE52" s="37"/>
      <c r="AF52" s="37"/>
    </row>
    <row r="53" spans="1:32" ht="14">
      <c r="A53" s="37">
        <v>53</v>
      </c>
      <c r="B53" s="37" t="s">
        <v>23</v>
      </c>
      <c r="C53" s="37" t="s">
        <v>331</v>
      </c>
      <c r="D53" s="37" t="s">
        <v>95</v>
      </c>
      <c r="E53" s="37" t="s">
        <v>64</v>
      </c>
      <c r="F53" s="37" t="s">
        <v>22</v>
      </c>
      <c r="G53" s="37">
        <v>0</v>
      </c>
      <c r="H53" s="37">
        <v>1</v>
      </c>
      <c r="I53" s="37">
        <v>0</v>
      </c>
      <c r="J53" s="37">
        <v>0</v>
      </c>
      <c r="K53" s="37">
        <v>0</v>
      </c>
      <c r="L53" s="37">
        <v>0</v>
      </c>
      <c r="M53" s="37">
        <v>0</v>
      </c>
      <c r="N53" s="37">
        <v>0</v>
      </c>
      <c r="O53" s="37">
        <v>0</v>
      </c>
      <c r="P53" s="37">
        <v>0</v>
      </c>
      <c r="Q53" s="37">
        <v>0</v>
      </c>
      <c r="R53" s="37">
        <v>0</v>
      </c>
      <c r="S53" s="37">
        <v>0</v>
      </c>
      <c r="T53" s="147" t="s">
        <v>331</v>
      </c>
      <c r="U53" s="147"/>
      <c r="V53" s="147"/>
      <c r="W53" s="147"/>
      <c r="X53" s="37"/>
      <c r="Y53" s="37"/>
      <c r="Z53" s="37"/>
      <c r="AA53" s="37"/>
      <c r="AB53" s="37"/>
      <c r="AC53" s="37"/>
      <c r="AD53" s="37"/>
      <c r="AE53" s="37"/>
      <c r="AF53" s="37"/>
    </row>
    <row r="54" spans="1:32" ht="14">
      <c r="A54" s="37">
        <v>54</v>
      </c>
      <c r="B54" s="37" t="s">
        <v>23</v>
      </c>
      <c r="C54" s="37" t="s">
        <v>332</v>
      </c>
      <c r="D54" s="37" t="s">
        <v>57</v>
      </c>
      <c r="E54" s="37" t="s">
        <v>53</v>
      </c>
      <c r="F54" s="37" t="s">
        <v>239</v>
      </c>
      <c r="G54" s="37">
        <v>1</v>
      </c>
      <c r="H54" s="37">
        <v>0</v>
      </c>
      <c r="I54" s="37">
        <v>1</v>
      </c>
      <c r="J54" s="37">
        <v>0</v>
      </c>
      <c r="K54" s="37">
        <v>0</v>
      </c>
      <c r="L54" s="37">
        <v>0</v>
      </c>
      <c r="M54" s="37">
        <v>0</v>
      </c>
      <c r="N54" s="37">
        <v>0</v>
      </c>
      <c r="O54" s="37">
        <v>0</v>
      </c>
      <c r="P54" s="37">
        <v>0</v>
      </c>
      <c r="Q54" s="37">
        <v>0</v>
      </c>
      <c r="R54" s="37">
        <v>0</v>
      </c>
      <c r="S54" s="37">
        <v>0</v>
      </c>
      <c r="T54" s="147" t="s">
        <v>332</v>
      </c>
      <c r="U54" s="147"/>
      <c r="V54" s="147"/>
      <c r="W54" s="37"/>
      <c r="X54" s="37"/>
      <c r="Y54" s="37"/>
      <c r="Z54" s="37"/>
      <c r="AA54" s="37"/>
      <c r="AB54" s="37"/>
      <c r="AC54" s="37"/>
      <c r="AD54" s="37"/>
      <c r="AE54" s="37"/>
      <c r="AF54" s="37"/>
    </row>
    <row r="55" spans="1:32" ht="14">
      <c r="A55" s="37">
        <v>55</v>
      </c>
      <c r="B55" s="37" t="s">
        <v>23</v>
      </c>
      <c r="C55" s="37" t="s">
        <v>333</v>
      </c>
      <c r="D55" s="37" t="s">
        <v>67</v>
      </c>
      <c r="E55" s="37" t="s">
        <v>95</v>
      </c>
      <c r="F55" s="37" t="s">
        <v>22</v>
      </c>
      <c r="G55" s="37">
        <v>0</v>
      </c>
      <c r="H55" s="37">
        <v>1</v>
      </c>
      <c r="I55" s="37">
        <v>0</v>
      </c>
      <c r="J55" s="37">
        <v>0</v>
      </c>
      <c r="K55" s="37">
        <v>0</v>
      </c>
      <c r="L55" s="37">
        <v>0</v>
      </c>
      <c r="M55" s="37">
        <v>0</v>
      </c>
      <c r="N55" s="37">
        <v>0</v>
      </c>
      <c r="O55" s="37">
        <v>0</v>
      </c>
      <c r="P55" s="37">
        <v>0</v>
      </c>
      <c r="Q55" s="37">
        <v>0</v>
      </c>
      <c r="R55" s="37">
        <v>0</v>
      </c>
      <c r="S55" s="37">
        <v>0</v>
      </c>
      <c r="T55" s="147" t="s">
        <v>333</v>
      </c>
      <c r="U55" s="147"/>
      <c r="V55" s="147"/>
      <c r="W55" s="147"/>
      <c r="X55" s="147"/>
      <c r="Y55" s="37"/>
      <c r="Z55" s="37"/>
      <c r="AA55" s="37"/>
      <c r="AB55" s="37"/>
      <c r="AC55" s="37"/>
      <c r="AD55" s="37"/>
      <c r="AE55" s="37"/>
      <c r="AF55" s="37"/>
    </row>
    <row r="56" spans="1:32" ht="14">
      <c r="A56" s="37">
        <v>56</v>
      </c>
      <c r="B56" s="37" t="s">
        <v>23</v>
      </c>
      <c r="C56" s="37" t="s">
        <v>187</v>
      </c>
      <c r="D56" s="37" t="s">
        <v>55</v>
      </c>
      <c r="E56" s="37" t="s">
        <v>208</v>
      </c>
      <c r="F56" s="37" t="s">
        <v>22</v>
      </c>
      <c r="G56" s="37">
        <v>0</v>
      </c>
      <c r="H56" s="37">
        <v>0</v>
      </c>
      <c r="I56" s="37">
        <v>1</v>
      </c>
      <c r="J56" s="37">
        <v>0</v>
      </c>
      <c r="K56" s="37">
        <v>0</v>
      </c>
      <c r="L56" s="37">
        <v>0</v>
      </c>
      <c r="M56" s="37">
        <v>1</v>
      </c>
      <c r="N56" s="37">
        <v>0</v>
      </c>
      <c r="O56" s="37">
        <v>0</v>
      </c>
      <c r="P56" s="37">
        <v>0</v>
      </c>
      <c r="Q56" s="37">
        <v>0</v>
      </c>
      <c r="R56" s="37">
        <v>0</v>
      </c>
      <c r="S56" s="37">
        <v>0</v>
      </c>
      <c r="T56" s="37" t="s">
        <v>187</v>
      </c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  <c r="AF56" s="37"/>
    </row>
    <row r="57" spans="1:32" ht="14">
      <c r="A57" s="37">
        <v>57</v>
      </c>
      <c r="B57" s="37" t="s">
        <v>23</v>
      </c>
      <c r="C57" s="37" t="s">
        <v>188</v>
      </c>
      <c r="D57" s="37" t="s">
        <v>64</v>
      </c>
      <c r="E57" s="37" t="s">
        <v>328</v>
      </c>
      <c r="F57" s="37" t="s">
        <v>128</v>
      </c>
      <c r="G57" s="37">
        <v>0</v>
      </c>
      <c r="H57" s="37">
        <v>1</v>
      </c>
      <c r="I57" s="37">
        <v>1</v>
      </c>
      <c r="J57" s="37">
        <v>0</v>
      </c>
      <c r="K57" s="37">
        <v>0</v>
      </c>
      <c r="L57" s="37">
        <v>0</v>
      </c>
      <c r="M57" s="37">
        <v>0</v>
      </c>
      <c r="N57" s="37">
        <v>0</v>
      </c>
      <c r="O57" s="37">
        <v>0</v>
      </c>
      <c r="P57" s="37">
        <v>0</v>
      </c>
      <c r="Q57" s="37">
        <v>0</v>
      </c>
      <c r="R57" s="37">
        <v>0</v>
      </c>
      <c r="S57" s="37">
        <v>0</v>
      </c>
      <c r="T57" s="147" t="s">
        <v>188</v>
      </c>
      <c r="U57" s="147"/>
      <c r="V57" s="147"/>
      <c r="W57" s="147"/>
      <c r="X57" s="37"/>
      <c r="Y57" s="37"/>
      <c r="Z57" s="37"/>
      <c r="AA57" s="37"/>
      <c r="AB57" s="37"/>
      <c r="AC57" s="37"/>
      <c r="AD57" s="37"/>
      <c r="AE57" s="37"/>
      <c r="AF57" s="37"/>
    </row>
    <row r="58" spans="1:32" ht="14">
      <c r="A58" s="37">
        <v>58</v>
      </c>
      <c r="B58" s="37" t="s">
        <v>23</v>
      </c>
      <c r="C58" s="37" t="s">
        <v>189</v>
      </c>
      <c r="D58" s="37" t="s">
        <v>141</v>
      </c>
      <c r="E58" s="37" t="s">
        <v>671</v>
      </c>
      <c r="F58" s="37" t="s">
        <v>36</v>
      </c>
      <c r="G58" s="37">
        <v>0</v>
      </c>
      <c r="H58" s="37">
        <v>1</v>
      </c>
      <c r="I58" s="37">
        <v>0</v>
      </c>
      <c r="J58" s="37">
        <v>0</v>
      </c>
      <c r="K58" s="37">
        <v>0</v>
      </c>
      <c r="L58" s="37">
        <v>0</v>
      </c>
      <c r="M58" s="37">
        <v>1</v>
      </c>
      <c r="N58" s="37">
        <v>0</v>
      </c>
      <c r="O58" s="37">
        <v>0</v>
      </c>
      <c r="P58" s="37">
        <v>0</v>
      </c>
      <c r="Q58" s="37">
        <v>0</v>
      </c>
      <c r="R58" s="37">
        <v>0</v>
      </c>
      <c r="S58" s="37">
        <v>0</v>
      </c>
      <c r="T58" s="147" t="s">
        <v>189</v>
      </c>
      <c r="U58" s="147"/>
      <c r="V58" s="147"/>
      <c r="W58" s="37"/>
      <c r="X58" s="37"/>
      <c r="Y58" s="37"/>
      <c r="Z58" s="37"/>
      <c r="AA58" s="37"/>
      <c r="AB58" s="37"/>
      <c r="AC58" s="37"/>
      <c r="AD58" s="37"/>
      <c r="AE58" s="37"/>
      <c r="AF58" s="37"/>
    </row>
    <row r="59" spans="1:32" ht="14">
      <c r="A59" s="37">
        <v>59</v>
      </c>
      <c r="B59" s="37" t="s">
        <v>23</v>
      </c>
      <c r="C59" s="37" t="s">
        <v>191</v>
      </c>
      <c r="D59" s="37" t="s">
        <v>672</v>
      </c>
      <c r="E59" s="37" t="s">
        <v>673</v>
      </c>
      <c r="F59" s="37" t="s">
        <v>36</v>
      </c>
      <c r="G59" s="37">
        <v>1</v>
      </c>
      <c r="H59" s="37">
        <v>1</v>
      </c>
      <c r="I59" s="37">
        <v>0</v>
      </c>
      <c r="J59" s="37">
        <v>0</v>
      </c>
      <c r="K59" s="37">
        <v>0</v>
      </c>
      <c r="L59" s="37">
        <v>0</v>
      </c>
      <c r="M59" s="37">
        <v>0</v>
      </c>
      <c r="N59" s="37">
        <v>0</v>
      </c>
      <c r="O59" s="37">
        <v>0</v>
      </c>
      <c r="P59" s="37">
        <v>0</v>
      </c>
      <c r="Q59" s="37">
        <v>0</v>
      </c>
      <c r="R59" s="37">
        <v>0</v>
      </c>
      <c r="S59" s="37">
        <v>0</v>
      </c>
      <c r="T59" s="147" t="s">
        <v>191</v>
      </c>
      <c r="U59" s="147"/>
      <c r="V59" s="147"/>
      <c r="W59" s="37"/>
      <c r="X59" s="37"/>
      <c r="Y59" s="37"/>
      <c r="Z59" s="37"/>
      <c r="AA59" s="37"/>
      <c r="AB59" s="37"/>
      <c r="AC59" s="37"/>
      <c r="AD59" s="37"/>
      <c r="AE59" s="37"/>
      <c r="AF59" s="37"/>
    </row>
    <row r="60" spans="1:32" ht="14">
      <c r="A60" s="37">
        <v>60</v>
      </c>
      <c r="B60" s="37" t="s">
        <v>23</v>
      </c>
      <c r="C60" s="37" t="s">
        <v>194</v>
      </c>
      <c r="D60" s="37" t="s">
        <v>141</v>
      </c>
      <c r="E60" s="37" t="s">
        <v>674</v>
      </c>
      <c r="F60" s="37" t="s">
        <v>36</v>
      </c>
      <c r="G60" s="37">
        <v>0</v>
      </c>
      <c r="H60" s="37">
        <v>0</v>
      </c>
      <c r="I60" s="37">
        <v>1</v>
      </c>
      <c r="J60" s="37">
        <v>0</v>
      </c>
      <c r="K60" s="37">
        <v>0</v>
      </c>
      <c r="L60" s="37">
        <v>0</v>
      </c>
      <c r="M60" s="37">
        <v>1</v>
      </c>
      <c r="N60" s="37">
        <v>0</v>
      </c>
      <c r="O60" s="37">
        <v>0</v>
      </c>
      <c r="P60" s="37">
        <v>0</v>
      </c>
      <c r="Q60" s="37">
        <v>0</v>
      </c>
      <c r="R60" s="37">
        <v>0</v>
      </c>
      <c r="S60" s="37">
        <v>0</v>
      </c>
      <c r="T60" s="147" t="s">
        <v>194</v>
      </c>
      <c r="U60" s="147"/>
      <c r="V60" s="147"/>
      <c r="W60" s="37"/>
      <c r="X60" s="37"/>
      <c r="Y60" s="37"/>
      <c r="Z60" s="37"/>
      <c r="AA60" s="37"/>
      <c r="AB60" s="37"/>
      <c r="AC60" s="37"/>
      <c r="AD60" s="37"/>
      <c r="AE60" s="37"/>
      <c r="AF60" s="37"/>
    </row>
    <row r="61" spans="1:32" ht="14">
      <c r="A61" s="37">
        <v>61</v>
      </c>
      <c r="B61" s="37" t="s">
        <v>23</v>
      </c>
      <c r="C61" s="37" t="s">
        <v>196</v>
      </c>
      <c r="D61" s="37" t="s">
        <v>497</v>
      </c>
      <c r="E61" s="37" t="s">
        <v>675</v>
      </c>
      <c r="F61" s="37" t="s">
        <v>676</v>
      </c>
      <c r="G61" s="37">
        <v>1</v>
      </c>
      <c r="H61" s="37">
        <v>0</v>
      </c>
      <c r="I61" s="37">
        <v>1</v>
      </c>
      <c r="J61" s="37">
        <v>0</v>
      </c>
      <c r="K61" s="37">
        <v>0</v>
      </c>
      <c r="L61" s="37">
        <v>0</v>
      </c>
      <c r="M61" s="37">
        <v>0</v>
      </c>
      <c r="N61" s="37">
        <v>0</v>
      </c>
      <c r="O61" s="37">
        <v>0</v>
      </c>
      <c r="P61" s="37">
        <v>0</v>
      </c>
      <c r="Q61" s="37">
        <v>0</v>
      </c>
      <c r="R61" s="37">
        <v>0</v>
      </c>
      <c r="S61" s="37">
        <v>0</v>
      </c>
      <c r="T61" s="147" t="s">
        <v>196</v>
      </c>
      <c r="U61" s="147"/>
      <c r="V61" s="147"/>
      <c r="W61" s="37"/>
      <c r="X61" s="37"/>
      <c r="Y61" s="37"/>
      <c r="Z61" s="37"/>
      <c r="AA61" s="37"/>
      <c r="AB61" s="37"/>
      <c r="AC61" s="37"/>
      <c r="AD61" s="37"/>
      <c r="AE61" s="37"/>
      <c r="AF61" s="37"/>
    </row>
    <row r="62" spans="1:32" ht="14">
      <c r="A62" s="37">
        <v>62</v>
      </c>
      <c r="B62" s="37" t="s">
        <v>23</v>
      </c>
      <c r="C62" s="37" t="s">
        <v>288</v>
      </c>
      <c r="D62" s="37" t="s">
        <v>497</v>
      </c>
      <c r="E62" s="37" t="s">
        <v>674</v>
      </c>
      <c r="F62" s="37" t="s">
        <v>36</v>
      </c>
      <c r="G62" s="37">
        <v>1</v>
      </c>
      <c r="H62" s="37">
        <v>0</v>
      </c>
      <c r="I62" s="37">
        <v>1</v>
      </c>
      <c r="J62" s="37">
        <v>0</v>
      </c>
      <c r="K62" s="37">
        <v>0</v>
      </c>
      <c r="L62" s="37">
        <v>0</v>
      </c>
      <c r="M62" s="37">
        <v>0</v>
      </c>
      <c r="N62" s="37">
        <v>0</v>
      </c>
      <c r="O62" s="37">
        <v>0</v>
      </c>
      <c r="P62" s="37">
        <v>0</v>
      </c>
      <c r="Q62" s="37">
        <v>0</v>
      </c>
      <c r="R62" s="37">
        <v>0</v>
      </c>
      <c r="S62" s="37">
        <v>0</v>
      </c>
      <c r="T62" s="147" t="s">
        <v>288</v>
      </c>
      <c r="U62" s="147"/>
      <c r="V62" s="37"/>
      <c r="W62" s="37"/>
      <c r="X62" s="37"/>
      <c r="Y62" s="37"/>
      <c r="Z62" s="37"/>
      <c r="AA62" s="37"/>
      <c r="AB62" s="37"/>
      <c r="AC62" s="37"/>
      <c r="AD62" s="37"/>
      <c r="AE62" s="37"/>
      <c r="AF62" s="37"/>
    </row>
    <row r="63" spans="1:32" ht="14">
      <c r="A63" s="37">
        <v>63</v>
      </c>
      <c r="B63" s="37" t="s">
        <v>23</v>
      </c>
      <c r="C63" s="37" t="s">
        <v>289</v>
      </c>
      <c r="D63" s="37" t="s">
        <v>674</v>
      </c>
      <c r="E63" s="37" t="s">
        <v>497</v>
      </c>
      <c r="F63" s="37" t="s">
        <v>36</v>
      </c>
      <c r="G63" s="37">
        <v>1</v>
      </c>
      <c r="H63" s="37">
        <v>0</v>
      </c>
      <c r="I63" s="37">
        <v>1</v>
      </c>
      <c r="J63" s="37">
        <v>0</v>
      </c>
      <c r="K63" s="37">
        <v>0</v>
      </c>
      <c r="L63" s="37">
        <v>0</v>
      </c>
      <c r="M63" s="37">
        <v>0</v>
      </c>
      <c r="N63" s="37">
        <v>0</v>
      </c>
      <c r="O63" s="37">
        <v>0</v>
      </c>
      <c r="P63" s="37">
        <v>0</v>
      </c>
      <c r="Q63" s="37">
        <v>0</v>
      </c>
      <c r="R63" s="37">
        <v>0</v>
      </c>
      <c r="S63" s="37">
        <v>0</v>
      </c>
      <c r="T63" s="147" t="s">
        <v>289</v>
      </c>
      <c r="U63" s="147"/>
      <c r="V63" s="147"/>
      <c r="W63" s="147"/>
      <c r="X63" s="37"/>
      <c r="Y63" s="37"/>
      <c r="Z63" s="37"/>
      <c r="AA63" s="37"/>
      <c r="AB63" s="37"/>
      <c r="AC63" s="37"/>
      <c r="AD63" s="37"/>
      <c r="AE63" s="37"/>
      <c r="AF63" s="37"/>
    </row>
    <row r="64" spans="1:32" ht="14">
      <c r="A64" s="37">
        <v>64</v>
      </c>
      <c r="B64" s="37" t="s">
        <v>245</v>
      </c>
      <c r="C64" s="37" t="s">
        <v>290</v>
      </c>
      <c r="D64" s="37" t="s">
        <v>497</v>
      </c>
      <c r="E64" s="37" t="s">
        <v>674</v>
      </c>
      <c r="F64" s="37" t="s">
        <v>523</v>
      </c>
      <c r="G64" s="37">
        <v>1</v>
      </c>
      <c r="H64" s="37">
        <v>0</v>
      </c>
      <c r="I64" s="37">
        <v>1</v>
      </c>
      <c r="J64" s="37">
        <v>0</v>
      </c>
      <c r="K64" s="37">
        <v>0</v>
      </c>
      <c r="L64" s="37">
        <v>0</v>
      </c>
      <c r="M64" s="37">
        <v>0</v>
      </c>
      <c r="N64" s="37">
        <v>0</v>
      </c>
      <c r="O64" s="37">
        <v>0</v>
      </c>
      <c r="P64" s="37">
        <v>0</v>
      </c>
      <c r="Q64" s="37">
        <v>0</v>
      </c>
      <c r="R64" s="37">
        <v>0</v>
      </c>
      <c r="S64" s="37">
        <v>0</v>
      </c>
      <c r="T64" s="147" t="s">
        <v>290</v>
      </c>
      <c r="U64" s="147"/>
      <c r="V64" s="37"/>
      <c r="W64" s="37"/>
      <c r="X64" s="37"/>
      <c r="Y64" s="37"/>
      <c r="Z64" s="37"/>
      <c r="AA64" s="37"/>
      <c r="AB64" s="37"/>
      <c r="AC64" s="37"/>
      <c r="AD64" s="37"/>
      <c r="AE64" s="37"/>
      <c r="AF64" s="37"/>
    </row>
    <row r="65" spans="1:32" ht="14">
      <c r="A65" s="37">
        <v>65</v>
      </c>
      <c r="B65" s="37" t="s">
        <v>161</v>
      </c>
      <c r="C65" s="37" t="s">
        <v>291</v>
      </c>
      <c r="D65" s="37" t="s">
        <v>497</v>
      </c>
      <c r="E65" s="37" t="s">
        <v>671</v>
      </c>
      <c r="F65" s="37" t="s">
        <v>36</v>
      </c>
      <c r="G65" s="37">
        <v>1</v>
      </c>
      <c r="H65" s="37">
        <v>1</v>
      </c>
      <c r="I65" s="37">
        <v>0</v>
      </c>
      <c r="J65" s="37">
        <v>0</v>
      </c>
      <c r="K65" s="37">
        <v>0</v>
      </c>
      <c r="L65" s="37">
        <v>0</v>
      </c>
      <c r="M65" s="37">
        <v>0</v>
      </c>
      <c r="N65" s="37">
        <v>0</v>
      </c>
      <c r="O65" s="37">
        <v>0</v>
      </c>
      <c r="P65" s="37">
        <v>0</v>
      </c>
      <c r="Q65" s="37">
        <v>0</v>
      </c>
      <c r="R65" s="37">
        <v>0</v>
      </c>
      <c r="S65" s="37">
        <v>0</v>
      </c>
      <c r="T65" s="147" t="s">
        <v>291</v>
      </c>
      <c r="U65" s="147"/>
      <c r="V65" s="147"/>
      <c r="W65" s="37"/>
      <c r="X65" s="37"/>
      <c r="Y65" s="37"/>
      <c r="Z65" s="37"/>
      <c r="AA65" s="37"/>
      <c r="AB65" s="37"/>
      <c r="AC65" s="37"/>
      <c r="AD65" s="37"/>
      <c r="AE65" s="37"/>
      <c r="AF65" s="37"/>
    </row>
    <row r="66" spans="1:32" ht="14">
      <c r="A66" s="37">
        <v>66</v>
      </c>
      <c r="B66" s="37" t="s">
        <v>161</v>
      </c>
      <c r="C66" s="37" t="s">
        <v>292</v>
      </c>
      <c r="D66" s="37" t="s">
        <v>672</v>
      </c>
      <c r="E66" s="37" t="s">
        <v>674</v>
      </c>
      <c r="F66" s="37" t="s">
        <v>36</v>
      </c>
      <c r="G66" s="37">
        <v>1</v>
      </c>
      <c r="H66" s="37">
        <v>0</v>
      </c>
      <c r="I66" s="37">
        <v>1</v>
      </c>
      <c r="J66" s="37">
        <v>0</v>
      </c>
      <c r="K66" s="37">
        <v>0</v>
      </c>
      <c r="L66" s="37">
        <v>0</v>
      </c>
      <c r="M66" s="37">
        <v>0</v>
      </c>
      <c r="N66" s="37">
        <v>0</v>
      </c>
      <c r="O66" s="37">
        <v>0</v>
      </c>
      <c r="P66" s="37">
        <v>0</v>
      </c>
      <c r="Q66" s="37">
        <v>0</v>
      </c>
      <c r="R66" s="37">
        <v>0</v>
      </c>
      <c r="S66" s="37">
        <v>0</v>
      </c>
      <c r="T66" s="147" t="s">
        <v>292</v>
      </c>
      <c r="U66" s="147"/>
      <c r="V66" s="147"/>
      <c r="W66" s="37"/>
      <c r="X66" s="37"/>
      <c r="Y66" s="37"/>
      <c r="Z66" s="37"/>
      <c r="AA66" s="37"/>
      <c r="AB66" s="37"/>
      <c r="AC66" s="37"/>
      <c r="AD66" s="37"/>
      <c r="AE66" s="37"/>
      <c r="AF66" s="37"/>
    </row>
    <row r="67" spans="1:32" ht="14">
      <c r="A67" s="37">
        <v>67</v>
      </c>
      <c r="B67" s="37" t="s">
        <v>161</v>
      </c>
      <c r="C67" s="37" t="s">
        <v>259</v>
      </c>
      <c r="D67" s="37" t="s">
        <v>672</v>
      </c>
      <c r="E67" s="37" t="s">
        <v>671</v>
      </c>
      <c r="F67" s="37" t="s">
        <v>36</v>
      </c>
      <c r="G67" s="37">
        <v>1</v>
      </c>
      <c r="H67" s="37">
        <v>1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0</v>
      </c>
      <c r="S67" s="37">
        <v>0</v>
      </c>
      <c r="T67" s="147" t="s">
        <v>259</v>
      </c>
      <c r="U67" s="14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</row>
    <row r="68" spans="1:32" ht="14">
      <c r="A68" s="37">
        <v>68</v>
      </c>
      <c r="B68" s="37" t="s">
        <v>181</v>
      </c>
      <c r="C68" s="37" t="s">
        <v>293</v>
      </c>
      <c r="D68" s="37" t="s">
        <v>673</v>
      </c>
      <c r="E68" s="37" t="s">
        <v>671</v>
      </c>
      <c r="F68" s="37" t="s">
        <v>150</v>
      </c>
      <c r="G68" s="37">
        <v>1</v>
      </c>
      <c r="H68" s="37">
        <v>1</v>
      </c>
      <c r="I68" s="37">
        <v>0</v>
      </c>
      <c r="J68" s="37">
        <v>0</v>
      </c>
      <c r="K68" s="37">
        <v>0</v>
      </c>
      <c r="L68" s="37">
        <v>0</v>
      </c>
      <c r="M68" s="37">
        <v>0</v>
      </c>
      <c r="N68" s="37">
        <v>0</v>
      </c>
      <c r="O68" s="37">
        <v>0</v>
      </c>
      <c r="P68" s="37">
        <v>0</v>
      </c>
      <c r="Q68" s="37">
        <v>0</v>
      </c>
      <c r="R68" s="37">
        <v>0</v>
      </c>
      <c r="S68" s="37">
        <v>0</v>
      </c>
      <c r="T68" s="147" t="s">
        <v>293</v>
      </c>
      <c r="U68" s="147"/>
      <c r="V68" s="147"/>
      <c r="W68" s="37"/>
      <c r="X68" s="37"/>
      <c r="Y68" s="37"/>
      <c r="Z68" s="37"/>
      <c r="AA68" s="37"/>
      <c r="AB68" s="37"/>
      <c r="AC68" s="37"/>
      <c r="AD68" s="37"/>
      <c r="AE68" s="37"/>
      <c r="AF68" s="37"/>
    </row>
    <row r="69" spans="1:32" ht="14">
      <c r="A69" s="37">
        <v>69</v>
      </c>
      <c r="B69" s="37" t="s">
        <v>181</v>
      </c>
      <c r="C69" s="37" t="s">
        <v>263</v>
      </c>
      <c r="D69" s="37" t="s">
        <v>674</v>
      </c>
      <c r="E69" s="37" t="s">
        <v>36</v>
      </c>
      <c r="F69" s="37" t="s">
        <v>643</v>
      </c>
      <c r="G69" s="37">
        <v>0</v>
      </c>
      <c r="H69" s="37">
        <v>0</v>
      </c>
      <c r="I69" s="37">
        <v>1</v>
      </c>
      <c r="J69" s="37">
        <v>1</v>
      </c>
      <c r="K69" s="37">
        <v>0</v>
      </c>
      <c r="L69" s="37">
        <v>0</v>
      </c>
      <c r="M69" s="37">
        <v>0</v>
      </c>
      <c r="N69" s="37">
        <v>0</v>
      </c>
      <c r="O69" s="37">
        <v>0</v>
      </c>
      <c r="P69" s="37">
        <v>0</v>
      </c>
      <c r="Q69" s="37">
        <v>0</v>
      </c>
      <c r="R69" s="37">
        <v>0</v>
      </c>
      <c r="S69" s="37">
        <v>0</v>
      </c>
      <c r="T69" s="147" t="s">
        <v>263</v>
      </c>
      <c r="U69" s="147"/>
      <c r="V69" s="147"/>
      <c r="W69" s="37"/>
      <c r="X69" s="37"/>
      <c r="Y69" s="37"/>
      <c r="Z69" s="37"/>
      <c r="AA69" s="37"/>
      <c r="AB69" s="37"/>
      <c r="AC69" s="37"/>
      <c r="AD69" s="37"/>
      <c r="AE69" s="37"/>
      <c r="AF69" s="37"/>
    </row>
    <row r="70" spans="1:32" ht="14">
      <c r="A70" s="37">
        <v>70</v>
      </c>
      <c r="B70" s="37" t="s">
        <v>23</v>
      </c>
      <c r="C70" s="37" t="s">
        <v>271</v>
      </c>
      <c r="D70" s="37" t="s">
        <v>672</v>
      </c>
      <c r="E70" s="37" t="s">
        <v>674</v>
      </c>
      <c r="F70" s="37" t="s">
        <v>36</v>
      </c>
      <c r="G70" s="37">
        <v>1</v>
      </c>
      <c r="H70" s="37">
        <v>0</v>
      </c>
      <c r="I70" s="37">
        <v>1</v>
      </c>
      <c r="J70" s="37">
        <v>0</v>
      </c>
      <c r="K70" s="37">
        <v>0</v>
      </c>
      <c r="L70" s="37">
        <v>0</v>
      </c>
      <c r="M70" s="37">
        <v>0</v>
      </c>
      <c r="N70" s="37">
        <v>0</v>
      </c>
      <c r="O70" s="37">
        <v>0</v>
      </c>
      <c r="P70" s="37">
        <v>0</v>
      </c>
      <c r="Q70" s="37">
        <v>0</v>
      </c>
      <c r="R70" s="37">
        <v>0</v>
      </c>
      <c r="S70" s="37">
        <v>0</v>
      </c>
      <c r="T70" s="147" t="s">
        <v>271</v>
      </c>
      <c r="U70" s="14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</row>
    <row r="71" spans="1:32" ht="14">
      <c r="A71" s="37">
        <v>71</v>
      </c>
      <c r="B71" s="37" t="s">
        <v>23</v>
      </c>
      <c r="C71" s="37" t="s">
        <v>677</v>
      </c>
      <c r="D71" s="37" t="s">
        <v>672</v>
      </c>
      <c r="E71" s="37" t="s">
        <v>674</v>
      </c>
      <c r="F71" s="37" t="s">
        <v>523</v>
      </c>
      <c r="G71" s="37">
        <v>1</v>
      </c>
      <c r="H71" s="37">
        <v>0</v>
      </c>
      <c r="I71" s="37">
        <v>1</v>
      </c>
      <c r="J71" s="37">
        <v>0</v>
      </c>
      <c r="K71" s="37">
        <v>0</v>
      </c>
      <c r="L71" s="37">
        <v>0</v>
      </c>
      <c r="M71" s="37">
        <v>0</v>
      </c>
      <c r="N71" s="37">
        <v>0</v>
      </c>
      <c r="O71" s="37">
        <v>0</v>
      </c>
      <c r="P71" s="37">
        <v>0</v>
      </c>
      <c r="Q71" s="37">
        <v>0</v>
      </c>
      <c r="R71" s="37">
        <v>0</v>
      </c>
      <c r="S71" s="37">
        <v>0</v>
      </c>
      <c r="T71" s="147" t="s">
        <v>677</v>
      </c>
      <c r="U71" s="147"/>
      <c r="V71" s="147"/>
      <c r="W71" s="37"/>
      <c r="X71" s="37"/>
      <c r="Y71" s="37"/>
      <c r="Z71" s="37"/>
      <c r="AA71" s="37"/>
      <c r="AB71" s="37"/>
      <c r="AC71" s="37"/>
      <c r="AD71" s="37"/>
      <c r="AE71" s="37"/>
      <c r="AF71" s="37"/>
    </row>
    <row r="72" spans="1:32" ht="14">
      <c r="A72" s="37">
        <v>72</v>
      </c>
      <c r="B72" s="37" t="s">
        <v>23</v>
      </c>
      <c r="C72" s="37" t="s">
        <v>678</v>
      </c>
      <c r="D72" s="37" t="s">
        <v>672</v>
      </c>
      <c r="E72" s="37" t="s">
        <v>36</v>
      </c>
      <c r="F72" s="37" t="s">
        <v>676</v>
      </c>
      <c r="G72" s="37">
        <v>1</v>
      </c>
      <c r="H72" s="37">
        <v>0</v>
      </c>
      <c r="I72" s="37">
        <v>0</v>
      </c>
      <c r="J72" s="37">
        <v>1</v>
      </c>
      <c r="K72" s="37">
        <v>0</v>
      </c>
      <c r="L72" s="37">
        <v>0</v>
      </c>
      <c r="M72" s="37">
        <v>0</v>
      </c>
      <c r="N72" s="37">
        <v>0</v>
      </c>
      <c r="O72" s="37">
        <v>0</v>
      </c>
      <c r="P72" s="37">
        <v>0</v>
      </c>
      <c r="Q72" s="37">
        <v>0</v>
      </c>
      <c r="R72" s="37">
        <v>0</v>
      </c>
      <c r="S72" s="37">
        <v>0</v>
      </c>
      <c r="T72" s="147" t="s">
        <v>678</v>
      </c>
      <c r="U72" s="147"/>
      <c r="V72" s="147"/>
      <c r="W72" s="37"/>
      <c r="X72" s="37"/>
      <c r="Y72" s="37"/>
      <c r="Z72" s="37"/>
      <c r="AA72" s="37"/>
      <c r="AB72" s="37"/>
      <c r="AC72" s="37"/>
      <c r="AD72" s="37"/>
      <c r="AE72" s="37"/>
      <c r="AF72" s="37"/>
    </row>
    <row r="73" spans="1:32" ht="14">
      <c r="A73" s="37">
        <v>73</v>
      </c>
      <c r="B73" s="37" t="s">
        <v>23</v>
      </c>
      <c r="C73" s="37" t="s">
        <v>679</v>
      </c>
      <c r="D73" s="37" t="s">
        <v>674</v>
      </c>
      <c r="E73" s="37" t="s">
        <v>36</v>
      </c>
      <c r="F73" s="37" t="s">
        <v>507</v>
      </c>
      <c r="G73" s="37">
        <v>0</v>
      </c>
      <c r="H73" s="37">
        <v>0</v>
      </c>
      <c r="I73" s="37">
        <v>1</v>
      </c>
      <c r="J73" s="37">
        <v>1</v>
      </c>
      <c r="K73" s="37">
        <v>0</v>
      </c>
      <c r="L73" s="37">
        <v>0</v>
      </c>
      <c r="M73" s="37">
        <v>0</v>
      </c>
      <c r="N73" s="37">
        <v>0</v>
      </c>
      <c r="O73" s="37">
        <v>0</v>
      </c>
      <c r="P73" s="37">
        <v>0</v>
      </c>
      <c r="Q73" s="37">
        <v>0</v>
      </c>
      <c r="R73" s="37">
        <v>0</v>
      </c>
      <c r="S73" s="37">
        <v>0</v>
      </c>
      <c r="T73" s="147" t="s">
        <v>679</v>
      </c>
      <c r="U73" s="147"/>
      <c r="V73" s="147"/>
      <c r="W73" s="37"/>
      <c r="X73" s="37"/>
      <c r="Y73" s="37"/>
      <c r="Z73" s="37"/>
      <c r="AA73" s="37"/>
      <c r="AB73" s="37"/>
      <c r="AC73" s="37"/>
      <c r="AD73" s="37"/>
      <c r="AE73" s="37"/>
      <c r="AF73" s="37"/>
    </row>
    <row r="74" spans="1:32" ht="14">
      <c r="A74" s="37">
        <v>74</v>
      </c>
      <c r="B74" s="37" t="s">
        <v>23</v>
      </c>
      <c r="C74" s="37" t="s">
        <v>277</v>
      </c>
      <c r="D74" s="37" t="s">
        <v>672</v>
      </c>
      <c r="E74" s="37" t="s">
        <v>671</v>
      </c>
      <c r="F74" s="37" t="s">
        <v>36</v>
      </c>
      <c r="G74" s="37">
        <v>1</v>
      </c>
      <c r="H74" s="37">
        <v>1</v>
      </c>
      <c r="I74" s="37">
        <v>0</v>
      </c>
      <c r="J74" s="37">
        <v>0</v>
      </c>
      <c r="K74" s="37">
        <v>0</v>
      </c>
      <c r="L74" s="37">
        <v>0</v>
      </c>
      <c r="M74" s="37">
        <v>0</v>
      </c>
      <c r="N74" s="37">
        <v>0</v>
      </c>
      <c r="O74" s="37">
        <v>0</v>
      </c>
      <c r="P74" s="37">
        <v>0</v>
      </c>
      <c r="Q74" s="37">
        <v>0</v>
      </c>
      <c r="R74" s="37">
        <v>0</v>
      </c>
      <c r="S74" s="37">
        <v>0</v>
      </c>
      <c r="T74" s="147" t="s">
        <v>277</v>
      </c>
      <c r="U74" s="147"/>
      <c r="V74" s="37"/>
      <c r="W74" s="37"/>
      <c r="X74" s="37"/>
      <c r="Y74" s="37"/>
      <c r="Z74" s="37"/>
      <c r="AA74" s="37"/>
      <c r="AB74" s="37"/>
      <c r="AC74" s="37"/>
      <c r="AD74" s="37"/>
      <c r="AE74" s="37"/>
      <c r="AF74" s="37"/>
    </row>
    <row r="75" spans="1:32" ht="14">
      <c r="A75" s="37">
        <v>75</v>
      </c>
      <c r="B75" s="37" t="s">
        <v>23</v>
      </c>
      <c r="C75" s="37" t="s">
        <v>280</v>
      </c>
      <c r="D75" s="37" t="s">
        <v>671</v>
      </c>
      <c r="E75" s="37" t="s">
        <v>672</v>
      </c>
      <c r="F75" s="37" t="s">
        <v>523</v>
      </c>
      <c r="G75" s="37">
        <v>1</v>
      </c>
      <c r="H75" s="37">
        <v>1</v>
      </c>
      <c r="I75" s="37">
        <v>0</v>
      </c>
      <c r="J75" s="37">
        <v>0</v>
      </c>
      <c r="K75" s="37">
        <v>0</v>
      </c>
      <c r="L75" s="37">
        <v>0</v>
      </c>
      <c r="M75" s="37">
        <v>0</v>
      </c>
      <c r="N75" s="37">
        <v>0</v>
      </c>
      <c r="O75" s="37">
        <v>0</v>
      </c>
      <c r="P75" s="37">
        <v>0</v>
      </c>
      <c r="Q75" s="37">
        <v>0</v>
      </c>
      <c r="R75" s="37">
        <v>0</v>
      </c>
      <c r="S75" s="37">
        <v>0</v>
      </c>
      <c r="T75" s="147" t="s">
        <v>280</v>
      </c>
      <c r="U75" s="147"/>
      <c r="V75" s="147"/>
      <c r="W75" s="37"/>
      <c r="X75" s="37"/>
      <c r="Y75" s="37"/>
      <c r="Z75" s="37"/>
      <c r="AA75" s="37"/>
      <c r="AB75" s="37"/>
      <c r="AC75" s="37"/>
      <c r="AD75" s="37"/>
      <c r="AE75" s="37"/>
      <c r="AF75" s="37"/>
    </row>
    <row r="76" spans="1:32" ht="14">
      <c r="A76" s="37">
        <v>76</v>
      </c>
      <c r="B76" s="37" t="s">
        <v>23</v>
      </c>
      <c r="C76" s="37" t="s">
        <v>680</v>
      </c>
      <c r="D76" s="37" t="s">
        <v>674</v>
      </c>
      <c r="E76" s="37" t="s">
        <v>141</v>
      </c>
      <c r="F76" s="37" t="s">
        <v>681</v>
      </c>
      <c r="G76" s="37">
        <v>0</v>
      </c>
      <c r="H76" s="37">
        <v>0</v>
      </c>
      <c r="I76" s="37">
        <v>1</v>
      </c>
      <c r="J76" s="37">
        <v>0</v>
      </c>
      <c r="K76" s="37">
        <v>0</v>
      </c>
      <c r="L76" s="37">
        <v>0</v>
      </c>
      <c r="M76" s="37">
        <v>1</v>
      </c>
      <c r="N76" s="37">
        <v>0</v>
      </c>
      <c r="O76" s="37">
        <v>0</v>
      </c>
      <c r="P76" s="37">
        <v>0</v>
      </c>
      <c r="Q76" s="37">
        <v>0</v>
      </c>
      <c r="R76" s="37">
        <v>0</v>
      </c>
      <c r="S76" s="37">
        <v>0</v>
      </c>
      <c r="T76" s="147" t="s">
        <v>680</v>
      </c>
      <c r="U76" s="147"/>
      <c r="V76" s="147"/>
      <c r="W76" s="37"/>
      <c r="X76" s="37"/>
      <c r="Y76" s="37"/>
      <c r="Z76" s="37"/>
      <c r="AA76" s="37"/>
      <c r="AB76" s="37"/>
      <c r="AC76" s="37"/>
      <c r="AD76" s="37"/>
      <c r="AE76" s="37"/>
      <c r="AF76" s="37"/>
    </row>
    <row r="77" spans="1:32" ht="14">
      <c r="A77" s="37">
        <v>77</v>
      </c>
      <c r="B77" s="37" t="s">
        <v>245</v>
      </c>
      <c r="C77" s="37" t="s">
        <v>682</v>
      </c>
      <c r="D77" s="37" t="s">
        <v>512</v>
      </c>
      <c r="E77" s="37" t="s">
        <v>36</v>
      </c>
      <c r="F77" s="37" t="s">
        <v>676</v>
      </c>
      <c r="G77" s="37">
        <v>1</v>
      </c>
      <c r="H77" s="37">
        <v>0</v>
      </c>
      <c r="I77" s="37">
        <v>0</v>
      </c>
      <c r="J77" s="37">
        <v>1</v>
      </c>
      <c r="K77" s="37">
        <v>0</v>
      </c>
      <c r="L77" s="37">
        <v>0</v>
      </c>
      <c r="M77" s="37">
        <v>0</v>
      </c>
      <c r="N77" s="37">
        <v>0</v>
      </c>
      <c r="O77" s="37">
        <v>0</v>
      </c>
      <c r="P77" s="37">
        <v>0</v>
      </c>
      <c r="Q77" s="37">
        <v>0</v>
      </c>
      <c r="R77" s="37">
        <v>0</v>
      </c>
      <c r="S77" s="37">
        <v>0</v>
      </c>
      <c r="T77" s="147" t="s">
        <v>682</v>
      </c>
      <c r="U77" s="147"/>
      <c r="V77" s="147"/>
      <c r="W77" s="37"/>
      <c r="X77" s="37"/>
      <c r="Y77" s="37"/>
      <c r="Z77" s="37"/>
      <c r="AA77" s="37"/>
      <c r="AB77" s="37"/>
      <c r="AC77" s="37"/>
      <c r="AD77" s="37"/>
      <c r="AE77" s="37"/>
      <c r="AF77" s="37"/>
    </row>
    <row r="78" spans="1:32" ht="14">
      <c r="A78" s="37">
        <v>78</v>
      </c>
      <c r="B78" s="37" t="s">
        <v>245</v>
      </c>
      <c r="C78" s="37" t="s">
        <v>284</v>
      </c>
      <c r="D78" s="37" t="s">
        <v>36</v>
      </c>
      <c r="E78" s="37" t="s">
        <v>683</v>
      </c>
      <c r="F78" s="37" t="s">
        <v>150</v>
      </c>
      <c r="G78" s="37">
        <v>0</v>
      </c>
      <c r="H78" s="37">
        <v>0</v>
      </c>
      <c r="I78" s="37">
        <v>0</v>
      </c>
      <c r="J78" s="37">
        <v>1</v>
      </c>
      <c r="K78" s="37">
        <v>0</v>
      </c>
      <c r="L78" s="37">
        <v>0</v>
      </c>
      <c r="M78" s="37">
        <v>1</v>
      </c>
      <c r="N78" s="37">
        <v>0</v>
      </c>
      <c r="O78" s="37">
        <v>0</v>
      </c>
      <c r="P78" s="37">
        <v>0</v>
      </c>
      <c r="Q78" s="37">
        <v>0</v>
      </c>
      <c r="R78" s="37">
        <v>0</v>
      </c>
      <c r="S78" s="37">
        <v>0</v>
      </c>
      <c r="T78" s="147" t="s">
        <v>284</v>
      </c>
      <c r="U78" s="147"/>
      <c r="V78" s="147"/>
      <c r="W78" s="37"/>
      <c r="X78" s="37"/>
      <c r="Y78" s="37"/>
      <c r="Z78" s="37"/>
      <c r="AA78" s="37"/>
      <c r="AB78" s="37"/>
      <c r="AC78" s="37"/>
      <c r="AD78" s="37"/>
      <c r="AE78" s="37"/>
      <c r="AF78" s="37"/>
    </row>
    <row r="79" spans="1:32" ht="14">
      <c r="A79" s="37">
        <v>79</v>
      </c>
      <c r="B79" s="37" t="s">
        <v>181</v>
      </c>
      <c r="C79" s="37" t="s">
        <v>484</v>
      </c>
      <c r="D79" s="37" t="s">
        <v>671</v>
      </c>
      <c r="E79" s="37" t="s">
        <v>674</v>
      </c>
      <c r="F79" s="37" t="s">
        <v>643</v>
      </c>
      <c r="G79" s="37">
        <v>0</v>
      </c>
      <c r="H79" s="37">
        <v>1</v>
      </c>
      <c r="I79" s="37">
        <v>1</v>
      </c>
      <c r="J79" s="37">
        <v>0</v>
      </c>
      <c r="K79" s="37">
        <v>0</v>
      </c>
      <c r="L79" s="37">
        <v>0</v>
      </c>
      <c r="M79" s="37">
        <v>0</v>
      </c>
      <c r="N79" s="37">
        <v>0</v>
      </c>
      <c r="O79" s="37">
        <v>0</v>
      </c>
      <c r="P79" s="37">
        <v>0</v>
      </c>
      <c r="Q79" s="37">
        <v>0</v>
      </c>
      <c r="R79" s="37">
        <v>0</v>
      </c>
      <c r="S79" s="37">
        <v>0</v>
      </c>
      <c r="T79" s="147" t="s">
        <v>484</v>
      </c>
      <c r="U79" s="14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</row>
    <row r="80" spans="1:32" ht="14">
      <c r="A80" s="37">
        <v>80</v>
      </c>
      <c r="B80" s="37" t="s">
        <v>181</v>
      </c>
      <c r="C80" s="37" t="s">
        <v>488</v>
      </c>
      <c r="D80" s="37" t="s">
        <v>672</v>
      </c>
      <c r="E80" s="37" t="s">
        <v>671</v>
      </c>
      <c r="F80" s="37" t="s">
        <v>36</v>
      </c>
      <c r="G80" s="37">
        <v>1</v>
      </c>
      <c r="H80" s="37">
        <v>1</v>
      </c>
      <c r="I80" s="37">
        <v>0</v>
      </c>
      <c r="J80" s="37">
        <v>0</v>
      </c>
      <c r="K80" s="37">
        <v>0</v>
      </c>
      <c r="L80" s="37">
        <v>0</v>
      </c>
      <c r="M80" s="37">
        <v>0</v>
      </c>
      <c r="N80" s="37">
        <v>0</v>
      </c>
      <c r="O80" s="37">
        <v>0</v>
      </c>
      <c r="P80" s="37">
        <v>0</v>
      </c>
      <c r="Q80" s="37">
        <v>0</v>
      </c>
      <c r="R80" s="37">
        <v>0</v>
      </c>
      <c r="S80" s="37">
        <v>0</v>
      </c>
      <c r="T80" s="147" t="s">
        <v>488</v>
      </c>
      <c r="U80" s="147"/>
      <c r="V80" s="147"/>
      <c r="W80" s="37"/>
      <c r="X80" s="37"/>
      <c r="Y80" s="37"/>
      <c r="Z80" s="37"/>
      <c r="AA80" s="37"/>
      <c r="AB80" s="37"/>
      <c r="AC80" s="37"/>
      <c r="AD80" s="37"/>
      <c r="AE80" s="37"/>
      <c r="AF80" s="37"/>
    </row>
    <row r="81" spans="1:32" ht="14">
      <c r="A81" s="37">
        <v>81</v>
      </c>
      <c r="B81" s="37" t="s">
        <v>23</v>
      </c>
      <c r="C81" s="37" t="s">
        <v>495</v>
      </c>
      <c r="D81" s="37" t="s">
        <v>141</v>
      </c>
      <c r="E81" s="37" t="s">
        <v>497</v>
      </c>
      <c r="F81" s="37" t="s">
        <v>684</v>
      </c>
      <c r="G81" s="37">
        <v>1</v>
      </c>
      <c r="H81" s="37">
        <v>0</v>
      </c>
      <c r="I81" s="37">
        <v>0</v>
      </c>
      <c r="J81" s="37">
        <v>0</v>
      </c>
      <c r="K81" s="37">
        <v>0</v>
      </c>
      <c r="L81" s="37">
        <v>0</v>
      </c>
      <c r="M81" s="37">
        <v>1</v>
      </c>
      <c r="N81" s="37">
        <v>0</v>
      </c>
      <c r="O81" s="37">
        <v>0</v>
      </c>
      <c r="P81" s="37">
        <v>0</v>
      </c>
      <c r="Q81" s="37">
        <v>0</v>
      </c>
      <c r="R81" s="37">
        <v>0</v>
      </c>
      <c r="S81" s="37">
        <v>0</v>
      </c>
      <c r="T81" s="147" t="s">
        <v>495</v>
      </c>
      <c r="U81" s="147"/>
      <c r="V81" s="147"/>
      <c r="W81" s="37"/>
      <c r="X81" s="37"/>
      <c r="Y81" s="37"/>
      <c r="Z81" s="37"/>
      <c r="AA81" s="37"/>
      <c r="AB81" s="37"/>
      <c r="AC81" s="37"/>
      <c r="AD81" s="37"/>
      <c r="AE81" s="37"/>
      <c r="AF81" s="37"/>
    </row>
    <row r="82" spans="1:32" ht="14">
      <c r="A82" s="37">
        <v>82</v>
      </c>
      <c r="B82" s="37" t="s">
        <v>23</v>
      </c>
      <c r="C82" s="37" t="s">
        <v>348</v>
      </c>
      <c r="D82" s="37" t="s">
        <v>36</v>
      </c>
      <c r="E82" s="37" t="s">
        <v>683</v>
      </c>
      <c r="F82" s="37" t="s">
        <v>681</v>
      </c>
      <c r="G82" s="37">
        <v>0</v>
      </c>
      <c r="H82" s="37">
        <v>0</v>
      </c>
      <c r="I82" s="37">
        <v>0</v>
      </c>
      <c r="J82" s="37">
        <v>1</v>
      </c>
      <c r="K82" s="37">
        <v>0</v>
      </c>
      <c r="L82" s="37">
        <v>0</v>
      </c>
      <c r="M82" s="37">
        <v>1</v>
      </c>
      <c r="N82" s="37">
        <v>0</v>
      </c>
      <c r="O82" s="37">
        <v>0</v>
      </c>
      <c r="P82" s="37">
        <v>0</v>
      </c>
      <c r="Q82" s="37">
        <v>0</v>
      </c>
      <c r="R82" s="37">
        <v>0</v>
      </c>
      <c r="S82" s="37">
        <v>0</v>
      </c>
      <c r="T82" s="147" t="s">
        <v>348</v>
      </c>
      <c r="U82" s="14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</row>
    <row r="83" spans="1:32" ht="14">
      <c r="A83" s="37">
        <v>83</v>
      </c>
      <c r="B83" s="37" t="s">
        <v>23</v>
      </c>
      <c r="C83" s="37" t="s">
        <v>685</v>
      </c>
      <c r="D83" s="37" t="s">
        <v>14</v>
      </c>
      <c r="E83" s="37" t="s">
        <v>674</v>
      </c>
      <c r="F83" s="37" t="s">
        <v>36</v>
      </c>
      <c r="G83" s="37">
        <v>1</v>
      </c>
      <c r="H83" s="37">
        <v>0</v>
      </c>
      <c r="I83" s="37">
        <v>1</v>
      </c>
      <c r="J83" s="37">
        <v>0</v>
      </c>
      <c r="K83" s="37">
        <v>0</v>
      </c>
      <c r="L83" s="37">
        <v>0</v>
      </c>
      <c r="M83" s="37">
        <v>0</v>
      </c>
      <c r="N83" s="37">
        <v>0</v>
      </c>
      <c r="O83" s="37">
        <v>0</v>
      </c>
      <c r="P83" s="37">
        <v>0</v>
      </c>
      <c r="Q83" s="37">
        <v>0</v>
      </c>
      <c r="R83" s="37">
        <v>0</v>
      </c>
      <c r="S83" s="37">
        <v>0</v>
      </c>
      <c r="T83" s="147" t="s">
        <v>685</v>
      </c>
      <c r="U83" s="14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</row>
    <row r="84" spans="1:32" ht="14">
      <c r="A84" s="37">
        <v>84</v>
      </c>
      <c r="B84" s="37" t="s">
        <v>245</v>
      </c>
      <c r="C84" s="37" t="s">
        <v>686</v>
      </c>
      <c r="D84" s="37" t="s">
        <v>672</v>
      </c>
      <c r="E84" s="37" t="s">
        <v>37</v>
      </c>
      <c r="F84" s="37" t="s">
        <v>676</v>
      </c>
      <c r="G84" s="37">
        <v>1</v>
      </c>
      <c r="H84" s="37">
        <v>0</v>
      </c>
      <c r="I84" s="37">
        <v>0</v>
      </c>
      <c r="J84" s="37">
        <v>0</v>
      </c>
      <c r="K84" s="37">
        <v>0</v>
      </c>
      <c r="L84" s="37">
        <v>0</v>
      </c>
      <c r="M84" s="37">
        <v>0</v>
      </c>
      <c r="N84" s="37">
        <v>0</v>
      </c>
      <c r="O84" s="37">
        <v>0</v>
      </c>
      <c r="P84" s="37">
        <v>0</v>
      </c>
      <c r="Q84" s="37">
        <v>0</v>
      </c>
      <c r="R84" s="37">
        <v>0</v>
      </c>
      <c r="S84" s="37">
        <v>0</v>
      </c>
      <c r="T84" s="147" t="s">
        <v>686</v>
      </c>
      <c r="U84" s="147"/>
      <c r="V84" s="147"/>
      <c r="W84" s="147"/>
      <c r="X84" s="37"/>
      <c r="Y84" s="37"/>
      <c r="Z84" s="37"/>
      <c r="AA84" s="37"/>
      <c r="AB84" s="37"/>
      <c r="AC84" s="37"/>
      <c r="AD84" s="37"/>
      <c r="AE84" s="37"/>
      <c r="AF84" s="37"/>
    </row>
    <row r="85" spans="1:32" ht="14">
      <c r="A85" s="37">
        <v>85</v>
      </c>
      <c r="B85" s="37" t="s">
        <v>245</v>
      </c>
      <c r="C85" s="37" t="s">
        <v>687</v>
      </c>
      <c r="D85" s="37" t="s">
        <v>674</v>
      </c>
      <c r="E85" s="37" t="s">
        <v>683</v>
      </c>
      <c r="F85" s="37" t="s">
        <v>150</v>
      </c>
      <c r="G85" s="37">
        <v>0</v>
      </c>
      <c r="H85" s="37">
        <v>0</v>
      </c>
      <c r="I85" s="37">
        <v>1</v>
      </c>
      <c r="J85" s="37">
        <v>0</v>
      </c>
      <c r="K85" s="37">
        <v>0</v>
      </c>
      <c r="L85" s="37">
        <v>0</v>
      </c>
      <c r="M85" s="37">
        <v>1</v>
      </c>
      <c r="N85" s="37">
        <v>0</v>
      </c>
      <c r="O85" s="37">
        <v>0</v>
      </c>
      <c r="P85" s="37">
        <v>0</v>
      </c>
      <c r="Q85" s="37">
        <v>0</v>
      </c>
      <c r="R85" s="37">
        <v>0</v>
      </c>
      <c r="S85" s="37">
        <v>0</v>
      </c>
      <c r="T85" s="147" t="s">
        <v>687</v>
      </c>
      <c r="U85" s="14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F85" s="37"/>
    </row>
    <row r="86" spans="1:32" ht="14">
      <c r="A86" s="37">
        <v>86</v>
      </c>
      <c r="B86" s="37" t="s">
        <v>245</v>
      </c>
      <c r="C86" s="37" t="s">
        <v>688</v>
      </c>
      <c r="D86" s="37" t="s">
        <v>141</v>
      </c>
      <c r="E86" s="37" t="s">
        <v>673</v>
      </c>
      <c r="F86" s="37" t="s">
        <v>684</v>
      </c>
      <c r="G86" s="37">
        <v>0</v>
      </c>
      <c r="H86" s="37">
        <v>1</v>
      </c>
      <c r="I86" s="37">
        <v>0</v>
      </c>
      <c r="J86" s="37">
        <v>0</v>
      </c>
      <c r="K86" s="37">
        <v>0</v>
      </c>
      <c r="L86" s="37">
        <v>0</v>
      </c>
      <c r="M86" s="37">
        <v>1</v>
      </c>
      <c r="N86" s="37">
        <v>0</v>
      </c>
      <c r="O86" s="37">
        <v>0</v>
      </c>
      <c r="P86" s="37">
        <v>0</v>
      </c>
      <c r="Q86" s="37">
        <v>0</v>
      </c>
      <c r="R86" s="37">
        <v>0</v>
      </c>
      <c r="S86" s="37">
        <v>0</v>
      </c>
      <c r="T86" s="147" t="s">
        <v>688</v>
      </c>
      <c r="U86" s="14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</row>
    <row r="87" spans="1:32" ht="14">
      <c r="A87" s="37">
        <v>87</v>
      </c>
      <c r="B87" s="37" t="s">
        <v>245</v>
      </c>
      <c r="C87" s="37" t="s">
        <v>355</v>
      </c>
      <c r="D87" s="37" t="s">
        <v>512</v>
      </c>
      <c r="E87" s="37" t="s">
        <v>683</v>
      </c>
      <c r="F87" s="37" t="s">
        <v>36</v>
      </c>
      <c r="G87" s="37">
        <v>1</v>
      </c>
      <c r="H87" s="37">
        <v>0</v>
      </c>
      <c r="I87" s="37">
        <v>0</v>
      </c>
      <c r="J87" s="37">
        <v>0</v>
      </c>
      <c r="K87" s="37">
        <v>0</v>
      </c>
      <c r="L87" s="37">
        <v>0</v>
      </c>
      <c r="M87" s="37">
        <v>1</v>
      </c>
      <c r="N87" s="37">
        <v>0</v>
      </c>
      <c r="O87" s="37">
        <v>0</v>
      </c>
      <c r="P87" s="37">
        <v>0</v>
      </c>
      <c r="Q87" s="37">
        <v>0</v>
      </c>
      <c r="R87" s="37">
        <v>0</v>
      </c>
      <c r="S87" s="37">
        <v>0</v>
      </c>
      <c r="T87" s="147" t="s">
        <v>355</v>
      </c>
      <c r="U87" s="147"/>
      <c r="V87" s="147"/>
      <c r="W87" s="147"/>
      <c r="X87" s="37"/>
      <c r="Y87" s="37"/>
      <c r="Z87" s="37"/>
      <c r="AA87" s="37"/>
      <c r="AB87" s="37"/>
      <c r="AC87" s="37"/>
      <c r="AD87" s="37"/>
      <c r="AE87" s="37"/>
      <c r="AF87" s="37"/>
    </row>
    <row r="88" spans="1:32" ht="14">
      <c r="A88" s="37">
        <v>88</v>
      </c>
      <c r="B88" s="37" t="s">
        <v>245</v>
      </c>
      <c r="C88" s="37" t="s">
        <v>360</v>
      </c>
      <c r="D88" s="37" t="s">
        <v>671</v>
      </c>
      <c r="E88" s="37" t="s">
        <v>673</v>
      </c>
      <c r="F88" s="37" t="s">
        <v>36</v>
      </c>
      <c r="G88" s="37">
        <v>0</v>
      </c>
      <c r="H88" s="37">
        <v>1</v>
      </c>
      <c r="I88" s="37">
        <v>0</v>
      </c>
      <c r="J88" s="37">
        <v>0</v>
      </c>
      <c r="K88" s="37">
        <v>0</v>
      </c>
      <c r="L88" s="37">
        <v>0</v>
      </c>
      <c r="M88" s="37">
        <v>0</v>
      </c>
      <c r="N88" s="37">
        <v>0</v>
      </c>
      <c r="O88" s="37">
        <v>0</v>
      </c>
      <c r="P88" s="37">
        <v>0</v>
      </c>
      <c r="Q88" s="37">
        <v>0</v>
      </c>
      <c r="R88" s="37">
        <v>0</v>
      </c>
      <c r="S88" s="37">
        <v>0</v>
      </c>
      <c r="T88" s="147" t="s">
        <v>360</v>
      </c>
      <c r="U88" s="147"/>
      <c r="V88" s="147"/>
      <c r="W88" s="37"/>
      <c r="X88" s="37"/>
      <c r="Y88" s="37"/>
      <c r="Z88" s="37"/>
      <c r="AA88" s="37"/>
      <c r="AB88" s="37"/>
      <c r="AC88" s="37"/>
      <c r="AD88" s="37"/>
      <c r="AE88" s="37"/>
      <c r="AF88" s="37"/>
    </row>
    <row r="89" spans="1:32" ht="14">
      <c r="A89" s="37">
        <v>89</v>
      </c>
      <c r="B89" s="37" t="s">
        <v>245</v>
      </c>
      <c r="C89" s="37" t="s">
        <v>368</v>
      </c>
      <c r="D89" s="37" t="s">
        <v>674</v>
      </c>
      <c r="E89" s="37" t="s">
        <v>673</v>
      </c>
      <c r="F89" s="37" t="s">
        <v>36</v>
      </c>
      <c r="G89" s="37">
        <v>0</v>
      </c>
      <c r="H89" s="37">
        <v>1</v>
      </c>
      <c r="I89" s="37">
        <v>1</v>
      </c>
      <c r="J89" s="37">
        <v>0</v>
      </c>
      <c r="K89" s="37">
        <v>0</v>
      </c>
      <c r="L89" s="37">
        <v>0</v>
      </c>
      <c r="M89" s="37">
        <v>0</v>
      </c>
      <c r="N89" s="37">
        <v>0</v>
      </c>
      <c r="O89" s="37">
        <v>0</v>
      </c>
      <c r="P89" s="37">
        <v>0</v>
      </c>
      <c r="Q89" s="37">
        <v>0</v>
      </c>
      <c r="R89" s="37">
        <v>0</v>
      </c>
      <c r="S89" s="37">
        <v>0</v>
      </c>
      <c r="T89" s="147" t="s">
        <v>368</v>
      </c>
      <c r="U89" s="14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</row>
    <row r="90" spans="1:32" ht="14">
      <c r="A90" s="37">
        <v>90</v>
      </c>
      <c r="B90" s="37" t="s">
        <v>181</v>
      </c>
      <c r="C90" s="37" t="s">
        <v>372</v>
      </c>
      <c r="D90" s="37" t="s">
        <v>512</v>
      </c>
      <c r="E90" s="37" t="s">
        <v>683</v>
      </c>
      <c r="F90" s="37" t="s">
        <v>681</v>
      </c>
      <c r="G90" s="37">
        <v>1</v>
      </c>
      <c r="H90" s="37">
        <v>1</v>
      </c>
      <c r="I90" s="37">
        <v>0</v>
      </c>
      <c r="J90" s="37">
        <v>0</v>
      </c>
      <c r="K90" s="37">
        <v>0</v>
      </c>
      <c r="L90" s="37">
        <v>0</v>
      </c>
      <c r="M90" s="37">
        <v>1</v>
      </c>
      <c r="N90" s="37">
        <v>0</v>
      </c>
      <c r="O90" s="37">
        <v>0</v>
      </c>
      <c r="P90" s="37">
        <v>0</v>
      </c>
      <c r="Q90" s="37">
        <v>0</v>
      </c>
      <c r="R90" s="37">
        <v>0</v>
      </c>
      <c r="S90" s="37">
        <v>0</v>
      </c>
      <c r="T90" s="147" t="s">
        <v>372</v>
      </c>
      <c r="U90" s="14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</row>
    <row r="91" spans="1:32" ht="14">
      <c r="A91" s="37">
        <v>91</v>
      </c>
      <c r="B91" s="37" t="s">
        <v>181</v>
      </c>
      <c r="C91" s="37" t="s">
        <v>379</v>
      </c>
      <c r="D91" s="37" t="s">
        <v>36</v>
      </c>
      <c r="E91" s="37" t="s">
        <v>689</v>
      </c>
      <c r="F91" s="37" t="s">
        <v>681</v>
      </c>
      <c r="G91" s="37">
        <v>0</v>
      </c>
      <c r="H91" s="37">
        <v>0</v>
      </c>
      <c r="I91" s="37">
        <v>0</v>
      </c>
      <c r="J91" s="37">
        <v>1</v>
      </c>
      <c r="K91" s="37">
        <v>0</v>
      </c>
      <c r="L91" s="37">
        <v>1</v>
      </c>
      <c r="M91" s="37">
        <v>0</v>
      </c>
      <c r="N91" s="37">
        <v>0</v>
      </c>
      <c r="O91" s="37">
        <v>0</v>
      </c>
      <c r="P91" s="37">
        <v>0</v>
      </c>
      <c r="Q91" s="37">
        <v>0</v>
      </c>
      <c r="R91" s="37">
        <v>0</v>
      </c>
      <c r="S91" s="37">
        <v>0</v>
      </c>
      <c r="T91" s="147" t="s">
        <v>379</v>
      </c>
      <c r="U91" s="147"/>
      <c r="V91" s="147"/>
      <c r="W91" s="37"/>
      <c r="X91" s="37"/>
      <c r="Y91" s="37"/>
      <c r="Z91" s="37"/>
      <c r="AA91" s="37"/>
      <c r="AB91" s="37"/>
      <c r="AC91" s="37"/>
      <c r="AD91" s="37"/>
      <c r="AE91" s="37"/>
      <c r="AF91" s="37"/>
    </row>
    <row r="92" spans="1:32" ht="14">
      <c r="A92" s="37">
        <v>92</v>
      </c>
      <c r="B92" s="37" t="s">
        <v>181</v>
      </c>
      <c r="C92" s="37" t="s">
        <v>690</v>
      </c>
      <c r="D92" s="37" t="s">
        <v>36</v>
      </c>
      <c r="E92" s="37" t="s">
        <v>691</v>
      </c>
      <c r="F92" s="37" t="s">
        <v>672</v>
      </c>
      <c r="G92" s="37">
        <v>0</v>
      </c>
      <c r="H92" s="37">
        <v>0</v>
      </c>
      <c r="I92" s="37">
        <v>0</v>
      </c>
      <c r="J92" s="37">
        <v>1</v>
      </c>
      <c r="K92" s="37">
        <v>0</v>
      </c>
      <c r="L92" s="37">
        <v>0</v>
      </c>
      <c r="M92" s="37">
        <v>0</v>
      </c>
      <c r="N92" s="37">
        <v>0</v>
      </c>
      <c r="O92" s="37">
        <v>0</v>
      </c>
      <c r="P92" s="37">
        <v>0</v>
      </c>
      <c r="Q92" s="37">
        <v>0</v>
      </c>
      <c r="R92" s="37">
        <v>0</v>
      </c>
      <c r="S92" s="37">
        <v>0</v>
      </c>
      <c r="T92" s="147" t="s">
        <v>690</v>
      </c>
      <c r="U92" s="147"/>
      <c r="V92" s="147"/>
      <c r="W92" s="37"/>
      <c r="X92" s="37"/>
      <c r="Y92" s="37"/>
      <c r="Z92" s="37"/>
      <c r="AA92" s="37"/>
      <c r="AB92" s="37"/>
      <c r="AC92" s="37"/>
      <c r="AD92" s="37"/>
      <c r="AE92" s="37"/>
      <c r="AF92" s="37"/>
    </row>
    <row r="93" spans="1:32" ht="14">
      <c r="A93" s="37">
        <v>93</v>
      </c>
      <c r="B93" s="37" t="s">
        <v>181</v>
      </c>
      <c r="C93" s="37" t="s">
        <v>692</v>
      </c>
      <c r="D93" s="37" t="s">
        <v>36</v>
      </c>
      <c r="E93" s="37" t="s">
        <v>691</v>
      </c>
      <c r="F93" s="37" t="s">
        <v>497</v>
      </c>
      <c r="G93" s="37">
        <v>0</v>
      </c>
      <c r="H93" s="37">
        <v>0</v>
      </c>
      <c r="I93" s="37">
        <v>0</v>
      </c>
      <c r="J93" s="37">
        <v>1</v>
      </c>
      <c r="K93" s="37">
        <v>0</v>
      </c>
      <c r="L93" s="37">
        <v>0</v>
      </c>
      <c r="M93" s="37">
        <v>0</v>
      </c>
      <c r="N93" s="37">
        <v>0</v>
      </c>
      <c r="O93" s="37">
        <v>0</v>
      </c>
      <c r="P93" s="37">
        <v>0</v>
      </c>
      <c r="Q93" s="37">
        <v>0</v>
      </c>
      <c r="R93" s="37">
        <v>0</v>
      </c>
      <c r="S93" s="37">
        <v>0</v>
      </c>
      <c r="T93" s="147" t="s">
        <v>692</v>
      </c>
      <c r="U93" s="147"/>
      <c r="V93" s="147"/>
      <c r="W93" s="147"/>
      <c r="X93" s="37"/>
      <c r="Y93" s="37"/>
      <c r="Z93" s="37"/>
      <c r="AA93" s="37"/>
      <c r="AB93" s="37"/>
      <c r="AC93" s="37"/>
      <c r="AD93" s="37"/>
      <c r="AE93" s="37"/>
      <c r="AF93" s="37"/>
    </row>
    <row r="94" spans="1:32" ht="14">
      <c r="A94" s="37">
        <v>94</v>
      </c>
      <c r="B94" s="37" t="s">
        <v>23</v>
      </c>
      <c r="C94" s="37" t="s">
        <v>693</v>
      </c>
      <c r="D94" s="37" t="s">
        <v>523</v>
      </c>
      <c r="E94" s="37" t="s">
        <v>694</v>
      </c>
      <c r="F94" s="37" t="s">
        <v>512</v>
      </c>
      <c r="G94" s="37">
        <v>0</v>
      </c>
      <c r="H94" s="37">
        <v>0</v>
      </c>
      <c r="I94" s="37">
        <v>0</v>
      </c>
      <c r="J94" s="37">
        <v>1</v>
      </c>
      <c r="K94" s="37">
        <v>0</v>
      </c>
      <c r="L94" s="37">
        <v>0</v>
      </c>
      <c r="M94" s="37">
        <v>0</v>
      </c>
      <c r="N94" s="37">
        <v>0</v>
      </c>
      <c r="O94" s="37">
        <v>0</v>
      </c>
      <c r="P94" s="37">
        <v>0</v>
      </c>
      <c r="Q94" s="37">
        <v>1</v>
      </c>
      <c r="R94" s="37">
        <v>0</v>
      </c>
      <c r="S94" s="37">
        <v>0</v>
      </c>
      <c r="T94" s="147" t="s">
        <v>693</v>
      </c>
      <c r="U94" s="14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F94" s="37"/>
    </row>
    <row r="95" spans="1:32" ht="14">
      <c r="A95" s="37">
        <v>95</v>
      </c>
      <c r="B95" s="37" t="s">
        <v>23</v>
      </c>
      <c r="C95" s="37" t="s">
        <v>695</v>
      </c>
      <c r="D95" s="37" t="s">
        <v>696</v>
      </c>
      <c r="E95" s="37" t="s">
        <v>36</v>
      </c>
      <c r="F95" s="37" t="s">
        <v>681</v>
      </c>
      <c r="G95" s="37">
        <v>0</v>
      </c>
      <c r="H95" s="37">
        <v>0</v>
      </c>
      <c r="I95" s="37">
        <v>1</v>
      </c>
      <c r="J95" s="37">
        <v>1</v>
      </c>
      <c r="K95" s="37">
        <v>0</v>
      </c>
      <c r="L95" s="37">
        <v>0</v>
      </c>
      <c r="M95" s="37">
        <v>0</v>
      </c>
      <c r="N95" s="37">
        <v>0</v>
      </c>
      <c r="O95" s="37">
        <v>0</v>
      </c>
      <c r="P95" s="37">
        <v>0</v>
      </c>
      <c r="Q95" s="37">
        <v>0</v>
      </c>
      <c r="R95" s="37">
        <v>0</v>
      </c>
      <c r="S95" s="37">
        <v>0</v>
      </c>
      <c r="T95" s="147" t="s">
        <v>695</v>
      </c>
      <c r="U95" s="147"/>
      <c r="V95" s="147"/>
      <c r="W95" s="147"/>
      <c r="X95" s="37"/>
      <c r="Y95" s="37"/>
      <c r="Z95" s="37"/>
      <c r="AA95" s="37"/>
      <c r="AB95" s="37"/>
      <c r="AC95" s="37"/>
      <c r="AD95" s="37"/>
      <c r="AE95" s="37"/>
      <c r="AF95" s="37"/>
    </row>
    <row r="96" spans="1:32" ht="14">
      <c r="A96" s="37">
        <v>96</v>
      </c>
      <c r="B96" s="37" t="s">
        <v>23</v>
      </c>
      <c r="C96" s="37" t="s">
        <v>697</v>
      </c>
      <c r="D96" s="37" t="s">
        <v>691</v>
      </c>
      <c r="E96" s="37" t="s">
        <v>518</v>
      </c>
      <c r="F96" s="37" t="s">
        <v>672</v>
      </c>
      <c r="G96" s="37">
        <v>0</v>
      </c>
      <c r="H96" s="37">
        <v>0</v>
      </c>
      <c r="I96" s="37">
        <v>0</v>
      </c>
      <c r="J96" s="37">
        <v>0</v>
      </c>
      <c r="K96" s="37">
        <v>1</v>
      </c>
      <c r="L96" s="37">
        <v>0</v>
      </c>
      <c r="M96" s="37">
        <v>0</v>
      </c>
      <c r="N96" s="37">
        <v>0</v>
      </c>
      <c r="O96" s="37">
        <v>0</v>
      </c>
      <c r="P96" s="37">
        <v>0</v>
      </c>
      <c r="Q96" s="37">
        <v>0</v>
      </c>
      <c r="R96" s="37">
        <v>0</v>
      </c>
      <c r="S96" s="37">
        <v>0</v>
      </c>
      <c r="T96" s="147" t="s">
        <v>697</v>
      </c>
      <c r="U96" s="147"/>
      <c r="V96" s="147"/>
      <c r="W96" s="147"/>
      <c r="X96" s="147"/>
      <c r="Y96" s="37"/>
      <c r="Z96" s="37"/>
      <c r="AA96" s="37"/>
      <c r="AB96" s="37"/>
      <c r="AC96" s="37"/>
      <c r="AD96" s="37"/>
      <c r="AE96" s="37"/>
      <c r="AF96" s="37"/>
    </row>
    <row r="97" spans="1:32" ht="14">
      <c r="A97" s="37">
        <v>97</v>
      </c>
      <c r="B97" s="37" t="s">
        <v>23</v>
      </c>
      <c r="C97" s="37" t="s">
        <v>698</v>
      </c>
      <c r="D97" s="37" t="s">
        <v>523</v>
      </c>
      <c r="E97" s="37" t="s">
        <v>699</v>
      </c>
      <c r="F97" s="37" t="s">
        <v>512</v>
      </c>
      <c r="G97" s="37">
        <v>0</v>
      </c>
      <c r="H97" s="37">
        <v>0</v>
      </c>
      <c r="I97" s="37">
        <v>0</v>
      </c>
      <c r="J97" s="37">
        <v>1</v>
      </c>
      <c r="K97" s="37">
        <v>0</v>
      </c>
      <c r="L97" s="37">
        <v>1</v>
      </c>
      <c r="M97" s="37">
        <v>0</v>
      </c>
      <c r="N97" s="37">
        <v>0</v>
      </c>
      <c r="O97" s="37">
        <v>0</v>
      </c>
      <c r="P97" s="37">
        <v>0</v>
      </c>
      <c r="Q97" s="37">
        <v>0</v>
      </c>
      <c r="R97" s="37">
        <v>0</v>
      </c>
      <c r="S97" s="37">
        <v>0</v>
      </c>
      <c r="T97" s="147" t="s">
        <v>698</v>
      </c>
      <c r="U97" s="147"/>
      <c r="V97" s="147"/>
      <c r="W97" s="147"/>
      <c r="X97" s="37"/>
      <c r="Y97" s="37"/>
      <c r="Z97" s="37"/>
      <c r="AA97" s="37"/>
      <c r="AB97" s="37"/>
      <c r="AC97" s="37"/>
      <c r="AD97" s="37"/>
      <c r="AE97" s="37"/>
      <c r="AF97" s="37"/>
    </row>
    <row r="98" spans="1:32" ht="14">
      <c r="A98" s="37">
        <v>98</v>
      </c>
      <c r="B98" s="37" t="s">
        <v>23</v>
      </c>
      <c r="C98" s="37" t="s">
        <v>385</v>
      </c>
      <c r="D98" s="37" t="s">
        <v>674</v>
      </c>
      <c r="E98" s="37" t="s">
        <v>36</v>
      </c>
      <c r="F98" s="37" t="s">
        <v>497</v>
      </c>
      <c r="G98" s="37">
        <v>0</v>
      </c>
      <c r="H98" s="37">
        <v>0</v>
      </c>
      <c r="I98" s="37">
        <v>1</v>
      </c>
      <c r="J98" s="37">
        <v>1</v>
      </c>
      <c r="K98" s="37">
        <v>0</v>
      </c>
      <c r="L98" s="37">
        <v>0</v>
      </c>
      <c r="M98" s="37">
        <v>0</v>
      </c>
      <c r="N98" s="37">
        <v>0</v>
      </c>
      <c r="O98" s="37">
        <v>0</v>
      </c>
      <c r="P98" s="37">
        <v>0</v>
      </c>
      <c r="Q98" s="37">
        <v>0</v>
      </c>
      <c r="R98" s="37">
        <v>0</v>
      </c>
      <c r="S98" s="37">
        <v>0</v>
      </c>
      <c r="T98" s="147" t="s">
        <v>385</v>
      </c>
      <c r="U98" s="147"/>
      <c r="V98" s="147"/>
      <c r="W98" s="147"/>
      <c r="X98" s="147"/>
      <c r="Y98" s="37"/>
      <c r="Z98" s="37"/>
      <c r="AA98" s="37"/>
      <c r="AB98" s="37"/>
      <c r="AC98" s="37"/>
      <c r="AD98" s="37"/>
      <c r="AE98" s="37"/>
      <c r="AF98" s="37"/>
    </row>
    <row r="99" spans="1:32" ht="14">
      <c r="A99" s="37">
        <v>99</v>
      </c>
      <c r="B99" s="37" t="s">
        <v>245</v>
      </c>
      <c r="C99" s="37" t="s">
        <v>432</v>
      </c>
      <c r="D99" s="37" t="s">
        <v>700</v>
      </c>
      <c r="E99" s="37" t="s">
        <v>37</v>
      </c>
      <c r="F99" s="37" t="s">
        <v>672</v>
      </c>
      <c r="G99" s="37">
        <v>0</v>
      </c>
      <c r="H99" s="37">
        <v>0</v>
      </c>
      <c r="I99" s="37">
        <v>0</v>
      </c>
      <c r="J99" s="37">
        <v>0</v>
      </c>
      <c r="K99" s="37">
        <v>0</v>
      </c>
      <c r="L99" s="37">
        <v>0</v>
      </c>
      <c r="M99" s="37">
        <v>0</v>
      </c>
      <c r="N99" s="37">
        <v>0</v>
      </c>
      <c r="O99" s="37">
        <v>0</v>
      </c>
      <c r="P99" s="37">
        <v>1</v>
      </c>
      <c r="Q99" s="37">
        <v>0</v>
      </c>
      <c r="R99" s="37">
        <v>0</v>
      </c>
      <c r="S99" s="37">
        <v>0</v>
      </c>
      <c r="T99" s="147" t="s">
        <v>432</v>
      </c>
      <c r="U99" s="147"/>
      <c r="V99" s="147"/>
      <c r="W99" s="37"/>
      <c r="X99" s="37"/>
      <c r="Y99" s="37"/>
      <c r="Z99" s="37"/>
      <c r="AA99" s="37"/>
      <c r="AB99" s="37"/>
      <c r="AC99" s="37"/>
      <c r="AD99" s="37"/>
      <c r="AE99" s="37"/>
      <c r="AF99" s="37"/>
    </row>
    <row r="100" spans="1:32" ht="14">
      <c r="A100" s="37">
        <v>100</v>
      </c>
      <c r="B100" s="37" t="s">
        <v>245</v>
      </c>
      <c r="C100" s="37" t="s">
        <v>437</v>
      </c>
      <c r="D100" s="37" t="s">
        <v>694</v>
      </c>
      <c r="E100" s="37" t="s">
        <v>701</v>
      </c>
      <c r="F100" s="37" t="s">
        <v>643</v>
      </c>
      <c r="G100" s="37">
        <v>0</v>
      </c>
      <c r="H100" s="37">
        <v>0</v>
      </c>
      <c r="I100" s="37">
        <v>0</v>
      </c>
      <c r="J100" s="37">
        <v>1</v>
      </c>
      <c r="K100" s="37">
        <v>0</v>
      </c>
      <c r="L100" s="37">
        <v>1</v>
      </c>
      <c r="M100" s="37">
        <v>0</v>
      </c>
      <c r="N100" s="37">
        <v>0</v>
      </c>
      <c r="O100" s="37">
        <v>0</v>
      </c>
      <c r="P100" s="37">
        <v>0</v>
      </c>
      <c r="Q100" s="37">
        <v>1</v>
      </c>
      <c r="R100" s="37">
        <v>0</v>
      </c>
      <c r="S100" s="37">
        <v>0</v>
      </c>
      <c r="T100" s="147" t="s">
        <v>437</v>
      </c>
      <c r="U100" s="14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F100" s="37"/>
    </row>
    <row r="101" spans="1:32" ht="14">
      <c r="A101" s="37">
        <v>101</v>
      </c>
      <c r="B101" s="37" t="s">
        <v>23</v>
      </c>
      <c r="C101" s="37" t="s">
        <v>444</v>
      </c>
      <c r="D101" s="37" t="s">
        <v>523</v>
      </c>
      <c r="E101" s="37" t="s">
        <v>699</v>
      </c>
      <c r="F101" s="37" t="s">
        <v>497</v>
      </c>
      <c r="G101" s="37">
        <v>0</v>
      </c>
      <c r="H101" s="37">
        <v>0</v>
      </c>
      <c r="I101" s="37">
        <v>0</v>
      </c>
      <c r="J101" s="37">
        <v>1</v>
      </c>
      <c r="K101" s="37">
        <v>0</v>
      </c>
      <c r="L101" s="37">
        <v>1</v>
      </c>
      <c r="M101" s="37">
        <v>0</v>
      </c>
      <c r="N101" s="37">
        <v>0</v>
      </c>
      <c r="O101" s="37">
        <v>0</v>
      </c>
      <c r="P101" s="37">
        <v>0</v>
      </c>
      <c r="Q101" s="37">
        <v>0</v>
      </c>
      <c r="R101" s="37">
        <v>0</v>
      </c>
      <c r="S101" s="37">
        <v>0</v>
      </c>
      <c r="T101" s="147" t="s">
        <v>444</v>
      </c>
      <c r="U101" s="14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</row>
    <row r="102" spans="1:32" ht="14">
      <c r="A102" s="37">
        <v>102</v>
      </c>
      <c r="B102" s="37" t="s">
        <v>23</v>
      </c>
      <c r="C102" s="37" t="s">
        <v>452</v>
      </c>
      <c r="D102" s="37" t="s">
        <v>523</v>
      </c>
      <c r="E102" s="37" t="s">
        <v>699</v>
      </c>
      <c r="F102" s="37" t="s">
        <v>672</v>
      </c>
      <c r="G102" s="37">
        <v>0</v>
      </c>
      <c r="H102" s="37">
        <v>0</v>
      </c>
      <c r="I102" s="37">
        <v>0</v>
      </c>
      <c r="J102" s="37">
        <v>1</v>
      </c>
      <c r="K102" s="37">
        <v>0</v>
      </c>
      <c r="L102" s="37">
        <v>1</v>
      </c>
      <c r="M102" s="37">
        <v>0</v>
      </c>
      <c r="N102" s="37">
        <v>0</v>
      </c>
      <c r="O102" s="37">
        <v>0</v>
      </c>
      <c r="P102" s="37">
        <v>0</v>
      </c>
      <c r="Q102" s="37">
        <v>0</v>
      </c>
      <c r="R102" s="37">
        <v>0</v>
      </c>
      <c r="S102" s="37">
        <v>0</v>
      </c>
      <c r="T102" s="147" t="s">
        <v>452</v>
      </c>
      <c r="U102" s="14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F102" s="37"/>
    </row>
    <row r="103" spans="1:32" ht="14">
      <c r="A103" s="37">
        <v>103</v>
      </c>
      <c r="B103" s="37" t="s">
        <v>23</v>
      </c>
      <c r="C103" s="37" t="s">
        <v>702</v>
      </c>
      <c r="D103" s="37" t="s">
        <v>642</v>
      </c>
      <c r="E103" s="37" t="s">
        <v>703</v>
      </c>
      <c r="F103" s="37" t="s">
        <v>512</v>
      </c>
      <c r="G103" s="37">
        <v>0</v>
      </c>
      <c r="H103" s="37">
        <v>0</v>
      </c>
      <c r="I103" s="37">
        <v>0</v>
      </c>
      <c r="J103" s="37">
        <v>1</v>
      </c>
      <c r="K103" s="37">
        <v>0</v>
      </c>
      <c r="L103" s="37">
        <v>1</v>
      </c>
      <c r="M103" s="37">
        <v>0</v>
      </c>
      <c r="N103" s="37">
        <v>0</v>
      </c>
      <c r="O103" s="37">
        <v>0</v>
      </c>
      <c r="P103" s="37">
        <v>0</v>
      </c>
      <c r="Q103" s="37">
        <v>0</v>
      </c>
      <c r="R103" s="37">
        <v>0</v>
      </c>
      <c r="S103" s="37">
        <v>0</v>
      </c>
      <c r="T103" s="147" t="s">
        <v>702</v>
      </c>
      <c r="U103" s="147"/>
      <c r="V103" s="147"/>
      <c r="W103" s="147"/>
      <c r="X103" s="147"/>
      <c r="Y103" s="147"/>
      <c r="Z103" s="37"/>
      <c r="AA103" s="37"/>
      <c r="AB103" s="37"/>
      <c r="AC103" s="37"/>
      <c r="AD103" s="37"/>
      <c r="AE103" s="37"/>
      <c r="AF103" s="37"/>
    </row>
    <row r="104" spans="1:32" ht="14">
      <c r="A104" s="37">
        <v>104</v>
      </c>
      <c r="B104" s="37" t="s">
        <v>23</v>
      </c>
      <c r="C104" s="37" t="s">
        <v>704</v>
      </c>
      <c r="D104" s="37" t="s">
        <v>523</v>
      </c>
      <c r="E104" s="37" t="s">
        <v>37</v>
      </c>
      <c r="F104" s="37" t="s">
        <v>672</v>
      </c>
      <c r="G104" s="37">
        <v>0</v>
      </c>
      <c r="H104" s="37">
        <v>0</v>
      </c>
      <c r="I104" s="37">
        <v>0</v>
      </c>
      <c r="J104" s="37">
        <v>1</v>
      </c>
      <c r="K104" s="37">
        <v>0</v>
      </c>
      <c r="L104" s="37">
        <v>0</v>
      </c>
      <c r="M104" s="37">
        <v>0</v>
      </c>
      <c r="N104" s="37">
        <v>0</v>
      </c>
      <c r="O104" s="37">
        <v>0</v>
      </c>
      <c r="P104" s="37">
        <v>0</v>
      </c>
      <c r="Q104" s="37">
        <v>0</v>
      </c>
      <c r="R104" s="37">
        <v>0</v>
      </c>
      <c r="S104" s="37">
        <v>0</v>
      </c>
      <c r="T104" s="147" t="s">
        <v>704</v>
      </c>
      <c r="U104" s="147"/>
      <c r="V104" s="147"/>
      <c r="W104" s="37"/>
      <c r="X104" s="37"/>
      <c r="Y104" s="37"/>
      <c r="Z104" s="37"/>
      <c r="AA104" s="37"/>
      <c r="AB104" s="37"/>
      <c r="AC104" s="37"/>
      <c r="AD104" s="37"/>
      <c r="AE104" s="37"/>
      <c r="AF104" s="37"/>
    </row>
    <row r="105" spans="1:32" ht="14">
      <c r="A105" s="37">
        <v>105</v>
      </c>
      <c r="B105" s="37" t="s">
        <v>23</v>
      </c>
      <c r="C105" s="37" t="s">
        <v>705</v>
      </c>
      <c r="D105" s="37" t="s">
        <v>674</v>
      </c>
      <c r="E105" s="37" t="s">
        <v>37</v>
      </c>
      <c r="F105" s="37" t="s">
        <v>672</v>
      </c>
      <c r="G105" s="37">
        <v>0</v>
      </c>
      <c r="H105" s="37">
        <v>0</v>
      </c>
      <c r="I105" s="37">
        <v>1</v>
      </c>
      <c r="J105" s="37">
        <v>0</v>
      </c>
      <c r="K105" s="37">
        <v>0</v>
      </c>
      <c r="L105" s="37">
        <v>0</v>
      </c>
      <c r="M105" s="37">
        <v>0</v>
      </c>
      <c r="N105" s="37">
        <v>0</v>
      </c>
      <c r="O105" s="37">
        <v>0</v>
      </c>
      <c r="P105" s="37">
        <v>0</v>
      </c>
      <c r="Q105" s="37">
        <v>0</v>
      </c>
      <c r="R105" s="37">
        <v>0</v>
      </c>
      <c r="S105" s="37">
        <v>0</v>
      </c>
      <c r="T105" s="147" t="s">
        <v>705</v>
      </c>
      <c r="U105" s="147"/>
      <c r="V105" s="147"/>
      <c r="W105" s="37"/>
      <c r="X105" s="37"/>
      <c r="Y105" s="37"/>
      <c r="Z105" s="37"/>
      <c r="AA105" s="37"/>
      <c r="AB105" s="37"/>
      <c r="AC105" s="37"/>
      <c r="AD105" s="37"/>
      <c r="AE105" s="37"/>
      <c r="AF105" s="37"/>
    </row>
    <row r="106" spans="1:32" ht="14">
      <c r="A106" s="37">
        <v>106</v>
      </c>
      <c r="B106" s="37" t="s">
        <v>181</v>
      </c>
      <c r="C106" s="37" t="s">
        <v>706</v>
      </c>
      <c r="D106" s="37" t="s">
        <v>689</v>
      </c>
      <c r="E106" s="37" t="s">
        <v>36</v>
      </c>
      <c r="F106" s="37" t="s">
        <v>643</v>
      </c>
      <c r="G106" s="37">
        <v>0</v>
      </c>
      <c r="H106" s="37">
        <v>0</v>
      </c>
      <c r="I106" s="37">
        <v>0</v>
      </c>
      <c r="J106" s="37">
        <v>1</v>
      </c>
      <c r="K106" s="37">
        <v>0</v>
      </c>
      <c r="L106" s="37">
        <v>1</v>
      </c>
      <c r="M106" s="37">
        <v>0</v>
      </c>
      <c r="N106" s="37">
        <v>0</v>
      </c>
      <c r="O106" s="37">
        <v>0</v>
      </c>
      <c r="P106" s="37">
        <v>0</v>
      </c>
      <c r="Q106" s="37">
        <v>0</v>
      </c>
      <c r="R106" s="37">
        <v>0</v>
      </c>
      <c r="S106" s="37">
        <v>0</v>
      </c>
      <c r="T106" s="147" t="s">
        <v>706</v>
      </c>
      <c r="U106" s="147"/>
      <c r="V106" s="147"/>
      <c r="W106" s="147"/>
      <c r="X106" s="37"/>
      <c r="Y106" s="37"/>
      <c r="Z106" s="37"/>
      <c r="AA106" s="37"/>
      <c r="AB106" s="37"/>
      <c r="AC106" s="37"/>
      <c r="AD106" s="37"/>
      <c r="AE106" s="37"/>
      <c r="AF106" s="37"/>
    </row>
    <row r="107" spans="1:32" ht="14">
      <c r="A107" s="37">
        <v>107</v>
      </c>
      <c r="B107" s="37" t="s">
        <v>23</v>
      </c>
      <c r="C107" s="37" t="s">
        <v>707</v>
      </c>
      <c r="D107" s="37" t="s">
        <v>518</v>
      </c>
      <c r="E107" s="37" t="s">
        <v>708</v>
      </c>
      <c r="F107" s="37" t="s">
        <v>684</v>
      </c>
      <c r="G107" s="37">
        <v>0</v>
      </c>
      <c r="H107" s="37">
        <v>0</v>
      </c>
      <c r="I107" s="37">
        <v>0</v>
      </c>
      <c r="J107" s="37">
        <v>0</v>
      </c>
      <c r="K107" s="37">
        <v>1</v>
      </c>
      <c r="L107" s="37">
        <v>0</v>
      </c>
      <c r="M107" s="37">
        <v>0</v>
      </c>
      <c r="N107" s="37">
        <v>0</v>
      </c>
      <c r="O107" s="37">
        <v>0</v>
      </c>
      <c r="P107" s="37">
        <v>0</v>
      </c>
      <c r="Q107" s="37">
        <v>0</v>
      </c>
      <c r="R107" s="37">
        <v>0</v>
      </c>
      <c r="S107" s="37">
        <v>0</v>
      </c>
      <c r="T107" s="147" t="s">
        <v>707</v>
      </c>
      <c r="U107" s="147"/>
      <c r="V107" s="147"/>
      <c r="W107" s="37"/>
      <c r="X107" s="37"/>
      <c r="Y107" s="37"/>
      <c r="Z107" s="37"/>
      <c r="AA107" s="37"/>
      <c r="AB107" s="37"/>
      <c r="AC107" s="37"/>
      <c r="AD107" s="37"/>
      <c r="AE107" s="37"/>
      <c r="AF107" s="37"/>
    </row>
    <row r="108" spans="1:32" ht="14">
      <c r="A108" s="37">
        <v>108</v>
      </c>
      <c r="B108" s="37" t="s">
        <v>23</v>
      </c>
      <c r="C108" s="37" t="s">
        <v>709</v>
      </c>
      <c r="D108" s="37" t="s">
        <v>36</v>
      </c>
      <c r="E108" s="37" t="s">
        <v>689</v>
      </c>
      <c r="F108" s="37" t="s">
        <v>497</v>
      </c>
      <c r="G108" s="37">
        <v>0</v>
      </c>
      <c r="H108" s="37">
        <v>0</v>
      </c>
      <c r="I108" s="37">
        <v>0</v>
      </c>
      <c r="J108" s="37">
        <v>1</v>
      </c>
      <c r="K108" s="37">
        <v>0</v>
      </c>
      <c r="L108" s="37">
        <v>1</v>
      </c>
      <c r="M108" s="37">
        <v>0</v>
      </c>
      <c r="N108" s="37">
        <v>0</v>
      </c>
      <c r="O108" s="37">
        <v>0</v>
      </c>
      <c r="P108" s="37">
        <v>0</v>
      </c>
      <c r="Q108" s="37">
        <v>0</v>
      </c>
      <c r="R108" s="37">
        <v>0</v>
      </c>
      <c r="S108" s="37">
        <v>0</v>
      </c>
      <c r="T108" s="147" t="s">
        <v>709</v>
      </c>
      <c r="U108" s="147"/>
      <c r="V108" s="147"/>
      <c r="W108" s="37"/>
      <c r="X108" s="37"/>
      <c r="Y108" s="37"/>
      <c r="Z108" s="37"/>
      <c r="AA108" s="37"/>
      <c r="AB108" s="37"/>
      <c r="AC108" s="37"/>
      <c r="AD108" s="37"/>
      <c r="AE108" s="37"/>
      <c r="AF108" s="37"/>
    </row>
    <row r="109" spans="1:32" ht="14">
      <c r="A109" s="37">
        <v>109</v>
      </c>
      <c r="B109" s="37" t="s">
        <v>23</v>
      </c>
      <c r="C109" s="37" t="s">
        <v>710</v>
      </c>
      <c r="D109" s="37" t="s">
        <v>711</v>
      </c>
      <c r="E109" s="37" t="s">
        <v>708</v>
      </c>
      <c r="F109" s="37" t="s">
        <v>643</v>
      </c>
      <c r="G109" s="37">
        <v>0</v>
      </c>
      <c r="H109" s="37">
        <v>0</v>
      </c>
      <c r="I109" s="37">
        <v>1</v>
      </c>
      <c r="J109" s="37">
        <v>0</v>
      </c>
      <c r="K109" s="37">
        <v>0</v>
      </c>
      <c r="L109" s="37">
        <v>1</v>
      </c>
      <c r="M109" s="37">
        <v>0</v>
      </c>
      <c r="N109" s="37">
        <v>0</v>
      </c>
      <c r="O109" s="37">
        <v>0</v>
      </c>
      <c r="P109" s="37">
        <v>0</v>
      </c>
      <c r="Q109" s="37">
        <v>0</v>
      </c>
      <c r="R109" s="37">
        <v>0</v>
      </c>
      <c r="S109" s="37">
        <v>0</v>
      </c>
      <c r="T109" s="147" t="s">
        <v>710</v>
      </c>
      <c r="U109" s="147"/>
      <c r="V109" s="147"/>
      <c r="W109" s="147"/>
      <c r="X109" s="37"/>
      <c r="Y109" s="37"/>
      <c r="Z109" s="37"/>
      <c r="AA109" s="37"/>
      <c r="AB109" s="37"/>
      <c r="AC109" s="37"/>
      <c r="AD109" s="37"/>
      <c r="AE109" s="37"/>
      <c r="AF109" s="37"/>
    </row>
    <row r="110" spans="1:32" ht="14">
      <c r="A110" s="37">
        <v>110</v>
      </c>
      <c r="B110" s="37" t="s">
        <v>23</v>
      </c>
      <c r="C110" s="37" t="s">
        <v>712</v>
      </c>
      <c r="D110" s="37" t="s">
        <v>507</v>
      </c>
      <c r="E110" s="37" t="s">
        <v>699</v>
      </c>
      <c r="F110" s="37" t="s">
        <v>512</v>
      </c>
      <c r="G110" s="37">
        <v>0</v>
      </c>
      <c r="H110" s="37">
        <v>0</v>
      </c>
      <c r="I110" s="37">
        <v>0</v>
      </c>
      <c r="J110" s="37">
        <v>0</v>
      </c>
      <c r="K110" s="37">
        <v>0</v>
      </c>
      <c r="L110" s="37">
        <v>1</v>
      </c>
      <c r="M110" s="37">
        <v>0</v>
      </c>
      <c r="N110" s="37">
        <v>0</v>
      </c>
      <c r="O110" s="37">
        <v>1</v>
      </c>
      <c r="P110" s="37">
        <v>0</v>
      </c>
      <c r="Q110" s="37">
        <v>0</v>
      </c>
      <c r="R110" s="37">
        <v>0</v>
      </c>
      <c r="S110" s="37">
        <v>0</v>
      </c>
      <c r="T110" s="147" t="s">
        <v>712</v>
      </c>
      <c r="U110" s="147"/>
      <c r="V110" s="147"/>
      <c r="W110" s="37"/>
      <c r="X110" s="37"/>
      <c r="Y110" s="37"/>
      <c r="Z110" s="37"/>
      <c r="AA110" s="37"/>
      <c r="AB110" s="37"/>
      <c r="AC110" s="37"/>
      <c r="AD110" s="37"/>
      <c r="AE110" s="37"/>
      <c r="AF110" s="37"/>
    </row>
    <row r="111" spans="1:32" ht="14">
      <c r="A111" s="37">
        <v>111</v>
      </c>
      <c r="B111" s="37" t="s">
        <v>23</v>
      </c>
      <c r="C111" s="37" t="s">
        <v>576</v>
      </c>
      <c r="D111" s="37" t="s">
        <v>523</v>
      </c>
      <c r="E111" s="37" t="s">
        <v>36</v>
      </c>
      <c r="F111" s="37" t="s">
        <v>671</v>
      </c>
      <c r="G111" s="37">
        <v>0</v>
      </c>
      <c r="H111" s="37">
        <v>1</v>
      </c>
      <c r="I111" s="37">
        <v>0</v>
      </c>
      <c r="J111" s="37">
        <v>1</v>
      </c>
      <c r="K111" s="37">
        <v>0</v>
      </c>
      <c r="L111" s="37">
        <v>0</v>
      </c>
      <c r="M111" s="37">
        <v>0</v>
      </c>
      <c r="N111" s="37">
        <v>0</v>
      </c>
      <c r="O111" s="37">
        <v>0</v>
      </c>
      <c r="P111" s="37">
        <v>0</v>
      </c>
      <c r="Q111" s="37">
        <v>0</v>
      </c>
      <c r="R111" s="37">
        <v>0</v>
      </c>
      <c r="S111" s="37">
        <v>0</v>
      </c>
      <c r="T111" s="147" t="s">
        <v>576</v>
      </c>
      <c r="U111" s="14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F111" s="37"/>
    </row>
    <row r="112" spans="1:32" ht="14">
      <c r="A112" s="37">
        <v>112</v>
      </c>
      <c r="B112" s="37" t="s">
        <v>245</v>
      </c>
      <c r="C112" s="37" t="s">
        <v>467</v>
      </c>
      <c r="D112" s="37" t="s">
        <v>691</v>
      </c>
      <c r="E112" s="37" t="s">
        <v>80</v>
      </c>
      <c r="F112" s="37" t="s">
        <v>643</v>
      </c>
      <c r="G112" s="37">
        <v>0</v>
      </c>
      <c r="H112" s="37">
        <v>0</v>
      </c>
      <c r="I112" s="37">
        <v>0</v>
      </c>
      <c r="J112" s="37">
        <v>1</v>
      </c>
      <c r="K112" s="37">
        <v>0</v>
      </c>
      <c r="L112" s="37">
        <v>0</v>
      </c>
      <c r="M112" s="37">
        <v>0</v>
      </c>
      <c r="N112" s="37">
        <v>0</v>
      </c>
      <c r="O112" s="37">
        <v>0</v>
      </c>
      <c r="P112" s="37">
        <v>0</v>
      </c>
      <c r="Q112" s="37">
        <v>0</v>
      </c>
      <c r="R112" s="37">
        <v>0</v>
      </c>
      <c r="S112" s="37">
        <v>0</v>
      </c>
      <c r="T112" s="147" t="s">
        <v>467</v>
      </c>
      <c r="U112" s="147"/>
      <c r="V112" s="147"/>
      <c r="W112" s="147"/>
      <c r="X112" s="37"/>
      <c r="Y112" s="37"/>
      <c r="Z112" s="37"/>
      <c r="AA112" s="37"/>
      <c r="AB112" s="37"/>
      <c r="AC112" s="37"/>
      <c r="AD112" s="37"/>
      <c r="AE112" s="37"/>
      <c r="AF112" s="37"/>
    </row>
    <row r="113" spans="1:32" ht="14">
      <c r="A113" s="37">
        <v>113</v>
      </c>
      <c r="B113" s="37" t="s">
        <v>245</v>
      </c>
      <c r="C113" s="37" t="s">
        <v>474</v>
      </c>
      <c r="D113" s="37" t="s">
        <v>642</v>
      </c>
      <c r="E113" s="37" t="s">
        <v>700</v>
      </c>
      <c r="F113" s="37" t="s">
        <v>643</v>
      </c>
      <c r="G113" s="37">
        <v>0</v>
      </c>
      <c r="H113" s="37">
        <v>0</v>
      </c>
      <c r="I113" s="37">
        <v>0</v>
      </c>
      <c r="J113" s="37">
        <v>1</v>
      </c>
      <c r="K113" s="37">
        <v>0</v>
      </c>
      <c r="L113" s="37">
        <v>0</v>
      </c>
      <c r="M113" s="37">
        <v>0</v>
      </c>
      <c r="N113" s="37">
        <v>0</v>
      </c>
      <c r="O113" s="37">
        <v>0</v>
      </c>
      <c r="P113" s="37">
        <v>1</v>
      </c>
      <c r="Q113" s="37">
        <v>0</v>
      </c>
      <c r="R113" s="37">
        <v>0</v>
      </c>
      <c r="S113" s="37">
        <v>0</v>
      </c>
      <c r="T113" s="147" t="s">
        <v>474</v>
      </c>
      <c r="U113" s="147"/>
      <c r="V113" s="147"/>
      <c r="W113" s="37"/>
      <c r="X113" s="37"/>
      <c r="Y113" s="37"/>
      <c r="Z113" s="37"/>
      <c r="AA113" s="37"/>
      <c r="AB113" s="37"/>
      <c r="AC113" s="37"/>
      <c r="AD113" s="37"/>
      <c r="AE113" s="37"/>
      <c r="AF113" s="37"/>
    </row>
    <row r="114" spans="1:32" ht="14">
      <c r="A114" s="37">
        <v>114</v>
      </c>
      <c r="B114" s="37" t="s">
        <v>245</v>
      </c>
      <c r="C114" s="37" t="s">
        <v>577</v>
      </c>
      <c r="D114" s="37" t="s">
        <v>691</v>
      </c>
      <c r="E114" s="37" t="s">
        <v>699</v>
      </c>
      <c r="F114" s="37" t="s">
        <v>684</v>
      </c>
      <c r="G114" s="37">
        <v>0</v>
      </c>
      <c r="H114" s="37">
        <v>0</v>
      </c>
      <c r="I114" s="37">
        <v>0</v>
      </c>
      <c r="J114" s="37">
        <v>0</v>
      </c>
      <c r="K114" s="37">
        <v>0</v>
      </c>
      <c r="L114" s="37">
        <v>1</v>
      </c>
      <c r="M114" s="37">
        <v>0</v>
      </c>
      <c r="N114" s="37">
        <v>0</v>
      </c>
      <c r="O114" s="37">
        <v>0</v>
      </c>
      <c r="P114" s="37">
        <v>0</v>
      </c>
      <c r="Q114" s="37">
        <v>0</v>
      </c>
      <c r="R114" s="37">
        <v>0</v>
      </c>
      <c r="S114" s="37">
        <v>0</v>
      </c>
      <c r="T114" s="147" t="s">
        <v>577</v>
      </c>
      <c r="U114" s="14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F114" s="37"/>
    </row>
    <row r="115" spans="1:32" ht="14">
      <c r="A115" s="37">
        <v>115</v>
      </c>
      <c r="B115" s="37" t="s">
        <v>161</v>
      </c>
      <c r="C115" s="37" t="s">
        <v>578</v>
      </c>
      <c r="D115" s="37" t="s">
        <v>696</v>
      </c>
      <c r="E115" s="37" t="s">
        <v>77</v>
      </c>
      <c r="F115" s="37" t="s">
        <v>681</v>
      </c>
      <c r="G115" s="37">
        <v>0</v>
      </c>
      <c r="H115" s="37">
        <v>0</v>
      </c>
      <c r="I115" s="37">
        <v>1</v>
      </c>
      <c r="J115" s="37">
        <v>1</v>
      </c>
      <c r="K115" s="37">
        <v>0</v>
      </c>
      <c r="L115" s="37">
        <v>0</v>
      </c>
      <c r="M115" s="37">
        <v>0</v>
      </c>
      <c r="N115" s="37">
        <v>0</v>
      </c>
      <c r="O115" s="37">
        <v>0</v>
      </c>
      <c r="P115" s="37">
        <v>0</v>
      </c>
      <c r="Q115" s="37">
        <v>0</v>
      </c>
      <c r="R115" s="37">
        <v>0</v>
      </c>
      <c r="S115" s="37">
        <v>0</v>
      </c>
      <c r="T115" s="147" t="s">
        <v>578</v>
      </c>
      <c r="U115" s="147"/>
      <c r="V115" s="147"/>
      <c r="W115" s="147"/>
      <c r="X115" s="37"/>
      <c r="Y115" s="37"/>
      <c r="Z115" s="37"/>
      <c r="AA115" s="37"/>
      <c r="AB115" s="37"/>
      <c r="AC115" s="37"/>
      <c r="AD115" s="37"/>
      <c r="AE115" s="37"/>
      <c r="AF115" s="37"/>
    </row>
    <row r="116" spans="1:32" ht="14">
      <c r="A116" s="37">
        <v>116</v>
      </c>
      <c r="B116" s="37" t="s">
        <v>161</v>
      </c>
      <c r="C116" s="37" t="s">
        <v>259</v>
      </c>
      <c r="D116" s="37" t="s">
        <v>674</v>
      </c>
      <c r="E116" s="37" t="s">
        <v>579</v>
      </c>
      <c r="F116" s="37" t="s">
        <v>507</v>
      </c>
      <c r="G116" s="37">
        <v>0</v>
      </c>
      <c r="H116" s="37">
        <v>0</v>
      </c>
      <c r="I116" s="37">
        <v>1</v>
      </c>
      <c r="J116" s="37">
        <v>0</v>
      </c>
      <c r="K116" s="37">
        <v>0</v>
      </c>
      <c r="L116" s="37">
        <v>0</v>
      </c>
      <c r="M116" s="37">
        <v>0</v>
      </c>
      <c r="N116" s="37">
        <v>0</v>
      </c>
      <c r="O116" s="37">
        <v>0</v>
      </c>
      <c r="P116" s="37">
        <v>0</v>
      </c>
      <c r="Q116" s="37">
        <v>1</v>
      </c>
      <c r="R116" s="37">
        <v>0</v>
      </c>
      <c r="S116" s="37">
        <v>0</v>
      </c>
      <c r="T116" s="147" t="s">
        <v>259</v>
      </c>
      <c r="U116" s="14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F116" s="37"/>
    </row>
    <row r="117" spans="1:32" ht="14">
      <c r="A117" s="37">
        <v>118</v>
      </c>
      <c r="B117" s="37" t="s">
        <v>181</v>
      </c>
      <c r="C117" s="37" t="s">
        <v>482</v>
      </c>
      <c r="D117" s="37" t="s">
        <v>143</v>
      </c>
      <c r="E117" s="37" t="s">
        <v>36</v>
      </c>
      <c r="F117" s="37" t="s">
        <v>512</v>
      </c>
      <c r="G117" s="37">
        <v>0</v>
      </c>
      <c r="H117" s="37">
        <v>0</v>
      </c>
      <c r="I117" s="37">
        <v>0</v>
      </c>
      <c r="J117" s="37">
        <v>1</v>
      </c>
      <c r="K117" s="37">
        <v>0</v>
      </c>
      <c r="L117" s="37">
        <v>0</v>
      </c>
      <c r="M117" s="37">
        <v>0</v>
      </c>
      <c r="N117" s="37">
        <v>0</v>
      </c>
      <c r="O117" s="37">
        <v>0</v>
      </c>
      <c r="P117" s="37">
        <v>0</v>
      </c>
      <c r="Q117" s="37">
        <v>0</v>
      </c>
      <c r="R117" s="37">
        <v>0</v>
      </c>
      <c r="S117" s="37">
        <v>0</v>
      </c>
      <c r="T117" s="147" t="s">
        <v>482</v>
      </c>
      <c r="U117" s="14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F117" s="37"/>
    </row>
    <row r="118" spans="1:32" ht="14">
      <c r="A118" s="37">
        <v>119</v>
      </c>
      <c r="B118" s="37" t="s">
        <v>181</v>
      </c>
      <c r="C118" s="37" t="s">
        <v>719</v>
      </c>
      <c r="D118" s="37" t="s">
        <v>535</v>
      </c>
      <c r="E118" s="37" t="s">
        <v>536</v>
      </c>
      <c r="F118" s="37" t="s">
        <v>553</v>
      </c>
      <c r="G118" s="37">
        <v>0</v>
      </c>
      <c r="H118" s="37">
        <v>0</v>
      </c>
      <c r="I118" s="37">
        <v>1</v>
      </c>
      <c r="J118" s="37">
        <v>0</v>
      </c>
      <c r="K118" s="37">
        <v>0</v>
      </c>
      <c r="L118" s="37">
        <v>0</v>
      </c>
      <c r="M118" s="37">
        <v>0</v>
      </c>
      <c r="N118" s="37">
        <v>0</v>
      </c>
      <c r="O118" s="37">
        <v>0</v>
      </c>
      <c r="P118" s="37">
        <v>0</v>
      </c>
      <c r="Q118" s="37">
        <v>1</v>
      </c>
      <c r="R118" s="37">
        <v>0</v>
      </c>
      <c r="S118" s="37">
        <v>0</v>
      </c>
      <c r="T118" s="147" t="s">
        <v>719</v>
      </c>
      <c r="U118" s="147"/>
      <c r="V118" s="147"/>
      <c r="W118" s="147"/>
      <c r="X118" s="147"/>
      <c r="Y118" s="37"/>
      <c r="Z118" s="37"/>
      <c r="AA118" s="37"/>
      <c r="AB118" s="37"/>
      <c r="AC118" s="37"/>
      <c r="AD118" s="37"/>
      <c r="AE118" s="37"/>
      <c r="AF118" s="37"/>
    </row>
    <row r="119" spans="1:32" ht="14">
      <c r="A119" s="37">
        <v>120</v>
      </c>
      <c r="B119" s="37" t="s">
        <v>181</v>
      </c>
      <c r="C119" s="37" t="s">
        <v>581</v>
      </c>
      <c r="D119" s="37" t="s">
        <v>77</v>
      </c>
      <c r="E119" s="37" t="s">
        <v>582</v>
      </c>
      <c r="F119" s="37" t="s">
        <v>553</v>
      </c>
      <c r="G119" s="37">
        <v>0</v>
      </c>
      <c r="H119" s="37">
        <v>0</v>
      </c>
      <c r="I119" s="37">
        <v>0</v>
      </c>
      <c r="J119" s="37">
        <v>1</v>
      </c>
      <c r="K119" s="37">
        <v>0</v>
      </c>
      <c r="L119" s="37">
        <v>0</v>
      </c>
      <c r="M119" s="37">
        <v>0</v>
      </c>
      <c r="N119" s="37">
        <v>0</v>
      </c>
      <c r="O119" s="37">
        <v>0</v>
      </c>
      <c r="P119" s="37">
        <v>0</v>
      </c>
      <c r="Q119" s="37">
        <v>0</v>
      </c>
      <c r="R119" s="37">
        <v>0</v>
      </c>
      <c r="S119" s="37">
        <v>0</v>
      </c>
      <c r="T119" s="147" t="s">
        <v>581</v>
      </c>
      <c r="U119" s="147"/>
      <c r="V119" s="147"/>
      <c r="W119" s="147"/>
      <c r="X119" s="37"/>
      <c r="Y119" s="37"/>
      <c r="Z119" s="37"/>
      <c r="AA119" s="37"/>
      <c r="AB119" s="37"/>
      <c r="AC119" s="37"/>
      <c r="AD119" s="37"/>
      <c r="AE119" s="37"/>
      <c r="AF119" s="37"/>
    </row>
    <row r="120" spans="1:32" ht="14">
      <c r="A120" s="37">
        <v>121</v>
      </c>
      <c r="B120" s="37" t="s">
        <v>181</v>
      </c>
      <c r="C120" s="37" t="s">
        <v>583</v>
      </c>
      <c r="D120" s="37" t="s">
        <v>523</v>
      </c>
      <c r="E120" s="37" t="s">
        <v>56</v>
      </c>
      <c r="F120" s="37" t="s">
        <v>101</v>
      </c>
      <c r="G120" s="37">
        <v>0</v>
      </c>
      <c r="H120" s="37">
        <v>0</v>
      </c>
      <c r="I120" s="37">
        <v>0</v>
      </c>
      <c r="J120" s="37">
        <v>1</v>
      </c>
      <c r="K120" s="37">
        <v>0</v>
      </c>
      <c r="L120" s="37">
        <v>0</v>
      </c>
      <c r="M120" s="37">
        <v>0</v>
      </c>
      <c r="N120" s="37">
        <v>0</v>
      </c>
      <c r="O120" s="37">
        <v>0</v>
      </c>
      <c r="P120" s="37">
        <v>0</v>
      </c>
      <c r="Q120" s="37">
        <v>0</v>
      </c>
      <c r="R120" s="37">
        <v>0</v>
      </c>
      <c r="S120" s="37">
        <v>0</v>
      </c>
      <c r="T120" s="147" t="s">
        <v>583</v>
      </c>
      <c r="U120" s="147"/>
      <c r="V120" s="147"/>
      <c r="W120" s="37"/>
      <c r="X120" s="37"/>
      <c r="Y120" s="37"/>
      <c r="Z120" s="37"/>
      <c r="AA120" s="37"/>
      <c r="AB120" s="37"/>
      <c r="AC120" s="37"/>
      <c r="AD120" s="37"/>
      <c r="AE120" s="37"/>
      <c r="AF120" s="37"/>
    </row>
    <row r="121" spans="1:32" ht="14">
      <c r="A121" s="37">
        <v>122</v>
      </c>
      <c r="B121" s="37" t="s">
        <v>23</v>
      </c>
      <c r="C121" s="37" t="s">
        <v>584</v>
      </c>
      <c r="D121" s="37" t="s">
        <v>69</v>
      </c>
      <c r="E121" s="37" t="s">
        <v>535</v>
      </c>
      <c r="F121" s="37" t="s">
        <v>512</v>
      </c>
      <c r="G121" s="37">
        <v>0</v>
      </c>
      <c r="H121" s="37">
        <v>0</v>
      </c>
      <c r="I121" s="37">
        <v>1</v>
      </c>
      <c r="J121" s="37">
        <v>0</v>
      </c>
      <c r="K121" s="37">
        <v>0</v>
      </c>
      <c r="L121" s="37">
        <v>0</v>
      </c>
      <c r="M121" s="37">
        <v>0</v>
      </c>
      <c r="N121" s="37">
        <v>0</v>
      </c>
      <c r="O121" s="37">
        <v>0</v>
      </c>
      <c r="P121" s="37">
        <v>0</v>
      </c>
      <c r="Q121" s="37">
        <v>1</v>
      </c>
      <c r="R121" s="37">
        <v>0</v>
      </c>
      <c r="S121" s="37">
        <v>0</v>
      </c>
      <c r="T121" s="147" t="s">
        <v>584</v>
      </c>
      <c r="U121" s="147"/>
      <c r="V121" s="147"/>
      <c r="W121" s="147"/>
      <c r="X121" s="37"/>
      <c r="Y121" s="37"/>
      <c r="Z121" s="37"/>
      <c r="AA121" s="37"/>
      <c r="AB121" s="37"/>
      <c r="AC121" s="37"/>
      <c r="AD121" s="37"/>
      <c r="AE121" s="37"/>
      <c r="AF121" s="37"/>
    </row>
    <row r="122" spans="1:32" ht="14">
      <c r="A122" s="37">
        <v>123</v>
      </c>
      <c r="B122" s="37" t="s">
        <v>23</v>
      </c>
      <c r="C122" s="37" t="s">
        <v>585</v>
      </c>
      <c r="D122" s="37" t="s">
        <v>59</v>
      </c>
      <c r="E122" s="37" t="s">
        <v>146</v>
      </c>
      <c r="F122" s="37" t="s">
        <v>512</v>
      </c>
      <c r="G122" s="37">
        <v>0</v>
      </c>
      <c r="H122" s="37">
        <v>0</v>
      </c>
      <c r="I122" s="37">
        <v>1</v>
      </c>
      <c r="J122" s="37">
        <v>1</v>
      </c>
      <c r="K122" s="37">
        <v>0</v>
      </c>
      <c r="L122" s="37">
        <v>0</v>
      </c>
      <c r="M122" s="37">
        <v>0</v>
      </c>
      <c r="N122" s="37">
        <v>0</v>
      </c>
      <c r="O122" s="37">
        <v>0</v>
      </c>
      <c r="P122" s="37">
        <v>0</v>
      </c>
      <c r="Q122" s="37">
        <v>0</v>
      </c>
      <c r="R122" s="37">
        <v>0</v>
      </c>
      <c r="S122" s="37">
        <v>0</v>
      </c>
      <c r="T122" s="147" t="s">
        <v>585</v>
      </c>
      <c r="U122" s="147"/>
      <c r="V122" s="147"/>
      <c r="W122" s="37"/>
      <c r="X122" s="37"/>
      <c r="Y122" s="37"/>
      <c r="Z122" s="37"/>
      <c r="AA122" s="37"/>
      <c r="AB122" s="37"/>
      <c r="AC122" s="37"/>
      <c r="AD122" s="37"/>
      <c r="AE122" s="37"/>
      <c r="AF122" s="37"/>
    </row>
    <row r="123" spans="1:32" ht="14">
      <c r="A123" s="37">
        <v>124</v>
      </c>
      <c r="B123" s="37" t="s">
        <v>23</v>
      </c>
      <c r="C123" s="37" t="s">
        <v>586</v>
      </c>
      <c r="D123" s="37" t="s">
        <v>66</v>
      </c>
      <c r="E123" s="37" t="s">
        <v>523</v>
      </c>
      <c r="F123" s="37" t="s">
        <v>512</v>
      </c>
      <c r="G123" s="37">
        <v>0</v>
      </c>
      <c r="H123" s="37">
        <v>1</v>
      </c>
      <c r="I123" s="37">
        <v>0</v>
      </c>
      <c r="J123" s="37">
        <v>1</v>
      </c>
      <c r="K123" s="37">
        <v>0</v>
      </c>
      <c r="L123" s="37">
        <v>0</v>
      </c>
      <c r="M123" s="37">
        <v>0</v>
      </c>
      <c r="N123" s="37">
        <v>0</v>
      </c>
      <c r="O123" s="37">
        <v>0</v>
      </c>
      <c r="P123" s="37">
        <v>0</v>
      </c>
      <c r="Q123" s="37">
        <v>0</v>
      </c>
      <c r="R123" s="37">
        <v>0</v>
      </c>
      <c r="S123" s="37">
        <v>0</v>
      </c>
      <c r="T123" s="147" t="s">
        <v>586</v>
      </c>
      <c r="U123" s="14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F123" s="37"/>
    </row>
    <row r="124" spans="1:32" ht="14">
      <c r="A124" s="37">
        <v>125</v>
      </c>
      <c r="B124" s="37" t="s">
        <v>23</v>
      </c>
      <c r="C124" s="37" t="s">
        <v>587</v>
      </c>
      <c r="D124" s="37" t="s">
        <v>523</v>
      </c>
      <c r="E124" s="37" t="s">
        <v>588</v>
      </c>
      <c r="F124" s="37" t="s">
        <v>507</v>
      </c>
      <c r="G124" s="37">
        <v>0</v>
      </c>
      <c r="H124" s="37">
        <v>0</v>
      </c>
      <c r="I124" s="37">
        <v>0</v>
      </c>
      <c r="J124" s="37">
        <v>1</v>
      </c>
      <c r="K124" s="37">
        <v>0</v>
      </c>
      <c r="L124" s="37">
        <v>1</v>
      </c>
      <c r="M124" s="37">
        <v>0</v>
      </c>
      <c r="N124" s="37">
        <v>0</v>
      </c>
      <c r="O124" s="37">
        <v>0</v>
      </c>
      <c r="P124" s="37">
        <v>0</v>
      </c>
      <c r="Q124" s="37">
        <v>0</v>
      </c>
      <c r="R124" s="37">
        <v>0</v>
      </c>
      <c r="S124" s="37">
        <v>0</v>
      </c>
      <c r="T124" s="147" t="s">
        <v>587</v>
      </c>
      <c r="U124" s="14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F124" s="37"/>
    </row>
    <row r="125" spans="1:32" ht="14">
      <c r="A125" s="37">
        <v>126</v>
      </c>
      <c r="B125" s="37" t="s">
        <v>23</v>
      </c>
      <c r="C125" s="37" t="s">
        <v>589</v>
      </c>
      <c r="D125" s="37" t="s">
        <v>518</v>
      </c>
      <c r="E125" s="37" t="s">
        <v>93</v>
      </c>
      <c r="F125" s="37" t="s">
        <v>512</v>
      </c>
      <c r="G125" s="37">
        <v>0</v>
      </c>
      <c r="H125" s="37">
        <v>0</v>
      </c>
      <c r="I125" s="37">
        <v>0</v>
      </c>
      <c r="J125" s="37">
        <v>0</v>
      </c>
      <c r="K125" s="37">
        <v>1</v>
      </c>
      <c r="L125" s="37">
        <v>1</v>
      </c>
      <c r="M125" s="37">
        <v>0</v>
      </c>
      <c r="N125" s="37">
        <v>0</v>
      </c>
      <c r="O125" s="37">
        <v>0</v>
      </c>
      <c r="P125" s="37">
        <v>0</v>
      </c>
      <c r="Q125" s="37">
        <v>0</v>
      </c>
      <c r="R125" s="37">
        <v>0</v>
      </c>
      <c r="S125" s="37">
        <v>0</v>
      </c>
      <c r="T125" s="147" t="s">
        <v>589</v>
      </c>
      <c r="U125" s="147"/>
      <c r="V125" s="147"/>
      <c r="W125" s="37"/>
      <c r="X125" s="37"/>
      <c r="Y125" s="37"/>
      <c r="Z125" s="37"/>
      <c r="AA125" s="37"/>
      <c r="AB125" s="37"/>
      <c r="AC125" s="37"/>
      <c r="AD125" s="37"/>
      <c r="AE125" s="37"/>
      <c r="AF125" s="37"/>
    </row>
    <row r="126" spans="1:32" ht="14">
      <c r="A126" s="37">
        <v>127</v>
      </c>
      <c r="B126" s="37" t="s">
        <v>23</v>
      </c>
      <c r="C126" s="37" t="s">
        <v>590</v>
      </c>
      <c r="D126" s="37" t="s">
        <v>518</v>
      </c>
      <c r="E126" s="37" t="s">
        <v>150</v>
      </c>
      <c r="F126" s="37" t="s">
        <v>512</v>
      </c>
      <c r="G126" s="37">
        <v>0</v>
      </c>
      <c r="H126" s="37">
        <v>0</v>
      </c>
      <c r="I126" s="37">
        <v>0</v>
      </c>
      <c r="J126" s="37">
        <v>0</v>
      </c>
      <c r="K126" s="37">
        <v>1</v>
      </c>
      <c r="L126" s="37">
        <v>0</v>
      </c>
      <c r="M126" s="37">
        <v>0</v>
      </c>
      <c r="N126" s="37">
        <v>0</v>
      </c>
      <c r="O126" s="37">
        <v>0</v>
      </c>
      <c r="P126" s="37">
        <v>1</v>
      </c>
      <c r="Q126" s="37">
        <v>0</v>
      </c>
      <c r="R126" s="37">
        <v>0</v>
      </c>
      <c r="S126" s="37">
        <v>0</v>
      </c>
      <c r="T126" s="147" t="s">
        <v>590</v>
      </c>
      <c r="U126" s="147"/>
      <c r="V126" s="147"/>
      <c r="W126" s="37"/>
      <c r="X126" s="37"/>
      <c r="Y126" s="37"/>
      <c r="Z126" s="37"/>
      <c r="AA126" s="37"/>
      <c r="AB126" s="37"/>
      <c r="AC126" s="37"/>
      <c r="AD126" s="37"/>
      <c r="AE126" s="37"/>
      <c r="AF126" s="37"/>
    </row>
    <row r="127" spans="1:32" ht="14">
      <c r="A127" s="37">
        <v>128</v>
      </c>
      <c r="B127" s="37" t="s">
        <v>23</v>
      </c>
      <c r="C127" s="37" t="s">
        <v>591</v>
      </c>
      <c r="D127" s="37" t="s">
        <v>518</v>
      </c>
      <c r="E127" s="37" t="s">
        <v>150</v>
      </c>
      <c r="F127" s="37" t="s">
        <v>512</v>
      </c>
      <c r="G127" s="37">
        <v>0</v>
      </c>
      <c r="H127" s="37">
        <v>0</v>
      </c>
      <c r="I127" s="37">
        <v>0</v>
      </c>
      <c r="J127" s="37">
        <v>0</v>
      </c>
      <c r="K127" s="37">
        <v>1</v>
      </c>
      <c r="L127" s="37">
        <v>0</v>
      </c>
      <c r="M127" s="37">
        <v>0</v>
      </c>
      <c r="N127" s="37">
        <v>0</v>
      </c>
      <c r="O127" s="37">
        <v>0</v>
      </c>
      <c r="P127" s="37">
        <v>1</v>
      </c>
      <c r="Q127" s="37">
        <v>0</v>
      </c>
      <c r="R127" s="37">
        <v>0</v>
      </c>
      <c r="S127" s="37">
        <v>0</v>
      </c>
      <c r="T127" s="147" t="s">
        <v>591</v>
      </c>
      <c r="U127" s="147"/>
      <c r="V127" s="147"/>
      <c r="W127" s="37"/>
      <c r="X127" s="37"/>
      <c r="Y127" s="37"/>
      <c r="Z127" s="37"/>
      <c r="AA127" s="37"/>
      <c r="AB127" s="37"/>
      <c r="AC127" s="37"/>
      <c r="AD127" s="37"/>
      <c r="AE127" s="37"/>
      <c r="AF127" s="37"/>
    </row>
    <row r="128" spans="1:32" ht="14">
      <c r="A128" s="37">
        <v>129</v>
      </c>
      <c r="B128" s="37" t="s">
        <v>23</v>
      </c>
      <c r="C128" s="37" t="s">
        <v>592</v>
      </c>
      <c r="D128" s="37" t="s">
        <v>507</v>
      </c>
      <c r="E128" s="37" t="s">
        <v>100</v>
      </c>
      <c r="F128" s="37" t="s">
        <v>512</v>
      </c>
      <c r="G128" s="37">
        <v>0</v>
      </c>
      <c r="H128" s="37">
        <v>0</v>
      </c>
      <c r="I128" s="37">
        <v>0</v>
      </c>
      <c r="J128" s="37">
        <v>0</v>
      </c>
      <c r="K128" s="37">
        <v>0</v>
      </c>
      <c r="L128" s="37">
        <v>0</v>
      </c>
      <c r="M128" s="37">
        <v>0</v>
      </c>
      <c r="N128" s="37">
        <v>0</v>
      </c>
      <c r="O128" s="37">
        <v>1</v>
      </c>
      <c r="P128" s="37">
        <v>0</v>
      </c>
      <c r="Q128" s="37">
        <v>0</v>
      </c>
      <c r="R128" s="37">
        <v>0</v>
      </c>
      <c r="S128" s="37">
        <v>0</v>
      </c>
      <c r="T128" s="147" t="s">
        <v>592</v>
      </c>
      <c r="U128" s="147"/>
      <c r="V128" s="147"/>
      <c r="W128" s="37"/>
      <c r="X128" s="37"/>
      <c r="Y128" s="37"/>
      <c r="Z128" s="37"/>
      <c r="AA128" s="37"/>
      <c r="AB128" s="37"/>
      <c r="AC128" s="37"/>
      <c r="AD128" s="37"/>
      <c r="AE128" s="37"/>
      <c r="AF128" s="37"/>
    </row>
    <row r="129" spans="1:32" ht="14">
      <c r="A129" s="37">
        <v>130</v>
      </c>
      <c r="B129" s="37" t="s">
        <v>23</v>
      </c>
      <c r="C129" s="37" t="s">
        <v>593</v>
      </c>
      <c r="D129" s="37" t="s">
        <v>36</v>
      </c>
      <c r="E129" s="37" t="s">
        <v>529</v>
      </c>
      <c r="F129" s="37" t="s">
        <v>512</v>
      </c>
      <c r="G129" s="37">
        <v>0</v>
      </c>
      <c r="H129" s="37">
        <v>0</v>
      </c>
      <c r="I129" s="37">
        <v>0</v>
      </c>
      <c r="J129" s="37">
        <v>1</v>
      </c>
      <c r="K129" s="37">
        <v>0</v>
      </c>
      <c r="L129" s="37">
        <v>1</v>
      </c>
      <c r="M129" s="37">
        <v>0</v>
      </c>
      <c r="N129" s="37">
        <v>0</v>
      </c>
      <c r="O129" s="37">
        <v>0</v>
      </c>
      <c r="P129" s="37">
        <v>0</v>
      </c>
      <c r="Q129" s="37">
        <v>0</v>
      </c>
      <c r="R129" s="37">
        <v>0</v>
      </c>
      <c r="S129" s="37">
        <v>0</v>
      </c>
      <c r="T129" s="147" t="s">
        <v>593</v>
      </c>
      <c r="U129" s="147"/>
      <c r="V129" s="147"/>
      <c r="W129" s="147"/>
      <c r="X129" s="37"/>
      <c r="Y129" s="37"/>
      <c r="Z129" s="37"/>
      <c r="AA129" s="37"/>
      <c r="AB129" s="37"/>
      <c r="AC129" s="37"/>
      <c r="AD129" s="37"/>
      <c r="AE129" s="37"/>
      <c r="AF129" s="37"/>
    </row>
    <row r="130" spans="1:32" ht="14">
      <c r="A130" s="37">
        <v>131</v>
      </c>
      <c r="B130" s="37" t="s">
        <v>23</v>
      </c>
      <c r="C130" s="37" t="s">
        <v>513</v>
      </c>
      <c r="D130" s="37" t="s">
        <v>518</v>
      </c>
      <c r="E130" s="37" t="s">
        <v>98</v>
      </c>
      <c r="F130" s="37" t="s">
        <v>148</v>
      </c>
      <c r="G130" s="37">
        <v>0</v>
      </c>
      <c r="H130" s="37">
        <v>0</v>
      </c>
      <c r="I130" s="37">
        <v>0</v>
      </c>
      <c r="J130" s="37">
        <v>0</v>
      </c>
      <c r="K130" s="37">
        <v>1</v>
      </c>
      <c r="L130" s="37">
        <v>0</v>
      </c>
      <c r="M130" s="37">
        <v>0</v>
      </c>
      <c r="N130" s="37">
        <v>0</v>
      </c>
      <c r="O130" s="37">
        <v>0</v>
      </c>
      <c r="P130" s="37">
        <v>1</v>
      </c>
      <c r="Q130" s="37">
        <v>0</v>
      </c>
      <c r="R130" s="37">
        <v>0</v>
      </c>
      <c r="S130" s="37">
        <v>0</v>
      </c>
      <c r="T130" s="147" t="s">
        <v>513</v>
      </c>
      <c r="U130" s="14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F130" s="37"/>
    </row>
    <row r="131" spans="1:32" ht="14">
      <c r="A131" s="37">
        <v>132</v>
      </c>
      <c r="B131" s="37" t="s">
        <v>23</v>
      </c>
      <c r="C131" s="37" t="s">
        <v>519</v>
      </c>
      <c r="D131" s="37" t="s">
        <v>523</v>
      </c>
      <c r="E131" s="37" t="s">
        <v>93</v>
      </c>
      <c r="F131" s="37" t="s">
        <v>512</v>
      </c>
      <c r="G131" s="37">
        <v>0</v>
      </c>
      <c r="H131" s="37">
        <v>0</v>
      </c>
      <c r="I131" s="37">
        <v>0</v>
      </c>
      <c r="J131" s="37">
        <v>1</v>
      </c>
      <c r="K131" s="37">
        <v>0</v>
      </c>
      <c r="L131" s="37">
        <v>1</v>
      </c>
      <c r="M131" s="37">
        <v>0</v>
      </c>
      <c r="N131" s="37">
        <v>0</v>
      </c>
      <c r="O131" s="37">
        <v>0</v>
      </c>
      <c r="P131" s="37">
        <v>0</v>
      </c>
      <c r="Q131" s="37">
        <v>0</v>
      </c>
      <c r="R131" s="37">
        <v>0</v>
      </c>
      <c r="S131" s="37">
        <v>0</v>
      </c>
      <c r="T131" s="147" t="s">
        <v>519</v>
      </c>
      <c r="U131" s="147"/>
      <c r="V131" s="147"/>
      <c r="W131" s="147"/>
      <c r="X131" s="37"/>
      <c r="Y131" s="37"/>
      <c r="Z131" s="37"/>
      <c r="AA131" s="37"/>
      <c r="AB131" s="37"/>
      <c r="AC131" s="37"/>
      <c r="AD131" s="37"/>
      <c r="AE131" s="37"/>
      <c r="AF131" s="37"/>
    </row>
    <row r="132" spans="1:32" ht="14">
      <c r="A132" s="37">
        <v>133</v>
      </c>
      <c r="B132" s="37" t="s">
        <v>23</v>
      </c>
      <c r="C132" s="37" t="s">
        <v>524</v>
      </c>
      <c r="D132" s="37" t="s">
        <v>523</v>
      </c>
      <c r="E132" s="37" t="s">
        <v>529</v>
      </c>
      <c r="F132" s="37" t="s">
        <v>512</v>
      </c>
      <c r="G132" s="37">
        <v>0</v>
      </c>
      <c r="H132" s="37">
        <v>0</v>
      </c>
      <c r="I132" s="37">
        <v>0</v>
      </c>
      <c r="J132" s="37">
        <v>1</v>
      </c>
      <c r="K132" s="37">
        <v>0</v>
      </c>
      <c r="L132" s="37">
        <v>1</v>
      </c>
      <c r="M132" s="37">
        <v>0</v>
      </c>
      <c r="N132" s="37">
        <v>0</v>
      </c>
      <c r="O132" s="37">
        <v>0</v>
      </c>
      <c r="P132" s="37">
        <v>0</v>
      </c>
      <c r="Q132" s="37">
        <v>0</v>
      </c>
      <c r="R132" s="37">
        <v>0</v>
      </c>
      <c r="S132" s="37">
        <v>0</v>
      </c>
      <c r="T132" s="147" t="s">
        <v>524</v>
      </c>
      <c r="U132" s="147"/>
      <c r="V132" s="147"/>
      <c r="W132" s="147"/>
      <c r="X132" s="147"/>
      <c r="Y132" s="37"/>
      <c r="Z132" s="37"/>
      <c r="AA132" s="37"/>
      <c r="AB132" s="37"/>
      <c r="AC132" s="37"/>
      <c r="AD132" s="37"/>
      <c r="AE132" s="37"/>
      <c r="AF132" s="37"/>
    </row>
    <row r="133" spans="1:32" ht="14">
      <c r="A133" s="37">
        <v>134</v>
      </c>
      <c r="B133" s="37" t="s">
        <v>245</v>
      </c>
      <c r="C133" s="37" t="s">
        <v>530</v>
      </c>
      <c r="D133" s="37" t="s">
        <v>535</v>
      </c>
      <c r="E133" s="37" t="s">
        <v>536</v>
      </c>
      <c r="F133" s="37" t="s">
        <v>512</v>
      </c>
      <c r="G133" s="37">
        <v>0</v>
      </c>
      <c r="H133" s="37">
        <v>0</v>
      </c>
      <c r="I133" s="37">
        <v>1</v>
      </c>
      <c r="J133" s="37">
        <v>0</v>
      </c>
      <c r="K133" s="37">
        <v>0</v>
      </c>
      <c r="L133" s="37">
        <v>0</v>
      </c>
      <c r="M133" s="37">
        <v>0</v>
      </c>
      <c r="N133" s="37">
        <v>0</v>
      </c>
      <c r="O133" s="37">
        <v>0</v>
      </c>
      <c r="P133" s="37">
        <v>0</v>
      </c>
      <c r="Q133" s="37">
        <v>1</v>
      </c>
      <c r="R133" s="37">
        <v>0</v>
      </c>
      <c r="S133" s="37">
        <v>0</v>
      </c>
      <c r="T133" s="147" t="s">
        <v>530</v>
      </c>
      <c r="U133" s="14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F133" s="37"/>
    </row>
    <row r="134" spans="1:32" ht="14">
      <c r="A134" s="37">
        <v>135</v>
      </c>
      <c r="B134" s="37" t="s">
        <v>245</v>
      </c>
      <c r="C134" s="37" t="s">
        <v>537</v>
      </c>
      <c r="D134" s="37" t="s">
        <v>75</v>
      </c>
      <c r="E134" s="37" t="s">
        <v>152</v>
      </c>
      <c r="F134" s="37" t="s">
        <v>512</v>
      </c>
      <c r="G134" s="37">
        <v>0</v>
      </c>
      <c r="H134" s="37">
        <v>0</v>
      </c>
      <c r="I134" s="37">
        <v>0</v>
      </c>
      <c r="J134" s="37">
        <v>0</v>
      </c>
      <c r="K134" s="37">
        <v>1</v>
      </c>
      <c r="L134" s="37">
        <v>0</v>
      </c>
      <c r="M134" s="37">
        <v>0</v>
      </c>
      <c r="N134" s="37">
        <v>0</v>
      </c>
      <c r="O134" s="37">
        <v>0</v>
      </c>
      <c r="P134" s="37">
        <v>1</v>
      </c>
      <c r="Q134" s="37">
        <v>0</v>
      </c>
      <c r="R134" s="37">
        <v>0</v>
      </c>
      <c r="S134" s="37">
        <v>0</v>
      </c>
      <c r="T134" s="147" t="s">
        <v>537</v>
      </c>
      <c r="U134" s="147"/>
      <c r="V134" s="147"/>
      <c r="W134" s="147"/>
      <c r="X134" s="37"/>
      <c r="Y134" s="37"/>
      <c r="Z134" s="37"/>
      <c r="AA134" s="37"/>
      <c r="AB134" s="37"/>
      <c r="AC134" s="37"/>
      <c r="AD134" s="37"/>
      <c r="AE134" s="37"/>
      <c r="AF134" s="37"/>
    </row>
    <row r="135" spans="1:32" ht="14">
      <c r="A135" s="37">
        <v>136</v>
      </c>
      <c r="B135" s="37" t="s">
        <v>181</v>
      </c>
      <c r="C135" s="37" t="s">
        <v>594</v>
      </c>
      <c r="D135" s="37" t="s">
        <v>77</v>
      </c>
      <c r="E135" s="37" t="s">
        <v>535</v>
      </c>
      <c r="F135" s="37" t="s">
        <v>512</v>
      </c>
      <c r="G135" s="37">
        <v>0</v>
      </c>
      <c r="H135" s="37">
        <v>0</v>
      </c>
      <c r="I135" s="37">
        <v>0</v>
      </c>
      <c r="J135" s="37">
        <v>1</v>
      </c>
      <c r="K135" s="37">
        <v>0</v>
      </c>
      <c r="L135" s="37">
        <v>0</v>
      </c>
      <c r="M135" s="37">
        <v>0</v>
      </c>
      <c r="N135" s="37">
        <v>0</v>
      </c>
      <c r="O135" s="37">
        <v>0</v>
      </c>
      <c r="P135" s="37">
        <v>0</v>
      </c>
      <c r="Q135" s="37">
        <v>1</v>
      </c>
      <c r="R135" s="37">
        <v>0</v>
      </c>
      <c r="S135" s="37">
        <v>0</v>
      </c>
      <c r="T135" s="147" t="s">
        <v>594</v>
      </c>
      <c r="U135" s="147"/>
      <c r="V135" s="147"/>
      <c r="W135" s="147"/>
      <c r="X135" s="37"/>
      <c r="Y135" s="37"/>
      <c r="Z135" s="37"/>
      <c r="AA135" s="37"/>
      <c r="AB135" s="37"/>
      <c r="AC135" s="37"/>
      <c r="AD135" s="37"/>
      <c r="AE135" s="37"/>
      <c r="AF135" s="37"/>
    </row>
    <row r="136" spans="1:32" ht="14">
      <c r="A136" s="37">
        <v>137</v>
      </c>
      <c r="B136" s="37" t="s">
        <v>181</v>
      </c>
      <c r="C136" s="37" t="s">
        <v>595</v>
      </c>
      <c r="D136" s="37" t="s">
        <v>523</v>
      </c>
      <c r="E136" s="37" t="s">
        <v>596</v>
      </c>
      <c r="F136" s="37" t="s">
        <v>512</v>
      </c>
      <c r="G136" s="37">
        <v>0</v>
      </c>
      <c r="H136" s="37">
        <v>0</v>
      </c>
      <c r="I136" s="37">
        <v>1</v>
      </c>
      <c r="J136" s="37">
        <v>1</v>
      </c>
      <c r="K136" s="37">
        <v>0</v>
      </c>
      <c r="L136" s="37">
        <v>0</v>
      </c>
      <c r="M136" s="37">
        <v>0</v>
      </c>
      <c r="N136" s="37">
        <v>0</v>
      </c>
      <c r="O136" s="37">
        <v>0</v>
      </c>
      <c r="P136" s="37">
        <v>0</v>
      </c>
      <c r="Q136" s="37">
        <v>0</v>
      </c>
      <c r="R136" s="37">
        <v>0</v>
      </c>
      <c r="S136" s="37">
        <v>0</v>
      </c>
      <c r="T136" s="147" t="s">
        <v>595</v>
      </c>
      <c r="U136" s="147"/>
      <c r="V136" s="147"/>
      <c r="W136" s="37"/>
      <c r="X136" s="37"/>
      <c r="Y136" s="37"/>
      <c r="Z136" s="37"/>
      <c r="AA136" s="37"/>
      <c r="AB136" s="37"/>
      <c r="AC136" s="37"/>
      <c r="AD136" s="37"/>
      <c r="AE136" s="37"/>
      <c r="AF136" s="37"/>
    </row>
    <row r="137" spans="1:32" ht="14">
      <c r="A137" s="37">
        <v>138</v>
      </c>
      <c r="B137" s="37" t="s">
        <v>23</v>
      </c>
      <c r="C137" s="37" t="s">
        <v>541</v>
      </c>
      <c r="D137" s="37" t="s">
        <v>75</v>
      </c>
      <c r="E137" s="37" t="s">
        <v>150</v>
      </c>
      <c r="F137" s="37" t="s">
        <v>512</v>
      </c>
      <c r="G137" s="37">
        <v>0</v>
      </c>
      <c r="H137" s="37">
        <v>0</v>
      </c>
      <c r="I137" s="37">
        <v>0</v>
      </c>
      <c r="J137" s="37">
        <v>0</v>
      </c>
      <c r="K137" s="37">
        <v>1</v>
      </c>
      <c r="L137" s="37">
        <v>0</v>
      </c>
      <c r="M137" s="37">
        <v>0</v>
      </c>
      <c r="N137" s="37">
        <v>0</v>
      </c>
      <c r="O137" s="37">
        <v>0</v>
      </c>
      <c r="P137" s="37">
        <v>1</v>
      </c>
      <c r="Q137" s="37">
        <v>0</v>
      </c>
      <c r="R137" s="37">
        <v>0</v>
      </c>
      <c r="S137" s="37">
        <v>0</v>
      </c>
      <c r="T137" s="147" t="s">
        <v>541</v>
      </c>
      <c r="U137" s="147"/>
      <c r="V137" s="147"/>
      <c r="W137" s="147"/>
      <c r="X137" s="147"/>
      <c r="Y137" s="37"/>
      <c r="Z137" s="37"/>
      <c r="AA137" s="37"/>
      <c r="AB137" s="37"/>
      <c r="AC137" s="37"/>
      <c r="AD137" s="37"/>
      <c r="AE137" s="37"/>
      <c r="AF137" s="37"/>
    </row>
    <row r="138" spans="1:32" ht="14">
      <c r="A138" s="37">
        <v>139</v>
      </c>
      <c r="B138" s="37" t="s">
        <v>23</v>
      </c>
      <c r="C138" s="37" t="s">
        <v>545</v>
      </c>
      <c r="D138" s="37" t="s">
        <v>523</v>
      </c>
      <c r="E138" s="37" t="s">
        <v>150</v>
      </c>
      <c r="F138" s="37" t="s">
        <v>512</v>
      </c>
      <c r="G138" s="37">
        <v>0</v>
      </c>
      <c r="H138" s="37">
        <v>0</v>
      </c>
      <c r="I138" s="37">
        <v>0</v>
      </c>
      <c r="J138" s="37">
        <v>1</v>
      </c>
      <c r="K138" s="37">
        <v>0</v>
      </c>
      <c r="L138" s="37">
        <v>0</v>
      </c>
      <c r="M138" s="37">
        <v>0</v>
      </c>
      <c r="N138" s="37">
        <v>0</v>
      </c>
      <c r="O138" s="37">
        <v>0</v>
      </c>
      <c r="P138" s="37">
        <v>1</v>
      </c>
      <c r="Q138" s="37">
        <v>0</v>
      </c>
      <c r="R138" s="37">
        <v>0</v>
      </c>
      <c r="S138" s="37">
        <v>0</v>
      </c>
      <c r="T138" s="147" t="s">
        <v>545</v>
      </c>
      <c r="U138" s="147"/>
      <c r="V138" s="147"/>
      <c r="W138" s="37"/>
      <c r="X138" s="37"/>
      <c r="Y138" s="37"/>
      <c r="Z138" s="37"/>
      <c r="AA138" s="37"/>
      <c r="AB138" s="37"/>
      <c r="AC138" s="37"/>
      <c r="AD138" s="37"/>
      <c r="AE138" s="37"/>
      <c r="AF138" s="37"/>
    </row>
    <row r="139" spans="1:32" ht="14">
      <c r="A139" s="37">
        <v>140</v>
      </c>
      <c r="B139" s="37" t="s">
        <v>23</v>
      </c>
      <c r="C139" s="37" t="s">
        <v>549</v>
      </c>
      <c r="D139" s="37" t="s">
        <v>523</v>
      </c>
      <c r="E139" s="37" t="s">
        <v>529</v>
      </c>
      <c r="F139" s="37" t="s">
        <v>553</v>
      </c>
      <c r="G139" s="37">
        <v>0</v>
      </c>
      <c r="H139" s="37">
        <v>0</v>
      </c>
      <c r="I139" s="37">
        <v>0</v>
      </c>
      <c r="J139" s="37">
        <v>1</v>
      </c>
      <c r="K139" s="37">
        <v>0</v>
      </c>
      <c r="L139" s="37">
        <v>1</v>
      </c>
      <c r="M139" s="37">
        <v>0</v>
      </c>
      <c r="N139" s="37">
        <v>0</v>
      </c>
      <c r="O139" s="37">
        <v>0</v>
      </c>
      <c r="P139" s="37">
        <v>0</v>
      </c>
      <c r="Q139" s="37">
        <v>0</v>
      </c>
      <c r="R139" s="37">
        <v>0</v>
      </c>
      <c r="S139" s="37">
        <v>0</v>
      </c>
      <c r="T139" s="147" t="s">
        <v>549</v>
      </c>
      <c r="U139" s="147"/>
      <c r="V139" s="147"/>
      <c r="W139" s="147"/>
      <c r="X139" s="37"/>
      <c r="Y139" s="37"/>
      <c r="Z139" s="37"/>
      <c r="AA139" s="37"/>
      <c r="AB139" s="37"/>
      <c r="AC139" s="37"/>
      <c r="AD139" s="37"/>
      <c r="AE139" s="37"/>
      <c r="AF139" s="37"/>
    </row>
    <row r="140" spans="1:32" ht="14">
      <c r="A140" s="37">
        <v>142</v>
      </c>
      <c r="B140" s="37" t="s">
        <v>23</v>
      </c>
      <c r="C140" s="37" t="s">
        <v>597</v>
      </c>
      <c r="D140" s="37" t="s">
        <v>535</v>
      </c>
      <c r="E140" s="37" t="s">
        <v>36</v>
      </c>
      <c r="F140" s="37" t="s">
        <v>512</v>
      </c>
      <c r="G140" s="37">
        <v>0</v>
      </c>
      <c r="H140" s="37">
        <v>0</v>
      </c>
      <c r="I140" s="37">
        <v>0</v>
      </c>
      <c r="J140" s="37">
        <v>1</v>
      </c>
      <c r="K140" s="37">
        <v>0</v>
      </c>
      <c r="L140" s="37">
        <v>0</v>
      </c>
      <c r="M140" s="37">
        <v>0</v>
      </c>
      <c r="N140" s="37">
        <v>0</v>
      </c>
      <c r="O140" s="37">
        <v>0</v>
      </c>
      <c r="P140" s="37">
        <v>0</v>
      </c>
      <c r="Q140" s="37">
        <v>1</v>
      </c>
      <c r="R140" s="37">
        <v>0</v>
      </c>
      <c r="S140" s="37">
        <v>0</v>
      </c>
      <c r="T140" s="147" t="s">
        <v>597</v>
      </c>
      <c r="U140" s="147"/>
      <c r="V140" s="147"/>
      <c r="W140" s="37"/>
      <c r="X140" s="37"/>
      <c r="Y140" s="37"/>
      <c r="Z140" s="37"/>
      <c r="AA140" s="37"/>
      <c r="AB140" s="37"/>
      <c r="AC140" s="37"/>
      <c r="AD140" s="37"/>
      <c r="AE140" s="37"/>
      <c r="AF140" s="37"/>
    </row>
    <row r="141" spans="1:32" ht="14">
      <c r="A141" s="37">
        <v>143</v>
      </c>
      <c r="B141" s="37" t="s">
        <v>23</v>
      </c>
      <c r="C141" s="37" t="s">
        <v>598</v>
      </c>
      <c r="D141" s="37" t="s">
        <v>36</v>
      </c>
      <c r="E141" s="37" t="s">
        <v>301</v>
      </c>
      <c r="F141" s="37" t="s">
        <v>102</v>
      </c>
      <c r="G141" s="37">
        <v>0</v>
      </c>
      <c r="H141" s="37">
        <v>0</v>
      </c>
      <c r="I141" s="37">
        <v>0</v>
      </c>
      <c r="J141" s="37">
        <v>1</v>
      </c>
      <c r="K141" s="37">
        <v>0</v>
      </c>
      <c r="L141" s="37">
        <v>0</v>
      </c>
      <c r="M141" s="37">
        <v>0</v>
      </c>
      <c r="N141" s="37">
        <v>0</v>
      </c>
      <c r="O141" s="37">
        <v>0</v>
      </c>
      <c r="P141" s="37">
        <v>0</v>
      </c>
      <c r="Q141" s="37">
        <v>0</v>
      </c>
      <c r="R141" s="37">
        <v>0</v>
      </c>
      <c r="S141" s="37">
        <v>0</v>
      </c>
      <c r="T141" s="147" t="s">
        <v>598</v>
      </c>
      <c r="U141" s="147"/>
      <c r="V141" s="147"/>
      <c r="W141" s="147"/>
      <c r="X141" s="37"/>
      <c r="Y141" s="37"/>
      <c r="Z141" s="37"/>
      <c r="AA141" s="37"/>
      <c r="AB141" s="37"/>
      <c r="AC141" s="37"/>
      <c r="AD141" s="37"/>
      <c r="AE141" s="37"/>
      <c r="AF141" s="37"/>
    </row>
    <row r="142" spans="1:32" ht="14">
      <c r="A142" s="37">
        <v>144</v>
      </c>
      <c r="B142" s="37" t="s">
        <v>23</v>
      </c>
      <c r="C142" s="37" t="s">
        <v>599</v>
      </c>
      <c r="D142" s="37" t="s">
        <v>36</v>
      </c>
      <c r="E142" s="37" t="s">
        <v>93</v>
      </c>
      <c r="F142" s="37" t="s">
        <v>512</v>
      </c>
      <c r="G142" s="37">
        <v>0</v>
      </c>
      <c r="H142" s="37">
        <v>0</v>
      </c>
      <c r="I142" s="37">
        <v>0</v>
      </c>
      <c r="J142" s="37">
        <v>1</v>
      </c>
      <c r="K142" s="37">
        <v>0</v>
      </c>
      <c r="L142" s="37">
        <v>1</v>
      </c>
      <c r="M142" s="37">
        <v>0</v>
      </c>
      <c r="N142" s="37">
        <v>0</v>
      </c>
      <c r="O142" s="37">
        <v>0</v>
      </c>
      <c r="P142" s="37">
        <v>0</v>
      </c>
      <c r="Q142" s="37">
        <v>0</v>
      </c>
      <c r="R142" s="37">
        <v>0</v>
      </c>
      <c r="S142" s="37">
        <v>0</v>
      </c>
      <c r="T142" s="147" t="s">
        <v>599</v>
      </c>
      <c r="U142" s="147"/>
      <c r="V142" s="147"/>
      <c r="W142" s="147"/>
      <c r="X142" s="37"/>
      <c r="Y142" s="37"/>
      <c r="Z142" s="37"/>
      <c r="AA142" s="37"/>
      <c r="AB142" s="37"/>
      <c r="AC142" s="37"/>
      <c r="AD142" s="37"/>
      <c r="AE142" s="37"/>
      <c r="AF142" s="37"/>
    </row>
    <row r="143" spans="1:32" ht="14">
      <c r="A143" s="37">
        <v>147</v>
      </c>
      <c r="B143" s="37" t="s">
        <v>245</v>
      </c>
      <c r="C143" s="37" t="s">
        <v>600</v>
      </c>
      <c r="D143" s="37" t="s">
        <v>529</v>
      </c>
      <c r="E143" s="37" t="s">
        <v>642</v>
      </c>
      <c r="F143" s="37" t="s">
        <v>301</v>
      </c>
      <c r="G143" s="37">
        <v>0</v>
      </c>
      <c r="H143" s="37">
        <v>0</v>
      </c>
      <c r="I143" s="37">
        <v>0</v>
      </c>
      <c r="J143" s="37">
        <v>0</v>
      </c>
      <c r="K143" s="37">
        <v>1</v>
      </c>
      <c r="L143" s="37">
        <v>1</v>
      </c>
      <c r="M143" s="37">
        <v>0</v>
      </c>
      <c r="N143" s="37">
        <v>0</v>
      </c>
      <c r="O143" s="37">
        <v>0</v>
      </c>
      <c r="P143" s="37">
        <v>0</v>
      </c>
      <c r="Q143" s="37">
        <v>0</v>
      </c>
      <c r="R143" s="37">
        <v>0</v>
      </c>
      <c r="S143" s="37">
        <v>0</v>
      </c>
      <c r="T143" s="147" t="s">
        <v>600</v>
      </c>
      <c r="U143" s="147"/>
      <c r="V143" s="147"/>
      <c r="W143" s="37"/>
      <c r="X143" s="37"/>
      <c r="Y143" s="37"/>
      <c r="Z143" s="37"/>
      <c r="AA143" s="37"/>
      <c r="AB143" s="37"/>
      <c r="AC143" s="37"/>
      <c r="AD143" s="37"/>
      <c r="AE143" s="37"/>
      <c r="AF143" s="37"/>
    </row>
    <row r="144" spans="1:32" ht="14">
      <c r="A144" s="37">
        <v>148</v>
      </c>
      <c r="B144" s="37" t="s">
        <v>245</v>
      </c>
      <c r="C144" s="37" t="s">
        <v>644</v>
      </c>
      <c r="D144" s="37" t="s">
        <v>59</v>
      </c>
      <c r="E144" s="37" t="s">
        <v>144</v>
      </c>
      <c r="F144" s="37" t="s">
        <v>155</v>
      </c>
      <c r="G144" s="37">
        <v>0</v>
      </c>
      <c r="H144" s="37">
        <v>0</v>
      </c>
      <c r="I144" s="37">
        <v>1</v>
      </c>
      <c r="J144" s="37">
        <v>0</v>
      </c>
      <c r="K144" s="37">
        <v>0</v>
      </c>
      <c r="L144" s="37">
        <v>0</v>
      </c>
      <c r="M144" s="37">
        <v>0</v>
      </c>
      <c r="N144" s="37">
        <v>0</v>
      </c>
      <c r="O144" s="37">
        <v>1</v>
      </c>
      <c r="P144" s="37">
        <v>0</v>
      </c>
      <c r="Q144" s="37">
        <v>0</v>
      </c>
      <c r="R144" s="37">
        <v>0</v>
      </c>
      <c r="S144" s="37">
        <v>0</v>
      </c>
      <c r="T144" s="147" t="s">
        <v>644</v>
      </c>
      <c r="U144" s="14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F144" s="37"/>
    </row>
    <row r="145" spans="1:32" ht="14">
      <c r="A145" s="37">
        <v>149</v>
      </c>
      <c r="B145" s="37" t="s">
        <v>181</v>
      </c>
      <c r="C145" s="37" t="s">
        <v>645</v>
      </c>
      <c r="D145" s="37" t="s">
        <v>646</v>
      </c>
      <c r="E145" s="37" t="s">
        <v>151</v>
      </c>
      <c r="F145" s="37" t="s">
        <v>145</v>
      </c>
      <c r="G145" s="37">
        <v>1</v>
      </c>
      <c r="H145" s="37">
        <v>0</v>
      </c>
      <c r="I145" s="37">
        <v>0</v>
      </c>
      <c r="J145" s="37">
        <v>0</v>
      </c>
      <c r="K145" s="37">
        <v>0</v>
      </c>
      <c r="L145" s="37">
        <v>0</v>
      </c>
      <c r="M145" s="37">
        <v>0</v>
      </c>
      <c r="N145" s="37">
        <v>1</v>
      </c>
      <c r="O145" s="37">
        <v>0</v>
      </c>
      <c r="P145" s="37">
        <v>0</v>
      </c>
      <c r="Q145" s="37">
        <v>0</v>
      </c>
      <c r="R145" s="37">
        <v>0</v>
      </c>
      <c r="S145" s="37">
        <v>0</v>
      </c>
      <c r="T145" s="147" t="s">
        <v>645</v>
      </c>
      <c r="U145" s="147"/>
      <c r="V145" s="147"/>
      <c r="W145" s="147"/>
      <c r="X145" s="147"/>
      <c r="Y145" s="37"/>
      <c r="Z145" s="37"/>
      <c r="AA145" s="37"/>
      <c r="AB145" s="37"/>
      <c r="AC145" s="37"/>
      <c r="AD145" s="37"/>
      <c r="AE145" s="37"/>
      <c r="AF145" s="37"/>
    </row>
    <row r="146" spans="1:32" ht="14">
      <c r="A146" s="37">
        <v>150</v>
      </c>
      <c r="B146" s="37" t="s">
        <v>23</v>
      </c>
      <c r="C146" s="37" t="s">
        <v>647</v>
      </c>
      <c r="D146" s="37" t="s">
        <v>76</v>
      </c>
      <c r="E146" s="37" t="s">
        <v>88</v>
      </c>
      <c r="F146" s="37" t="s">
        <v>512</v>
      </c>
      <c r="G146" s="37">
        <v>0</v>
      </c>
      <c r="H146" s="37">
        <v>0</v>
      </c>
      <c r="I146" s="37">
        <v>0</v>
      </c>
      <c r="J146" s="37">
        <v>1</v>
      </c>
      <c r="K146" s="37">
        <v>0</v>
      </c>
      <c r="L146" s="37">
        <v>1</v>
      </c>
      <c r="M146" s="37">
        <v>0</v>
      </c>
      <c r="N146" s="37">
        <v>0</v>
      </c>
      <c r="O146" s="37">
        <v>0</v>
      </c>
      <c r="P146" s="37">
        <v>0</v>
      </c>
      <c r="Q146" s="37">
        <v>0</v>
      </c>
      <c r="R146" s="37">
        <v>0</v>
      </c>
      <c r="S146" s="37">
        <v>0</v>
      </c>
      <c r="T146" s="147" t="s">
        <v>647</v>
      </c>
      <c r="U146" s="14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F146" s="37"/>
    </row>
    <row r="147" spans="1:32" ht="14">
      <c r="A147" s="37">
        <v>151</v>
      </c>
      <c r="B147" s="37" t="s">
        <v>23</v>
      </c>
      <c r="C147" s="37" t="s">
        <v>649</v>
      </c>
      <c r="D147" s="37" t="s">
        <v>642</v>
      </c>
      <c r="E147" s="37" t="s">
        <v>90</v>
      </c>
      <c r="F147" s="37" t="s">
        <v>102</v>
      </c>
      <c r="G147" s="37">
        <v>0</v>
      </c>
      <c r="H147" s="37">
        <v>0</v>
      </c>
      <c r="I147" s="37">
        <v>0</v>
      </c>
      <c r="J147" s="37">
        <v>0</v>
      </c>
      <c r="K147" s="37">
        <v>1</v>
      </c>
      <c r="L147" s="37">
        <v>0</v>
      </c>
      <c r="M147" s="37">
        <v>0</v>
      </c>
      <c r="N147" s="37">
        <v>0</v>
      </c>
      <c r="O147" s="37">
        <v>0</v>
      </c>
      <c r="P147" s="37">
        <v>1</v>
      </c>
      <c r="Q147" s="37">
        <v>0</v>
      </c>
      <c r="R147" s="37">
        <v>0</v>
      </c>
      <c r="S147" s="37">
        <v>0</v>
      </c>
      <c r="T147" s="147" t="s">
        <v>649</v>
      </c>
      <c r="U147" s="14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F147" s="37"/>
    </row>
    <row r="148" spans="1:32" ht="14">
      <c r="A148" s="37">
        <v>152</v>
      </c>
      <c r="B148" s="37" t="s">
        <v>23</v>
      </c>
      <c r="C148" s="37" t="s">
        <v>650</v>
      </c>
      <c r="D148" s="37" t="s">
        <v>642</v>
      </c>
      <c r="E148" s="37" t="s">
        <v>150</v>
      </c>
      <c r="F148" s="37" t="s">
        <v>147</v>
      </c>
      <c r="G148" s="37">
        <v>0</v>
      </c>
      <c r="H148" s="37">
        <v>0</v>
      </c>
      <c r="I148" s="37">
        <v>0</v>
      </c>
      <c r="J148" s="37">
        <v>0</v>
      </c>
      <c r="K148" s="37">
        <v>1</v>
      </c>
      <c r="L148" s="37">
        <v>0</v>
      </c>
      <c r="M148" s="37">
        <v>0</v>
      </c>
      <c r="N148" s="37">
        <v>0</v>
      </c>
      <c r="O148" s="37">
        <v>0</v>
      </c>
      <c r="P148" s="37">
        <v>1</v>
      </c>
      <c r="Q148" s="37">
        <v>0</v>
      </c>
      <c r="R148" s="37">
        <v>0</v>
      </c>
      <c r="S148" s="37">
        <v>0</v>
      </c>
      <c r="T148" s="147" t="s">
        <v>650</v>
      </c>
      <c r="U148" s="14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F148" s="37"/>
    </row>
    <row r="149" spans="1:32" ht="14">
      <c r="A149" s="37">
        <v>154</v>
      </c>
      <c r="B149" s="37" t="s">
        <v>23</v>
      </c>
      <c r="C149" s="37" t="s">
        <v>554</v>
      </c>
      <c r="D149" s="37" t="s">
        <v>518</v>
      </c>
      <c r="E149" s="37" t="s">
        <v>558</v>
      </c>
      <c r="F149" s="37" t="s">
        <v>148</v>
      </c>
      <c r="G149" s="37">
        <v>0</v>
      </c>
      <c r="H149" s="37">
        <v>0</v>
      </c>
      <c r="I149" s="37">
        <v>0</v>
      </c>
      <c r="J149" s="37">
        <v>0</v>
      </c>
      <c r="K149" s="37">
        <v>1</v>
      </c>
      <c r="L149" s="37">
        <v>1</v>
      </c>
      <c r="M149" s="37">
        <v>0</v>
      </c>
      <c r="N149" s="37">
        <v>0</v>
      </c>
      <c r="O149" s="37">
        <v>0</v>
      </c>
      <c r="P149" s="37">
        <v>0</v>
      </c>
      <c r="Q149" s="37">
        <v>0</v>
      </c>
      <c r="R149" s="37">
        <v>0</v>
      </c>
      <c r="S149" s="37">
        <v>0</v>
      </c>
      <c r="T149" s="147" t="s">
        <v>554</v>
      </c>
      <c r="U149" s="147"/>
      <c r="V149" s="147"/>
      <c r="W149" s="37"/>
      <c r="X149" s="37"/>
      <c r="Y149" s="37"/>
      <c r="Z149" s="37"/>
      <c r="AA149" s="37"/>
      <c r="AB149" s="37"/>
      <c r="AC149" s="37"/>
      <c r="AD149" s="37"/>
      <c r="AE149" s="37"/>
      <c r="AF149" s="37"/>
    </row>
    <row r="150" spans="1:32" ht="14">
      <c r="A150" s="37">
        <v>155</v>
      </c>
      <c r="B150" s="37" t="s">
        <v>23</v>
      </c>
      <c r="C150" s="37" t="s">
        <v>559</v>
      </c>
      <c r="D150" s="37" t="s">
        <v>87</v>
      </c>
      <c r="E150" s="37" t="s">
        <v>156</v>
      </c>
      <c r="F150" s="37" t="s">
        <v>562</v>
      </c>
      <c r="G150" s="37">
        <v>0</v>
      </c>
      <c r="H150" s="37">
        <v>0</v>
      </c>
      <c r="I150" s="37">
        <v>1</v>
      </c>
      <c r="J150" s="37">
        <v>0</v>
      </c>
      <c r="K150" s="37">
        <v>0</v>
      </c>
      <c r="L150" s="37">
        <v>0</v>
      </c>
      <c r="M150" s="37">
        <v>0</v>
      </c>
      <c r="N150" s="37">
        <v>1</v>
      </c>
      <c r="O150" s="37">
        <v>0</v>
      </c>
      <c r="P150" s="37">
        <v>0</v>
      </c>
      <c r="Q150" s="37">
        <v>0</v>
      </c>
      <c r="R150" s="37">
        <v>0</v>
      </c>
      <c r="S150" s="37">
        <v>0</v>
      </c>
      <c r="T150" s="147" t="s">
        <v>559</v>
      </c>
      <c r="U150" s="147"/>
      <c r="V150" s="147"/>
      <c r="W150" s="37"/>
      <c r="X150" s="37"/>
      <c r="Y150" s="37"/>
      <c r="Z150" s="37"/>
      <c r="AA150" s="37"/>
      <c r="AB150" s="37"/>
      <c r="AC150" s="37"/>
      <c r="AD150" s="37"/>
      <c r="AE150" s="37"/>
      <c r="AF150" s="37"/>
    </row>
    <row r="151" spans="1:32" ht="14">
      <c r="A151" s="37">
        <v>156</v>
      </c>
      <c r="B151" s="37" t="s">
        <v>245</v>
      </c>
      <c r="C151" s="37" t="s">
        <v>563</v>
      </c>
      <c r="D151" s="37" t="s">
        <v>36</v>
      </c>
      <c r="E151" s="37" t="s">
        <v>90</v>
      </c>
      <c r="F151" s="37" t="s">
        <v>147</v>
      </c>
      <c r="G151" s="37">
        <v>0</v>
      </c>
      <c r="H151" s="37">
        <v>0</v>
      </c>
      <c r="I151" s="37">
        <v>0</v>
      </c>
      <c r="J151" s="37">
        <v>1</v>
      </c>
      <c r="K151" s="37">
        <v>0</v>
      </c>
      <c r="L151" s="37">
        <v>0</v>
      </c>
      <c r="M151" s="37">
        <v>0</v>
      </c>
      <c r="N151" s="37">
        <v>0</v>
      </c>
      <c r="O151" s="37">
        <v>0</v>
      </c>
      <c r="P151" s="37">
        <v>1</v>
      </c>
      <c r="Q151" s="37">
        <v>0</v>
      </c>
      <c r="R151" s="37">
        <v>0</v>
      </c>
      <c r="S151" s="37">
        <v>0</v>
      </c>
      <c r="T151" s="147" t="s">
        <v>563</v>
      </c>
      <c r="U151" s="14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F151" s="37"/>
    </row>
    <row r="152" spans="1:32" ht="14">
      <c r="A152" s="37">
        <v>157</v>
      </c>
      <c r="B152" s="37" t="s">
        <v>245</v>
      </c>
      <c r="C152" s="37" t="s">
        <v>651</v>
      </c>
      <c r="D152" s="37" t="s">
        <v>81</v>
      </c>
      <c r="E152" s="37" t="s">
        <v>536</v>
      </c>
      <c r="F152" s="37" t="s">
        <v>553</v>
      </c>
      <c r="G152" s="37">
        <v>0</v>
      </c>
      <c r="H152" s="37">
        <v>0</v>
      </c>
      <c r="I152" s="37">
        <v>1</v>
      </c>
      <c r="J152" s="37">
        <v>1</v>
      </c>
      <c r="K152" s="37">
        <v>0</v>
      </c>
      <c r="L152" s="37">
        <v>0</v>
      </c>
      <c r="M152" s="37">
        <v>0</v>
      </c>
      <c r="N152" s="37">
        <v>0</v>
      </c>
      <c r="O152" s="37">
        <v>0</v>
      </c>
      <c r="P152" s="37">
        <v>0</v>
      </c>
      <c r="Q152" s="37">
        <v>0</v>
      </c>
      <c r="R152" s="37">
        <v>0</v>
      </c>
      <c r="S152" s="37">
        <v>0</v>
      </c>
      <c r="T152" s="147" t="s">
        <v>651</v>
      </c>
      <c r="U152" s="147"/>
      <c r="V152" s="147"/>
      <c r="W152" s="147"/>
      <c r="X152" s="37"/>
      <c r="Y152" s="37"/>
      <c r="Z152" s="37"/>
      <c r="AA152" s="37"/>
      <c r="AB152" s="37"/>
      <c r="AC152" s="37"/>
      <c r="AD152" s="37"/>
      <c r="AE152" s="37"/>
      <c r="AF152" s="37"/>
    </row>
    <row r="153" spans="1:32" ht="14">
      <c r="A153" s="37">
        <v>158</v>
      </c>
      <c r="B153" s="37" t="s">
        <v>245</v>
      </c>
      <c r="C153" s="37" t="s">
        <v>652</v>
      </c>
      <c r="D153" s="37" t="s">
        <v>61</v>
      </c>
      <c r="E153" s="37" t="s">
        <v>85</v>
      </c>
      <c r="F153" s="37" t="s">
        <v>150</v>
      </c>
      <c r="G153" s="37">
        <v>0</v>
      </c>
      <c r="H153" s="37">
        <v>0</v>
      </c>
      <c r="I153" s="37">
        <v>1</v>
      </c>
      <c r="J153" s="37">
        <v>0</v>
      </c>
      <c r="K153" s="37">
        <v>0</v>
      </c>
      <c r="L153" s="37">
        <v>0</v>
      </c>
      <c r="M153" s="37">
        <v>0</v>
      </c>
      <c r="N153" s="37">
        <v>0</v>
      </c>
      <c r="O153" s="37">
        <v>0</v>
      </c>
      <c r="P153" s="37">
        <v>0</v>
      </c>
      <c r="Q153" s="37">
        <v>0</v>
      </c>
      <c r="R153" s="37">
        <v>0</v>
      </c>
      <c r="S153" s="37">
        <v>0</v>
      </c>
      <c r="T153" s="147" t="s">
        <v>652</v>
      </c>
      <c r="U153" s="147"/>
      <c r="V153" s="147"/>
      <c r="W153" s="37"/>
      <c r="X153" s="37"/>
      <c r="Y153" s="37"/>
      <c r="Z153" s="37"/>
      <c r="AA153" s="37"/>
      <c r="AB153" s="37"/>
      <c r="AC153" s="37"/>
      <c r="AD153" s="37"/>
      <c r="AE153" s="37"/>
      <c r="AF153" s="37"/>
    </row>
    <row r="154" spans="1:32" ht="14">
      <c r="A154" s="37">
        <v>159</v>
      </c>
      <c r="B154" s="37" t="s">
        <v>245</v>
      </c>
      <c r="C154" s="37" t="s">
        <v>567</v>
      </c>
      <c r="D154" s="37" t="s">
        <v>75</v>
      </c>
      <c r="E154" s="37" t="s">
        <v>92</v>
      </c>
      <c r="F154" s="37" t="s">
        <v>141</v>
      </c>
      <c r="G154" s="37">
        <v>0</v>
      </c>
      <c r="H154" s="37">
        <v>0</v>
      </c>
      <c r="I154" s="37">
        <v>0</v>
      </c>
      <c r="J154" s="37">
        <v>0</v>
      </c>
      <c r="K154" s="37">
        <v>1</v>
      </c>
      <c r="L154" s="37">
        <v>1</v>
      </c>
      <c r="M154" s="37">
        <v>0</v>
      </c>
      <c r="N154" s="37">
        <v>0</v>
      </c>
      <c r="O154" s="37">
        <v>0</v>
      </c>
      <c r="P154" s="37">
        <v>0</v>
      </c>
      <c r="Q154" s="37">
        <v>0</v>
      </c>
      <c r="R154" s="37">
        <v>0</v>
      </c>
      <c r="S154" s="37">
        <v>0</v>
      </c>
      <c r="T154" s="147" t="s">
        <v>567</v>
      </c>
      <c r="U154" s="147"/>
      <c r="V154" s="147"/>
      <c r="W154" s="37"/>
      <c r="X154" s="37"/>
      <c r="Y154" s="37"/>
      <c r="Z154" s="37"/>
      <c r="AA154" s="37"/>
      <c r="AB154" s="37"/>
      <c r="AC154" s="37"/>
      <c r="AD154" s="37"/>
      <c r="AE154" s="37"/>
      <c r="AF154" s="37"/>
    </row>
    <row r="155" spans="1:32" ht="14">
      <c r="A155" s="37">
        <v>160</v>
      </c>
      <c r="B155" s="37" t="s">
        <v>23</v>
      </c>
      <c r="C155" s="37" t="s">
        <v>571</v>
      </c>
      <c r="D155" s="37" t="s">
        <v>61</v>
      </c>
      <c r="E155" s="37" t="s">
        <v>142</v>
      </c>
      <c r="F155" s="37" t="s">
        <v>102</v>
      </c>
      <c r="G155" s="37">
        <v>0</v>
      </c>
      <c r="H155" s="37">
        <v>0</v>
      </c>
      <c r="I155" s="37">
        <v>1</v>
      </c>
      <c r="J155" s="37">
        <v>0</v>
      </c>
      <c r="K155" s="37">
        <v>0</v>
      </c>
      <c r="L155" s="37">
        <v>0</v>
      </c>
      <c r="M155" s="37">
        <v>0</v>
      </c>
      <c r="N155" s="37">
        <v>0</v>
      </c>
      <c r="O155" s="37">
        <v>0</v>
      </c>
      <c r="P155" s="37">
        <v>0</v>
      </c>
      <c r="Q155" s="37">
        <v>1</v>
      </c>
      <c r="R155" s="37">
        <v>0</v>
      </c>
      <c r="S155" s="37">
        <v>0</v>
      </c>
      <c r="T155" s="147" t="s">
        <v>571</v>
      </c>
      <c r="U155" s="147"/>
      <c r="V155" s="147"/>
      <c r="W155" s="37"/>
      <c r="X155" s="37"/>
      <c r="Y155" s="37"/>
      <c r="Z155" s="37"/>
      <c r="AA155" s="37"/>
      <c r="AB155" s="37"/>
      <c r="AC155" s="37"/>
      <c r="AD155" s="37"/>
      <c r="AE155" s="37"/>
      <c r="AF155" s="37"/>
    </row>
    <row r="156" spans="1:32" ht="14">
      <c r="A156" s="37">
        <v>162</v>
      </c>
      <c r="B156" s="37" t="s">
        <v>23</v>
      </c>
      <c r="C156" s="37" t="s">
        <v>419</v>
      </c>
      <c r="D156" s="37" t="s">
        <v>523</v>
      </c>
      <c r="E156" s="37" t="s">
        <v>558</v>
      </c>
      <c r="F156" s="37" t="s">
        <v>102</v>
      </c>
      <c r="G156" s="37">
        <v>0</v>
      </c>
      <c r="H156" s="37">
        <v>0</v>
      </c>
      <c r="I156" s="37">
        <v>0</v>
      </c>
      <c r="J156" s="37">
        <v>1</v>
      </c>
      <c r="K156" s="37">
        <v>0</v>
      </c>
      <c r="L156" s="37">
        <v>1</v>
      </c>
      <c r="M156" s="37">
        <v>0</v>
      </c>
      <c r="N156" s="37">
        <v>0</v>
      </c>
      <c r="O156" s="37">
        <v>0</v>
      </c>
      <c r="P156" s="37">
        <v>0</v>
      </c>
      <c r="Q156" s="37">
        <v>0</v>
      </c>
      <c r="R156" s="37">
        <v>0</v>
      </c>
      <c r="S156" s="37">
        <v>0</v>
      </c>
      <c r="T156" s="147" t="s">
        <v>419</v>
      </c>
      <c r="U156" s="147"/>
      <c r="V156" s="147"/>
      <c r="W156" s="147"/>
      <c r="X156" s="37"/>
      <c r="Y156" s="37"/>
      <c r="Z156" s="37"/>
      <c r="AA156" s="37"/>
      <c r="AB156" s="37"/>
      <c r="AC156" s="37"/>
      <c r="AD156" s="37"/>
      <c r="AE156" s="37"/>
      <c r="AF156" s="37"/>
    </row>
    <row r="157" spans="1:32" ht="14">
      <c r="A157" s="37">
        <v>163</v>
      </c>
      <c r="B157" s="37" t="s">
        <v>23</v>
      </c>
      <c r="C157" s="37" t="s">
        <v>653</v>
      </c>
      <c r="D157" s="37" t="s">
        <v>642</v>
      </c>
      <c r="E157" s="37" t="s">
        <v>61</v>
      </c>
      <c r="F157" s="37" t="s">
        <v>553</v>
      </c>
      <c r="G157" s="37">
        <v>0</v>
      </c>
      <c r="H157" s="37">
        <v>0</v>
      </c>
      <c r="I157" s="37">
        <v>1</v>
      </c>
      <c r="J157" s="37">
        <v>0</v>
      </c>
      <c r="K157" s="37">
        <v>1</v>
      </c>
      <c r="L157" s="37">
        <v>0</v>
      </c>
      <c r="M157" s="37">
        <v>0</v>
      </c>
      <c r="N157" s="37">
        <v>0</v>
      </c>
      <c r="O157" s="37">
        <v>0</v>
      </c>
      <c r="P157" s="37">
        <v>0</v>
      </c>
      <c r="Q157" s="37">
        <v>0</v>
      </c>
      <c r="R157" s="37">
        <v>0</v>
      </c>
      <c r="S157" s="37">
        <v>0</v>
      </c>
      <c r="T157" s="147" t="s">
        <v>653</v>
      </c>
      <c r="U157" s="147"/>
      <c r="V157" s="147"/>
      <c r="W157" s="147"/>
      <c r="X157" s="37"/>
      <c r="Y157" s="37"/>
      <c r="Z157" s="37"/>
      <c r="AA157" s="37"/>
      <c r="AB157" s="37"/>
      <c r="AC157" s="37"/>
      <c r="AD157" s="37"/>
      <c r="AE157" s="37"/>
      <c r="AF157" s="37"/>
    </row>
    <row r="158" spans="1:32" ht="14">
      <c r="A158" s="37">
        <v>164</v>
      </c>
      <c r="B158" s="37" t="s">
        <v>181</v>
      </c>
      <c r="C158" s="37" t="s">
        <v>654</v>
      </c>
      <c r="D158" s="37" t="s">
        <v>56</v>
      </c>
      <c r="E158" s="37" t="s">
        <v>141</v>
      </c>
      <c r="F158" s="37" t="s">
        <v>512</v>
      </c>
      <c r="G158" s="37">
        <v>0</v>
      </c>
      <c r="H158" s="37">
        <v>0</v>
      </c>
      <c r="I158" s="37">
        <v>0</v>
      </c>
      <c r="J158" s="37">
        <v>0</v>
      </c>
      <c r="K158" s="37">
        <v>0</v>
      </c>
      <c r="L158" s="37">
        <v>0</v>
      </c>
      <c r="M158" s="37">
        <v>1</v>
      </c>
      <c r="N158" s="37">
        <v>0</v>
      </c>
      <c r="O158" s="37">
        <v>0</v>
      </c>
      <c r="P158" s="37">
        <v>0</v>
      </c>
      <c r="Q158" s="37">
        <v>0</v>
      </c>
      <c r="R158" s="37">
        <v>1</v>
      </c>
      <c r="S158" s="37">
        <v>0</v>
      </c>
      <c r="T158" s="147" t="s">
        <v>654</v>
      </c>
      <c r="U158" s="147"/>
      <c r="V158" s="147"/>
      <c r="W158" s="147"/>
      <c r="X158" s="147"/>
      <c r="Y158" s="37"/>
      <c r="Z158" s="37"/>
      <c r="AA158" s="37"/>
      <c r="AB158" s="37"/>
      <c r="AC158" s="37"/>
      <c r="AD158" s="37"/>
      <c r="AE158" s="37"/>
      <c r="AF158" s="37"/>
    </row>
    <row r="159" spans="1:32" ht="14">
      <c r="A159" s="37">
        <v>167</v>
      </c>
      <c r="B159" s="37" t="s">
        <v>23</v>
      </c>
      <c r="C159" s="37" t="s">
        <v>655</v>
      </c>
      <c r="D159" s="37" t="s">
        <v>63</v>
      </c>
      <c r="E159" s="37" t="s">
        <v>155</v>
      </c>
      <c r="F159" s="37" t="s">
        <v>301</v>
      </c>
      <c r="G159" s="37">
        <v>1</v>
      </c>
      <c r="H159" s="37">
        <v>1</v>
      </c>
      <c r="I159" s="37">
        <v>1</v>
      </c>
      <c r="J159" s="37">
        <v>0</v>
      </c>
      <c r="K159" s="37">
        <v>0</v>
      </c>
      <c r="L159" s="37">
        <v>0</v>
      </c>
      <c r="M159" s="37">
        <v>0</v>
      </c>
      <c r="N159" s="37">
        <v>1</v>
      </c>
      <c r="O159" s="37">
        <v>0</v>
      </c>
      <c r="P159" s="37">
        <v>0</v>
      </c>
      <c r="Q159" s="37">
        <v>0</v>
      </c>
      <c r="R159" s="37">
        <v>0</v>
      </c>
      <c r="S159" s="37">
        <v>0</v>
      </c>
      <c r="T159" s="147" t="s">
        <v>655</v>
      </c>
      <c r="U159" s="147"/>
      <c r="V159" s="147"/>
      <c r="W159" s="37"/>
      <c r="X159" s="37"/>
      <c r="Y159" s="37"/>
      <c r="Z159" s="37"/>
      <c r="AA159" s="37"/>
      <c r="AB159" s="37"/>
      <c r="AC159" s="37"/>
      <c r="AD159" s="37"/>
      <c r="AE159" s="37"/>
      <c r="AF159" s="37"/>
    </row>
    <row r="160" spans="1:32" ht="14">
      <c r="A160" s="37">
        <v>168</v>
      </c>
      <c r="B160" s="37" t="s">
        <v>23</v>
      </c>
      <c r="C160" s="37" t="s">
        <v>426</v>
      </c>
      <c r="D160" s="37" t="s">
        <v>63</v>
      </c>
      <c r="E160" s="37" t="s">
        <v>56</v>
      </c>
      <c r="F160" s="37" t="s">
        <v>553</v>
      </c>
      <c r="G160" s="37">
        <v>1</v>
      </c>
      <c r="H160" s="37">
        <v>1</v>
      </c>
      <c r="I160" s="37">
        <v>1</v>
      </c>
      <c r="J160" s="37">
        <v>0</v>
      </c>
      <c r="K160" s="37">
        <v>0</v>
      </c>
      <c r="L160" s="37">
        <v>0</v>
      </c>
      <c r="M160" s="37">
        <v>0</v>
      </c>
      <c r="N160" s="37">
        <v>0</v>
      </c>
      <c r="O160" s="37">
        <v>0</v>
      </c>
      <c r="P160" s="37">
        <v>0</v>
      </c>
      <c r="Q160" s="37">
        <v>0</v>
      </c>
      <c r="R160" s="37">
        <v>1</v>
      </c>
      <c r="S160" s="37">
        <v>0</v>
      </c>
      <c r="T160" s="147" t="s">
        <v>426</v>
      </c>
      <c r="U160" s="147"/>
      <c r="V160" s="147"/>
      <c r="W160" s="37"/>
      <c r="X160" s="37"/>
      <c r="Y160" s="37"/>
      <c r="Z160" s="37"/>
      <c r="AA160" s="37"/>
      <c r="AB160" s="37"/>
      <c r="AC160" s="37"/>
      <c r="AD160" s="37"/>
      <c r="AE160" s="37"/>
      <c r="AF160" s="37"/>
    </row>
    <row r="161" spans="1:32" ht="14">
      <c r="A161" s="37">
        <v>169</v>
      </c>
      <c r="B161" s="37" t="s">
        <v>245</v>
      </c>
      <c r="C161" s="37" t="s">
        <v>601</v>
      </c>
      <c r="D161" s="37" t="s">
        <v>518</v>
      </c>
      <c r="E161" s="37" t="s">
        <v>90</v>
      </c>
      <c r="F161" s="37" t="s">
        <v>102</v>
      </c>
      <c r="G161" s="37">
        <v>0</v>
      </c>
      <c r="H161" s="37">
        <v>0</v>
      </c>
      <c r="I161" s="37">
        <v>0</v>
      </c>
      <c r="J161" s="37">
        <v>0</v>
      </c>
      <c r="K161" s="37">
        <v>1</v>
      </c>
      <c r="L161" s="37">
        <v>0</v>
      </c>
      <c r="M161" s="37">
        <v>0</v>
      </c>
      <c r="N161" s="37">
        <v>0</v>
      </c>
      <c r="O161" s="37">
        <v>0</v>
      </c>
      <c r="P161" s="37">
        <v>1</v>
      </c>
      <c r="Q161" s="37">
        <v>0</v>
      </c>
      <c r="R161" s="37">
        <v>0</v>
      </c>
      <c r="S161" s="37">
        <v>0</v>
      </c>
      <c r="T161" s="147" t="s">
        <v>601</v>
      </c>
      <c r="U161" s="147"/>
      <c r="V161" s="147"/>
      <c r="W161" s="37"/>
      <c r="X161" s="37"/>
      <c r="Y161" s="37"/>
      <c r="Z161" s="37"/>
      <c r="AA161" s="37"/>
      <c r="AB161" s="37"/>
      <c r="AC161" s="37"/>
      <c r="AD161" s="37"/>
      <c r="AE161" s="37"/>
      <c r="AF161" s="37"/>
    </row>
    <row r="162" spans="1:32" ht="14">
      <c r="A162" s="37">
        <v>170</v>
      </c>
      <c r="B162" s="37" t="s">
        <v>245</v>
      </c>
      <c r="C162" s="37" t="s">
        <v>656</v>
      </c>
      <c r="D162" s="37" t="s">
        <v>59</v>
      </c>
      <c r="E162" s="37" t="s">
        <v>536</v>
      </c>
      <c r="F162" s="37" t="s">
        <v>643</v>
      </c>
      <c r="G162" s="37">
        <v>0</v>
      </c>
      <c r="H162" s="37">
        <v>0</v>
      </c>
      <c r="I162" s="37">
        <v>1</v>
      </c>
      <c r="J162" s="37">
        <v>0</v>
      </c>
      <c r="K162" s="37">
        <v>0</v>
      </c>
      <c r="L162" s="37">
        <v>0</v>
      </c>
      <c r="M162" s="37">
        <v>0</v>
      </c>
      <c r="N162" s="37">
        <v>0</v>
      </c>
      <c r="O162" s="37">
        <v>0</v>
      </c>
      <c r="P162" s="37">
        <v>0</v>
      </c>
      <c r="Q162" s="37">
        <v>0</v>
      </c>
      <c r="R162" s="37">
        <v>0</v>
      </c>
      <c r="S162" s="37">
        <v>0</v>
      </c>
      <c r="T162" s="147" t="s">
        <v>656</v>
      </c>
      <c r="U162" s="147"/>
      <c r="V162" s="147"/>
      <c r="W162" s="37"/>
      <c r="X162" s="37"/>
      <c r="Y162" s="37"/>
      <c r="Z162" s="37"/>
      <c r="AA162" s="37"/>
      <c r="AB162" s="37"/>
      <c r="AC162" s="37"/>
      <c r="AD162" s="37"/>
      <c r="AE162" s="37"/>
      <c r="AF162" s="37"/>
    </row>
    <row r="163" spans="1:32" ht="14">
      <c r="A163" s="37">
        <v>171</v>
      </c>
      <c r="B163" s="37" t="s">
        <v>161</v>
      </c>
      <c r="C163" s="37" t="s">
        <v>605</v>
      </c>
      <c r="D163" s="37" t="s">
        <v>74</v>
      </c>
      <c r="E163" s="37" t="s">
        <v>86</v>
      </c>
      <c r="F163" s="37" t="s">
        <v>104</v>
      </c>
      <c r="G163" s="37">
        <v>0</v>
      </c>
      <c r="H163" s="37">
        <v>0</v>
      </c>
      <c r="I163" s="37">
        <v>0</v>
      </c>
      <c r="J163" s="37">
        <v>0</v>
      </c>
      <c r="K163" s="37">
        <v>1</v>
      </c>
      <c r="L163" s="37">
        <v>0</v>
      </c>
      <c r="M163" s="37">
        <v>0</v>
      </c>
      <c r="N163" s="37">
        <v>0</v>
      </c>
      <c r="O163" s="37">
        <v>0</v>
      </c>
      <c r="P163" s="37">
        <v>0</v>
      </c>
      <c r="Q163" s="37">
        <v>0</v>
      </c>
      <c r="R163" s="37">
        <v>0</v>
      </c>
      <c r="S163" s="37">
        <v>0</v>
      </c>
      <c r="T163" s="147" t="s">
        <v>605</v>
      </c>
      <c r="U163" s="147"/>
      <c r="V163" s="147"/>
      <c r="W163" s="147"/>
      <c r="X163" s="147"/>
      <c r="Y163" s="147"/>
      <c r="Z163" s="37"/>
      <c r="AA163" s="37"/>
      <c r="AB163" s="37"/>
      <c r="AC163" s="37"/>
      <c r="AD163" s="37"/>
      <c r="AE163" s="37"/>
      <c r="AF163" s="37"/>
    </row>
    <row r="164" spans="1:32" ht="14">
      <c r="A164" s="37">
        <v>172</v>
      </c>
      <c r="B164" s="37" t="s">
        <v>181</v>
      </c>
      <c r="C164" s="37" t="s">
        <v>609</v>
      </c>
      <c r="D164" s="37" t="s">
        <v>518</v>
      </c>
      <c r="E164" s="37" t="s">
        <v>74</v>
      </c>
      <c r="F164" s="37" t="s">
        <v>53</v>
      </c>
      <c r="G164" s="37">
        <v>0</v>
      </c>
      <c r="H164" s="37">
        <v>0</v>
      </c>
      <c r="I164" s="37">
        <v>0</v>
      </c>
      <c r="J164" s="37">
        <v>1</v>
      </c>
      <c r="K164" s="37">
        <v>1</v>
      </c>
      <c r="L164" s="37">
        <v>0</v>
      </c>
      <c r="M164" s="37">
        <v>0</v>
      </c>
      <c r="N164" s="37">
        <v>0</v>
      </c>
      <c r="O164" s="37">
        <v>0</v>
      </c>
      <c r="P164" s="37">
        <v>0</v>
      </c>
      <c r="Q164" s="37">
        <v>0</v>
      </c>
      <c r="R164" s="37">
        <v>0</v>
      </c>
      <c r="S164" s="37">
        <v>0</v>
      </c>
      <c r="T164" s="147" t="s">
        <v>609</v>
      </c>
      <c r="U164" s="147"/>
      <c r="V164" s="147"/>
      <c r="W164" s="37"/>
      <c r="X164" s="37"/>
      <c r="Y164" s="37"/>
      <c r="Z164" s="37"/>
      <c r="AA164" s="37"/>
      <c r="AB164" s="37"/>
      <c r="AC164" s="37"/>
      <c r="AD164" s="37"/>
      <c r="AE164" s="37"/>
      <c r="AF164" s="37"/>
    </row>
    <row r="165" spans="1:32" ht="14">
      <c r="A165" s="37">
        <v>173</v>
      </c>
      <c r="B165" s="37" t="s">
        <v>181</v>
      </c>
      <c r="C165" s="37" t="s">
        <v>657</v>
      </c>
      <c r="D165" s="37" t="s">
        <v>56</v>
      </c>
      <c r="E165" s="37" t="s">
        <v>75</v>
      </c>
      <c r="F165" s="37" t="s">
        <v>53</v>
      </c>
      <c r="G165" s="37">
        <v>0</v>
      </c>
      <c r="H165" s="37">
        <v>0</v>
      </c>
      <c r="I165" s="37">
        <v>0</v>
      </c>
      <c r="J165" s="37">
        <v>0</v>
      </c>
      <c r="K165" s="37">
        <v>1</v>
      </c>
      <c r="L165" s="37">
        <v>0</v>
      </c>
      <c r="M165" s="37">
        <v>0</v>
      </c>
      <c r="N165" s="37">
        <v>0</v>
      </c>
      <c r="O165" s="37">
        <v>0</v>
      </c>
      <c r="P165" s="37">
        <v>1</v>
      </c>
      <c r="Q165" s="37">
        <v>0</v>
      </c>
      <c r="R165" s="37">
        <v>1</v>
      </c>
      <c r="S165" s="37">
        <v>0</v>
      </c>
      <c r="T165" s="147" t="s">
        <v>657</v>
      </c>
      <c r="U165" s="147"/>
      <c r="V165" s="147"/>
      <c r="W165" s="37"/>
      <c r="X165" s="37"/>
      <c r="Y165" s="37"/>
      <c r="Z165" s="37"/>
      <c r="AA165" s="37"/>
      <c r="AB165" s="37"/>
      <c r="AC165" s="37"/>
      <c r="AD165" s="37"/>
      <c r="AE165" s="37"/>
      <c r="AF165" s="37"/>
    </row>
    <row r="166" spans="1:32" ht="14">
      <c r="A166" s="37">
        <v>174</v>
      </c>
      <c r="B166" s="37" t="s">
        <v>23</v>
      </c>
      <c r="C166" s="37" t="s">
        <v>658</v>
      </c>
      <c r="D166" s="37" t="s">
        <v>74</v>
      </c>
      <c r="E166" s="37" t="s">
        <v>56</v>
      </c>
      <c r="F166" s="37" t="s">
        <v>102</v>
      </c>
      <c r="G166" s="37">
        <v>0</v>
      </c>
      <c r="H166" s="37">
        <v>0</v>
      </c>
      <c r="I166" s="37">
        <v>0</v>
      </c>
      <c r="J166" s="37">
        <v>0</v>
      </c>
      <c r="K166" s="37">
        <v>1</v>
      </c>
      <c r="L166" s="37">
        <v>0</v>
      </c>
      <c r="M166" s="37">
        <v>0</v>
      </c>
      <c r="N166" s="37">
        <v>0</v>
      </c>
      <c r="O166" s="37">
        <v>0</v>
      </c>
      <c r="P166" s="37">
        <v>0</v>
      </c>
      <c r="Q166" s="37">
        <v>0</v>
      </c>
      <c r="R166" s="37">
        <v>1</v>
      </c>
      <c r="S166" s="37">
        <v>0</v>
      </c>
      <c r="T166" s="147" t="s">
        <v>658</v>
      </c>
      <c r="U166" s="147"/>
      <c r="V166" s="147"/>
      <c r="W166" s="37"/>
      <c r="X166" s="37"/>
      <c r="Y166" s="37"/>
      <c r="Z166" s="37"/>
      <c r="AA166" s="37"/>
      <c r="AB166" s="37"/>
      <c r="AC166" s="37"/>
      <c r="AD166" s="37"/>
      <c r="AE166" s="37"/>
      <c r="AF166" s="37"/>
    </row>
    <row r="167" spans="1:32" ht="14">
      <c r="A167" s="37">
        <v>175</v>
      </c>
      <c r="B167" s="37" t="s">
        <v>23</v>
      </c>
      <c r="C167" s="37" t="s">
        <v>572</v>
      </c>
      <c r="D167" s="37" t="s">
        <v>56</v>
      </c>
      <c r="E167" s="37" t="s">
        <v>78</v>
      </c>
      <c r="F167" s="37" t="s">
        <v>148</v>
      </c>
      <c r="G167" s="37">
        <v>0</v>
      </c>
      <c r="H167" s="37">
        <v>0</v>
      </c>
      <c r="I167" s="37">
        <v>0</v>
      </c>
      <c r="J167" s="37">
        <v>0</v>
      </c>
      <c r="K167" s="37">
        <v>1</v>
      </c>
      <c r="L167" s="37">
        <v>0</v>
      </c>
      <c r="M167" s="37">
        <v>0</v>
      </c>
      <c r="N167" s="37">
        <v>0</v>
      </c>
      <c r="O167" s="37">
        <v>0</v>
      </c>
      <c r="P167" s="37">
        <v>0</v>
      </c>
      <c r="Q167" s="37">
        <v>0</v>
      </c>
      <c r="R167" s="37">
        <v>1</v>
      </c>
      <c r="S167" s="37">
        <v>0</v>
      </c>
      <c r="T167" s="147" t="s">
        <v>572</v>
      </c>
      <c r="U167" s="147"/>
      <c r="V167" s="147"/>
      <c r="W167" s="37"/>
      <c r="X167" s="37"/>
      <c r="Y167" s="37"/>
      <c r="Z167" s="37"/>
      <c r="AA167" s="37"/>
      <c r="AB167" s="37"/>
      <c r="AC167" s="37"/>
      <c r="AD167" s="37"/>
      <c r="AE167" s="37"/>
      <c r="AF167" s="37"/>
    </row>
    <row r="168" spans="1:32" ht="14">
      <c r="A168" s="37">
        <v>176</v>
      </c>
      <c r="B168" s="37" t="s">
        <v>23</v>
      </c>
      <c r="C168" s="37" t="s">
        <v>659</v>
      </c>
      <c r="D168" s="37" t="s">
        <v>518</v>
      </c>
      <c r="E168" s="37" t="s">
        <v>56</v>
      </c>
      <c r="F168" s="37" t="s">
        <v>512</v>
      </c>
      <c r="G168" s="37">
        <v>0</v>
      </c>
      <c r="H168" s="37">
        <v>0</v>
      </c>
      <c r="I168" s="37">
        <v>0</v>
      </c>
      <c r="J168" s="37">
        <v>0</v>
      </c>
      <c r="K168" s="37">
        <v>1</v>
      </c>
      <c r="L168" s="37">
        <v>0</v>
      </c>
      <c r="M168" s="37">
        <v>0</v>
      </c>
      <c r="N168" s="37">
        <v>0</v>
      </c>
      <c r="O168" s="37">
        <v>0</v>
      </c>
      <c r="P168" s="37">
        <v>0</v>
      </c>
      <c r="Q168" s="37">
        <v>0</v>
      </c>
      <c r="R168" s="37">
        <v>1</v>
      </c>
      <c r="S168" s="37">
        <v>0</v>
      </c>
      <c r="T168" s="147" t="s">
        <v>659</v>
      </c>
      <c r="U168" s="147"/>
      <c r="V168" s="147"/>
      <c r="W168" s="37"/>
      <c r="X168" s="37"/>
      <c r="Y168" s="37"/>
      <c r="Z168" s="37"/>
      <c r="AA168" s="37"/>
      <c r="AB168" s="37"/>
      <c r="AC168" s="37"/>
      <c r="AD168" s="37"/>
      <c r="AE168" s="37"/>
      <c r="AF168" s="37"/>
    </row>
    <row r="169" spans="1:32" ht="14">
      <c r="A169" s="37">
        <v>177</v>
      </c>
      <c r="B169" s="37" t="s">
        <v>245</v>
      </c>
      <c r="C169" s="37" t="s">
        <v>660</v>
      </c>
      <c r="D169" s="37" t="s">
        <v>518</v>
      </c>
      <c r="E169" s="37" t="s">
        <v>74</v>
      </c>
      <c r="F169" s="37" t="s">
        <v>102</v>
      </c>
      <c r="G169" s="37">
        <v>0</v>
      </c>
      <c r="H169" s="37">
        <v>0</v>
      </c>
      <c r="I169" s="37">
        <v>0</v>
      </c>
      <c r="J169" s="37">
        <v>0</v>
      </c>
      <c r="K169" s="37">
        <v>1</v>
      </c>
      <c r="L169" s="37">
        <v>0</v>
      </c>
      <c r="M169" s="37">
        <v>0</v>
      </c>
      <c r="N169" s="37">
        <v>0</v>
      </c>
      <c r="O169" s="37">
        <v>0</v>
      </c>
      <c r="P169" s="37">
        <v>0</v>
      </c>
      <c r="Q169" s="37">
        <v>0</v>
      </c>
      <c r="R169" s="37">
        <v>0</v>
      </c>
      <c r="S169" s="37">
        <v>0</v>
      </c>
      <c r="T169" s="147" t="s">
        <v>660</v>
      </c>
      <c r="U169" s="14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F169" s="37"/>
    </row>
    <row r="170" spans="1:32" ht="14">
      <c r="A170" s="37">
        <v>178</v>
      </c>
      <c r="B170" s="37" t="s">
        <v>181</v>
      </c>
      <c r="C170" s="37" t="s">
        <v>661</v>
      </c>
      <c r="D170" s="37" t="s">
        <v>79</v>
      </c>
      <c r="E170" s="37" t="s">
        <v>616</v>
      </c>
      <c r="F170" s="37" t="s">
        <v>53</v>
      </c>
      <c r="G170" s="37">
        <v>0</v>
      </c>
      <c r="H170" s="37">
        <v>0</v>
      </c>
      <c r="I170" s="37">
        <v>0</v>
      </c>
      <c r="J170" s="37">
        <v>0</v>
      </c>
      <c r="K170" s="37">
        <v>1</v>
      </c>
      <c r="L170" s="37">
        <v>0</v>
      </c>
      <c r="M170" s="37">
        <v>0</v>
      </c>
      <c r="N170" s="37">
        <v>0</v>
      </c>
      <c r="O170" s="37">
        <v>0</v>
      </c>
      <c r="P170" s="37">
        <v>0</v>
      </c>
      <c r="Q170" s="37">
        <v>0</v>
      </c>
      <c r="R170" s="37">
        <v>0</v>
      </c>
      <c r="S170" s="37">
        <v>0</v>
      </c>
      <c r="T170" s="147" t="s">
        <v>661</v>
      </c>
      <c r="U170" s="147"/>
      <c r="V170" s="147"/>
      <c r="W170" s="37"/>
      <c r="X170" s="37"/>
      <c r="Y170" s="37"/>
      <c r="Z170" s="37"/>
      <c r="AA170" s="37"/>
      <c r="AB170" s="37"/>
      <c r="AC170" s="37"/>
      <c r="AD170" s="37"/>
      <c r="AE170" s="37"/>
      <c r="AF170" s="37"/>
    </row>
    <row r="171" spans="1:32" ht="14">
      <c r="A171" s="37">
        <v>179</v>
      </c>
      <c r="B171" s="37" t="s">
        <v>181</v>
      </c>
      <c r="C171" s="37" t="s">
        <v>662</v>
      </c>
      <c r="D171" s="37" t="s">
        <v>79</v>
      </c>
      <c r="E171" s="37" t="s">
        <v>56</v>
      </c>
      <c r="F171" s="37" t="s">
        <v>102</v>
      </c>
      <c r="G171" s="37">
        <v>0</v>
      </c>
      <c r="H171" s="37">
        <v>0</v>
      </c>
      <c r="I171" s="37">
        <v>0</v>
      </c>
      <c r="J171" s="37">
        <v>0</v>
      </c>
      <c r="K171" s="37">
        <v>1</v>
      </c>
      <c r="L171" s="37">
        <v>0</v>
      </c>
      <c r="M171" s="37">
        <v>0</v>
      </c>
      <c r="N171" s="37">
        <v>0</v>
      </c>
      <c r="O171" s="37">
        <v>0</v>
      </c>
      <c r="P171" s="37">
        <v>0</v>
      </c>
      <c r="Q171" s="37">
        <v>0</v>
      </c>
      <c r="R171" s="37">
        <v>1</v>
      </c>
      <c r="S171" s="37">
        <v>0</v>
      </c>
      <c r="T171" s="147" t="s">
        <v>662</v>
      </c>
      <c r="U171" s="147"/>
      <c r="V171" s="147"/>
      <c r="W171" s="37"/>
      <c r="X171" s="37"/>
      <c r="Y171" s="37"/>
      <c r="Z171" s="37"/>
      <c r="AA171" s="37"/>
      <c r="AB171" s="37"/>
      <c r="AC171" s="37"/>
      <c r="AD171" s="37"/>
      <c r="AE171" s="37"/>
      <c r="AF171" s="37"/>
    </row>
    <row r="172" spans="1:32" ht="14">
      <c r="A172" s="37">
        <v>180</v>
      </c>
      <c r="B172" s="37" t="s">
        <v>23</v>
      </c>
      <c r="C172" s="37" t="s">
        <v>207</v>
      </c>
      <c r="D172" s="37" t="s">
        <v>56</v>
      </c>
      <c r="E172" s="37" t="s">
        <v>141</v>
      </c>
      <c r="F172" s="37" t="s">
        <v>663</v>
      </c>
      <c r="G172" s="37">
        <v>0</v>
      </c>
      <c r="H172" s="37">
        <v>0</v>
      </c>
      <c r="I172" s="37">
        <v>0</v>
      </c>
      <c r="J172" s="37">
        <v>0</v>
      </c>
      <c r="K172" s="37">
        <v>0</v>
      </c>
      <c r="L172" s="37">
        <v>0</v>
      </c>
      <c r="M172" s="37">
        <v>1</v>
      </c>
      <c r="N172" s="37">
        <v>0</v>
      </c>
      <c r="O172" s="37">
        <v>0</v>
      </c>
      <c r="P172" s="37">
        <v>0</v>
      </c>
      <c r="Q172" s="37">
        <v>0</v>
      </c>
      <c r="R172" s="37">
        <v>1</v>
      </c>
      <c r="S172" s="37">
        <v>0</v>
      </c>
      <c r="T172" s="147" t="s">
        <v>207</v>
      </c>
      <c r="U172" s="14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F172" s="37"/>
    </row>
    <row r="173" spans="1:32" ht="14">
      <c r="A173" s="37">
        <v>181</v>
      </c>
      <c r="B173" s="37" t="s">
        <v>245</v>
      </c>
      <c r="C173" s="37" t="s">
        <v>613</v>
      </c>
      <c r="D173" s="37" t="s">
        <v>168</v>
      </c>
      <c r="E173" s="37" t="s">
        <v>616</v>
      </c>
      <c r="F173" s="37" t="s">
        <v>147</v>
      </c>
      <c r="G173" s="37">
        <v>0</v>
      </c>
      <c r="H173" s="37">
        <v>0</v>
      </c>
      <c r="I173" s="37">
        <v>0</v>
      </c>
      <c r="J173" s="37">
        <v>0</v>
      </c>
      <c r="K173" s="37">
        <v>0</v>
      </c>
      <c r="L173" s="37">
        <v>0</v>
      </c>
      <c r="M173" s="37">
        <v>0</v>
      </c>
      <c r="N173" s="37">
        <v>0</v>
      </c>
      <c r="O173" s="37">
        <v>0</v>
      </c>
      <c r="P173" s="37">
        <v>1</v>
      </c>
      <c r="Q173" s="37">
        <v>0</v>
      </c>
      <c r="R173" s="37">
        <v>0</v>
      </c>
      <c r="S173" s="37">
        <v>0</v>
      </c>
      <c r="T173" s="147" t="s">
        <v>613</v>
      </c>
      <c r="U173" s="147"/>
      <c r="V173" s="147"/>
      <c r="W173" s="37"/>
      <c r="X173" s="37"/>
      <c r="Y173" s="37"/>
      <c r="Z173" s="37"/>
      <c r="AA173" s="37"/>
      <c r="AB173" s="37"/>
      <c r="AC173" s="37"/>
      <c r="AD173" s="37"/>
      <c r="AE173" s="37"/>
      <c r="AF173" s="37"/>
    </row>
    <row r="174" spans="1:32" ht="14">
      <c r="A174" s="37">
        <v>182</v>
      </c>
      <c r="B174" s="37" t="s">
        <v>161</v>
      </c>
      <c r="C174" s="37" t="s">
        <v>617</v>
      </c>
      <c r="D174" s="37" t="s">
        <v>75</v>
      </c>
      <c r="E174" s="37" t="s">
        <v>74</v>
      </c>
      <c r="F174" s="37" t="s">
        <v>148</v>
      </c>
      <c r="G174" s="37">
        <v>0</v>
      </c>
      <c r="H174" s="37">
        <v>0</v>
      </c>
      <c r="I174" s="37">
        <v>0</v>
      </c>
      <c r="J174" s="37">
        <v>0</v>
      </c>
      <c r="K174" s="37">
        <v>1</v>
      </c>
      <c r="L174" s="37">
        <v>0</v>
      </c>
      <c r="M174" s="37">
        <v>0</v>
      </c>
      <c r="N174" s="37">
        <v>0</v>
      </c>
      <c r="O174" s="37">
        <v>0</v>
      </c>
      <c r="P174" s="37">
        <v>1</v>
      </c>
      <c r="Q174" s="37">
        <v>0</v>
      </c>
      <c r="R174" s="37">
        <v>0</v>
      </c>
      <c r="S174" s="37">
        <v>0</v>
      </c>
      <c r="T174" s="147" t="s">
        <v>617</v>
      </c>
      <c r="U174" s="147"/>
      <c r="V174" s="147"/>
      <c r="W174" s="147"/>
      <c r="X174" s="37"/>
      <c r="Y174" s="37"/>
      <c r="Z174" s="37"/>
      <c r="AA174" s="37"/>
      <c r="AB174" s="37"/>
      <c r="AC174" s="37"/>
      <c r="AD174" s="37"/>
      <c r="AE174" s="37"/>
      <c r="AF174" s="37"/>
    </row>
    <row r="175" spans="1:32" ht="14">
      <c r="A175" s="37">
        <v>183</v>
      </c>
      <c r="B175" s="37" t="s">
        <v>181</v>
      </c>
      <c r="C175" s="37" t="s">
        <v>664</v>
      </c>
      <c r="D175" s="37" t="s">
        <v>79</v>
      </c>
      <c r="E175" s="37" t="s">
        <v>93</v>
      </c>
      <c r="F175" s="37" t="s">
        <v>147</v>
      </c>
      <c r="G175" s="37">
        <v>0</v>
      </c>
      <c r="H175" s="37">
        <v>0</v>
      </c>
      <c r="I175" s="37">
        <v>0</v>
      </c>
      <c r="J175" s="37">
        <v>0</v>
      </c>
      <c r="K175" s="37">
        <v>1</v>
      </c>
      <c r="L175" s="37">
        <v>1</v>
      </c>
      <c r="M175" s="37">
        <v>0</v>
      </c>
      <c r="N175" s="37">
        <v>0</v>
      </c>
      <c r="O175" s="37">
        <v>0</v>
      </c>
      <c r="P175" s="37">
        <v>0</v>
      </c>
      <c r="Q175" s="37">
        <v>0</v>
      </c>
      <c r="R175" s="37">
        <v>0</v>
      </c>
      <c r="S175" s="37">
        <v>0</v>
      </c>
      <c r="T175" s="147" t="s">
        <v>664</v>
      </c>
      <c r="U175" s="147"/>
      <c r="V175" s="147"/>
      <c r="W175" s="147"/>
      <c r="X175" s="147"/>
      <c r="Y175" s="37"/>
      <c r="Z175" s="37"/>
      <c r="AA175" s="37"/>
      <c r="AB175" s="37"/>
      <c r="AC175" s="37"/>
      <c r="AD175" s="37"/>
      <c r="AE175" s="37"/>
      <c r="AF175" s="37"/>
    </row>
    <row r="176" spans="1:32" ht="14">
      <c r="A176" s="37">
        <v>184</v>
      </c>
      <c r="B176" s="37" t="s">
        <v>181</v>
      </c>
      <c r="C176" s="37" t="s">
        <v>665</v>
      </c>
      <c r="D176" s="37" t="s">
        <v>518</v>
      </c>
      <c r="E176" s="37" t="s">
        <v>56</v>
      </c>
      <c r="F176" s="37" t="s">
        <v>102</v>
      </c>
      <c r="G176" s="37">
        <v>0</v>
      </c>
      <c r="H176" s="37">
        <v>0</v>
      </c>
      <c r="I176" s="37">
        <v>0</v>
      </c>
      <c r="J176" s="37">
        <v>0</v>
      </c>
      <c r="K176" s="37">
        <v>1</v>
      </c>
      <c r="L176" s="37">
        <v>0</v>
      </c>
      <c r="M176" s="37">
        <v>0</v>
      </c>
      <c r="N176" s="37">
        <v>0</v>
      </c>
      <c r="O176" s="37">
        <v>0</v>
      </c>
      <c r="P176" s="37">
        <v>0</v>
      </c>
      <c r="Q176" s="37">
        <v>0</v>
      </c>
      <c r="R176" s="37">
        <v>1</v>
      </c>
      <c r="S176" s="37">
        <v>0</v>
      </c>
      <c r="T176" s="147" t="s">
        <v>665</v>
      </c>
      <c r="U176" s="147"/>
      <c r="V176" s="147"/>
      <c r="W176" s="37"/>
      <c r="X176" s="37"/>
      <c r="Y176" s="37"/>
      <c r="Z176" s="37"/>
      <c r="AA176" s="37"/>
      <c r="AB176" s="37"/>
      <c r="AC176" s="37"/>
      <c r="AD176" s="37"/>
      <c r="AE176" s="37"/>
      <c r="AF176" s="37"/>
    </row>
    <row r="177" spans="1:32" ht="14">
      <c r="A177" s="37">
        <v>185</v>
      </c>
      <c r="B177" s="37" t="s">
        <v>23</v>
      </c>
      <c r="C177" s="37" t="s">
        <v>666</v>
      </c>
      <c r="D177" s="37" t="s">
        <v>74</v>
      </c>
      <c r="E177" s="37" t="s">
        <v>558</v>
      </c>
      <c r="F177" s="37" t="s">
        <v>512</v>
      </c>
      <c r="G177" s="37">
        <v>0</v>
      </c>
      <c r="H177" s="37">
        <v>0</v>
      </c>
      <c r="I177" s="37">
        <v>0</v>
      </c>
      <c r="J177" s="37">
        <v>0</v>
      </c>
      <c r="K177" s="37">
        <v>1</v>
      </c>
      <c r="L177" s="37">
        <v>1</v>
      </c>
      <c r="M177" s="37">
        <v>0</v>
      </c>
      <c r="N177" s="37">
        <v>0</v>
      </c>
      <c r="O177" s="37">
        <v>0</v>
      </c>
      <c r="P177" s="37">
        <v>0</v>
      </c>
      <c r="Q177" s="37">
        <v>0</v>
      </c>
      <c r="R177" s="37">
        <v>0</v>
      </c>
      <c r="S177" s="37">
        <v>0</v>
      </c>
      <c r="T177" s="147" t="s">
        <v>666</v>
      </c>
      <c r="U177" s="14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F177" s="37"/>
    </row>
    <row r="178" spans="1:32" ht="14">
      <c r="A178" s="37">
        <v>186</v>
      </c>
      <c r="B178" s="37" t="s">
        <v>23</v>
      </c>
      <c r="C178" s="37" t="s">
        <v>667</v>
      </c>
      <c r="D178" s="37" t="s">
        <v>56</v>
      </c>
      <c r="E178" s="37" t="s">
        <v>79</v>
      </c>
      <c r="F178" s="37" t="s">
        <v>512</v>
      </c>
      <c r="G178" s="37">
        <v>0</v>
      </c>
      <c r="H178" s="37">
        <v>0</v>
      </c>
      <c r="I178" s="37">
        <v>0</v>
      </c>
      <c r="J178" s="37">
        <v>0</v>
      </c>
      <c r="K178" s="37">
        <v>1</v>
      </c>
      <c r="L178" s="37">
        <v>0</v>
      </c>
      <c r="M178" s="37">
        <v>0</v>
      </c>
      <c r="N178" s="37">
        <v>0</v>
      </c>
      <c r="O178" s="37">
        <v>0</v>
      </c>
      <c r="P178" s="37">
        <v>0</v>
      </c>
      <c r="Q178" s="37">
        <v>0</v>
      </c>
      <c r="R178" s="37">
        <v>1</v>
      </c>
      <c r="S178" s="37">
        <v>0</v>
      </c>
      <c r="T178" s="147" t="s">
        <v>667</v>
      </c>
      <c r="U178" s="147"/>
      <c r="V178" s="147"/>
      <c r="W178" s="37"/>
      <c r="X178" s="37"/>
      <c r="Y178" s="37"/>
      <c r="Z178" s="37"/>
      <c r="AA178" s="37"/>
      <c r="AB178" s="37"/>
      <c r="AC178" s="37"/>
      <c r="AD178" s="37"/>
      <c r="AE178" s="37"/>
      <c r="AF178" s="37"/>
    </row>
    <row r="179" spans="1:32" ht="14">
      <c r="A179" s="37">
        <v>187</v>
      </c>
      <c r="B179" s="37" t="s">
        <v>23</v>
      </c>
      <c r="C179" s="37" t="s">
        <v>621</v>
      </c>
      <c r="D179" s="37" t="s">
        <v>74</v>
      </c>
      <c r="E179" s="37" t="s">
        <v>624</v>
      </c>
      <c r="F179" s="37" t="s">
        <v>53</v>
      </c>
      <c r="G179" s="37">
        <v>0</v>
      </c>
      <c r="H179" s="37">
        <v>0</v>
      </c>
      <c r="I179" s="37">
        <v>0</v>
      </c>
      <c r="J179" s="37">
        <v>0</v>
      </c>
      <c r="K179" s="37">
        <v>1</v>
      </c>
      <c r="L179" s="37">
        <v>0</v>
      </c>
      <c r="M179" s="37">
        <v>0</v>
      </c>
      <c r="N179" s="37">
        <v>0</v>
      </c>
      <c r="O179" s="37">
        <v>0</v>
      </c>
      <c r="P179" s="37">
        <v>1</v>
      </c>
      <c r="Q179" s="37">
        <v>0</v>
      </c>
      <c r="R179" s="37">
        <v>0</v>
      </c>
      <c r="S179" s="37">
        <v>0</v>
      </c>
      <c r="T179" s="147" t="s">
        <v>621</v>
      </c>
      <c r="U179" s="147"/>
      <c r="V179" s="147"/>
      <c r="W179" s="147"/>
      <c r="X179" s="37"/>
      <c r="Y179" s="37"/>
      <c r="Z179" s="37"/>
      <c r="AA179" s="37"/>
      <c r="AB179" s="37"/>
      <c r="AC179" s="37"/>
      <c r="AD179" s="37"/>
      <c r="AE179" s="37"/>
      <c r="AF179" s="37"/>
    </row>
    <row r="180" spans="1:32" ht="14">
      <c r="A180" s="37">
        <v>188</v>
      </c>
      <c r="B180" s="37" t="s">
        <v>245</v>
      </c>
      <c r="C180" s="37" t="s">
        <v>601</v>
      </c>
      <c r="D180" s="37" t="s">
        <v>518</v>
      </c>
      <c r="E180" s="37" t="s">
        <v>625</v>
      </c>
      <c r="F180" s="37" t="s">
        <v>512</v>
      </c>
      <c r="G180" s="37">
        <v>0</v>
      </c>
      <c r="H180" s="37">
        <v>0</v>
      </c>
      <c r="I180" s="37">
        <v>0</v>
      </c>
      <c r="J180" s="37">
        <v>0</v>
      </c>
      <c r="K180" s="37">
        <v>1</v>
      </c>
      <c r="L180" s="37">
        <v>0</v>
      </c>
      <c r="M180" s="37">
        <v>0</v>
      </c>
      <c r="N180" s="37">
        <v>0</v>
      </c>
      <c r="O180" s="37">
        <v>0</v>
      </c>
      <c r="P180" s="37">
        <v>1</v>
      </c>
      <c r="Q180" s="37">
        <v>0</v>
      </c>
      <c r="R180" s="37">
        <v>0</v>
      </c>
      <c r="S180" s="37">
        <v>0</v>
      </c>
      <c r="T180" s="147" t="s">
        <v>601</v>
      </c>
      <c r="U180" s="147"/>
      <c r="V180" s="147"/>
      <c r="W180" s="37"/>
      <c r="X180" s="37"/>
      <c r="Y180" s="37"/>
      <c r="Z180" s="37"/>
      <c r="AA180" s="37"/>
      <c r="AB180" s="37"/>
      <c r="AC180" s="37"/>
      <c r="AD180" s="37"/>
      <c r="AE180" s="37"/>
      <c r="AF180" s="37"/>
    </row>
    <row r="181" spans="1:32" ht="14">
      <c r="A181" s="37">
        <v>189</v>
      </c>
      <c r="B181" s="37" t="s">
        <v>23</v>
      </c>
      <c r="C181" s="37" t="s">
        <v>626</v>
      </c>
      <c r="D181" s="37" t="s">
        <v>168</v>
      </c>
      <c r="E181" s="37" t="s">
        <v>85</v>
      </c>
      <c r="F181" s="37" t="s">
        <v>102</v>
      </c>
      <c r="G181" s="37">
        <v>0</v>
      </c>
      <c r="H181" s="37">
        <v>0</v>
      </c>
      <c r="I181" s="37">
        <v>0</v>
      </c>
      <c r="J181" s="37">
        <v>0</v>
      </c>
      <c r="K181" s="37">
        <v>0</v>
      </c>
      <c r="L181" s="37">
        <v>0</v>
      </c>
      <c r="M181" s="37">
        <v>0</v>
      </c>
      <c r="N181" s="37">
        <v>0</v>
      </c>
      <c r="O181" s="37">
        <v>0</v>
      </c>
      <c r="P181" s="37">
        <v>1</v>
      </c>
      <c r="Q181" s="37">
        <v>0</v>
      </c>
      <c r="R181" s="37">
        <v>0</v>
      </c>
      <c r="S181" s="37">
        <v>0</v>
      </c>
      <c r="T181" s="147" t="s">
        <v>626</v>
      </c>
      <c r="U181" s="14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F181" s="37"/>
    </row>
    <row r="182" spans="1:32" ht="14">
      <c r="A182" s="37">
        <v>190</v>
      </c>
      <c r="B182" s="37" t="s">
        <v>23</v>
      </c>
      <c r="C182" s="37" t="s">
        <v>629</v>
      </c>
      <c r="D182" s="37" t="s">
        <v>68</v>
      </c>
      <c r="E182" s="37" t="s">
        <v>84</v>
      </c>
      <c r="F182" s="37" t="s">
        <v>104</v>
      </c>
      <c r="G182" s="37">
        <v>0</v>
      </c>
      <c r="H182" s="37">
        <v>0</v>
      </c>
      <c r="I182" s="37">
        <v>0</v>
      </c>
      <c r="J182" s="37">
        <v>0</v>
      </c>
      <c r="K182" s="37">
        <v>0</v>
      </c>
      <c r="L182" s="37">
        <v>0</v>
      </c>
      <c r="M182" s="37">
        <v>0</v>
      </c>
      <c r="N182" s="37">
        <v>0</v>
      </c>
      <c r="O182" s="37">
        <v>0</v>
      </c>
      <c r="P182" s="37">
        <v>0</v>
      </c>
      <c r="Q182" s="37">
        <v>0</v>
      </c>
      <c r="R182" s="37">
        <v>1</v>
      </c>
      <c r="S182" s="37">
        <v>0</v>
      </c>
      <c r="T182" s="147" t="s">
        <v>629</v>
      </c>
      <c r="U182" s="14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F182" s="37"/>
    </row>
    <row r="183" spans="1:32" ht="14">
      <c r="A183" s="37">
        <v>192</v>
      </c>
      <c r="B183" s="37" t="s">
        <v>181</v>
      </c>
      <c r="C183" s="37" t="s">
        <v>668</v>
      </c>
      <c r="D183" s="37" t="s">
        <v>158</v>
      </c>
      <c r="E183" s="37" t="s">
        <v>83</v>
      </c>
      <c r="F183" s="37" t="s">
        <v>81</v>
      </c>
      <c r="G183" s="37">
        <v>0</v>
      </c>
      <c r="H183" s="37">
        <v>0</v>
      </c>
      <c r="I183" s="37">
        <v>0</v>
      </c>
      <c r="J183" s="37">
        <v>0</v>
      </c>
      <c r="K183" s="37">
        <v>0</v>
      </c>
      <c r="L183" s="37">
        <v>0</v>
      </c>
      <c r="M183" s="37">
        <v>0</v>
      </c>
      <c r="N183" s="37">
        <v>0</v>
      </c>
      <c r="O183" s="37">
        <v>0</v>
      </c>
      <c r="P183" s="37">
        <v>0</v>
      </c>
      <c r="Q183" s="37">
        <v>0</v>
      </c>
      <c r="R183" s="37">
        <v>0</v>
      </c>
      <c r="S183" s="37">
        <v>1</v>
      </c>
      <c r="T183" s="147" t="s">
        <v>668</v>
      </c>
      <c r="U183" s="147"/>
      <c r="V183" s="147"/>
      <c r="W183" s="147"/>
      <c r="X183" s="37"/>
      <c r="Y183" s="37"/>
      <c r="Z183" s="37"/>
      <c r="AA183" s="37"/>
      <c r="AB183" s="37"/>
      <c r="AC183" s="37"/>
      <c r="AD183" s="37"/>
      <c r="AE183" s="37"/>
      <c r="AF183" s="37"/>
    </row>
    <row r="184" spans="1:32" ht="14">
      <c r="A184" s="37">
        <v>193</v>
      </c>
      <c r="B184" s="37" t="s">
        <v>23</v>
      </c>
      <c r="C184" s="37" t="s">
        <v>634</v>
      </c>
      <c r="D184" s="37" t="s">
        <v>153</v>
      </c>
      <c r="E184" s="37" t="s">
        <v>91</v>
      </c>
      <c r="F184" s="37" t="s">
        <v>141</v>
      </c>
      <c r="G184" s="37">
        <v>0</v>
      </c>
      <c r="H184" s="37">
        <v>0</v>
      </c>
      <c r="I184" s="37">
        <v>0</v>
      </c>
      <c r="J184" s="37">
        <v>0</v>
      </c>
      <c r="K184" s="37">
        <v>0</v>
      </c>
      <c r="L184" s="37">
        <v>0</v>
      </c>
      <c r="M184" s="37">
        <v>0</v>
      </c>
      <c r="N184" s="37">
        <v>0</v>
      </c>
      <c r="O184" s="37">
        <v>0</v>
      </c>
      <c r="P184" s="37">
        <v>0</v>
      </c>
      <c r="Q184" s="37">
        <v>0</v>
      </c>
      <c r="R184" s="37">
        <v>0</v>
      </c>
      <c r="S184" s="37">
        <v>1</v>
      </c>
      <c r="T184" s="147" t="s">
        <v>634</v>
      </c>
      <c r="U184" s="14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F184" s="37"/>
    </row>
    <row r="185" spans="1:32" ht="14">
      <c r="A185" s="37">
        <v>194</v>
      </c>
      <c r="B185" s="37" t="s">
        <v>23</v>
      </c>
      <c r="C185" s="37" t="s">
        <v>638</v>
      </c>
      <c r="D185" s="37" t="s">
        <v>96</v>
      </c>
      <c r="E185" s="37" t="s">
        <v>642</v>
      </c>
      <c r="F185" s="37" t="s">
        <v>643</v>
      </c>
      <c r="G185" s="37">
        <v>0</v>
      </c>
      <c r="H185" s="37">
        <v>0</v>
      </c>
      <c r="I185" s="37">
        <v>0</v>
      </c>
      <c r="J185" s="37">
        <v>0</v>
      </c>
      <c r="K185" s="37">
        <v>1</v>
      </c>
      <c r="L185" s="37">
        <v>0</v>
      </c>
      <c r="M185" s="37">
        <v>0</v>
      </c>
      <c r="N185" s="37">
        <v>0</v>
      </c>
      <c r="O185" s="37">
        <v>0</v>
      </c>
      <c r="P185" s="37">
        <v>0</v>
      </c>
      <c r="Q185" s="37">
        <v>0</v>
      </c>
      <c r="R185" s="37">
        <v>0</v>
      </c>
      <c r="S185" s="37">
        <v>0</v>
      </c>
      <c r="T185" s="147" t="s">
        <v>638</v>
      </c>
      <c r="U185" s="147"/>
      <c r="V185" s="147"/>
      <c r="W185" s="37"/>
      <c r="X185" s="37"/>
      <c r="Y185" s="37"/>
      <c r="Z185" s="37"/>
      <c r="AA185" s="37"/>
      <c r="AB185" s="37"/>
      <c r="AC185" s="37"/>
      <c r="AD185" s="37"/>
      <c r="AE185" s="37"/>
      <c r="AF185" s="37"/>
    </row>
    <row r="186" spans="1:32" ht="14">
      <c r="A186" s="37">
        <v>195</v>
      </c>
      <c r="B186" s="37" t="s">
        <v>23</v>
      </c>
      <c r="C186" s="37" t="s">
        <v>491</v>
      </c>
      <c r="D186" s="37" t="s">
        <v>69</v>
      </c>
      <c r="E186" s="37" t="s">
        <v>616</v>
      </c>
      <c r="F186" s="37" t="s">
        <v>147</v>
      </c>
      <c r="G186" s="37">
        <v>0</v>
      </c>
      <c r="H186" s="37">
        <v>0</v>
      </c>
      <c r="I186" s="37">
        <v>1</v>
      </c>
      <c r="J186" s="37">
        <v>0</v>
      </c>
      <c r="K186" s="37">
        <v>0</v>
      </c>
      <c r="L186" s="37">
        <v>0</v>
      </c>
      <c r="M186" s="37">
        <v>0</v>
      </c>
      <c r="N186" s="37">
        <v>0</v>
      </c>
      <c r="O186" s="37">
        <v>0</v>
      </c>
      <c r="P186" s="37">
        <v>0</v>
      </c>
      <c r="Q186" s="37">
        <v>0</v>
      </c>
      <c r="R186" s="37">
        <v>0</v>
      </c>
      <c r="S186" s="37">
        <v>0</v>
      </c>
      <c r="T186" s="147" t="s">
        <v>491</v>
      </c>
      <c r="U186" s="147"/>
      <c r="V186" s="147"/>
      <c r="W186" s="147"/>
      <c r="X186" s="37"/>
      <c r="Y186" s="37"/>
      <c r="Z186" s="37"/>
      <c r="AA186" s="37"/>
      <c r="AB186" s="37"/>
      <c r="AC186" s="37"/>
      <c r="AD186" s="37"/>
      <c r="AE186" s="37"/>
      <c r="AF186" s="37"/>
    </row>
    <row r="187" spans="1:32" ht="14">
      <c r="A187" s="37">
        <v>196</v>
      </c>
      <c r="B187" s="37" t="s">
        <v>23</v>
      </c>
      <c r="C187" s="37" t="s">
        <v>294</v>
      </c>
      <c r="D187" s="37" t="s">
        <v>96</v>
      </c>
      <c r="E187" s="37" t="s">
        <v>159</v>
      </c>
      <c r="F187" s="37" t="s">
        <v>141</v>
      </c>
      <c r="G187" s="37">
        <v>0</v>
      </c>
      <c r="H187" s="37">
        <v>0</v>
      </c>
      <c r="I187" s="37">
        <v>0</v>
      </c>
      <c r="J187" s="37">
        <v>0</v>
      </c>
      <c r="K187" s="37">
        <v>0</v>
      </c>
      <c r="L187" s="37">
        <v>0</v>
      </c>
      <c r="M187" s="37">
        <v>0</v>
      </c>
      <c r="N187" s="37">
        <v>0</v>
      </c>
      <c r="O187" s="37">
        <v>0</v>
      </c>
      <c r="P187" s="37">
        <v>0</v>
      </c>
      <c r="Q187" s="37">
        <v>0</v>
      </c>
      <c r="R187" s="37">
        <v>0</v>
      </c>
      <c r="S187" s="37">
        <v>1</v>
      </c>
      <c r="T187" s="147" t="s">
        <v>294</v>
      </c>
      <c r="U187" s="14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F187" s="37"/>
    </row>
    <row r="188" spans="1:32" ht="14">
      <c r="A188" s="37">
        <v>197</v>
      </c>
      <c r="B188" s="37" t="s">
        <v>181</v>
      </c>
      <c r="C188" s="37" t="s">
        <v>298</v>
      </c>
      <c r="D188" s="37" t="s">
        <v>168</v>
      </c>
      <c r="E188" s="37" t="s">
        <v>301</v>
      </c>
      <c r="F188" s="37" t="s">
        <v>102</v>
      </c>
      <c r="G188" s="37">
        <v>0</v>
      </c>
      <c r="H188" s="37">
        <v>0</v>
      </c>
      <c r="I188" s="37">
        <v>0</v>
      </c>
      <c r="J188" s="37">
        <v>0</v>
      </c>
      <c r="K188" s="37">
        <v>0</v>
      </c>
      <c r="L188" s="37">
        <v>0</v>
      </c>
      <c r="M188" s="37">
        <v>0</v>
      </c>
      <c r="N188" s="37">
        <v>0</v>
      </c>
      <c r="O188" s="37">
        <v>0</v>
      </c>
      <c r="P188" s="37">
        <v>1</v>
      </c>
      <c r="Q188" s="37">
        <v>0</v>
      </c>
      <c r="R188" s="37">
        <v>0</v>
      </c>
      <c r="S188" s="37">
        <v>0</v>
      </c>
      <c r="T188" s="147" t="s">
        <v>298</v>
      </c>
      <c r="U188" s="147"/>
      <c r="V188" s="147"/>
      <c r="W188" s="147"/>
      <c r="X188" s="37"/>
      <c r="Y188" s="37"/>
      <c r="Z188" s="37"/>
      <c r="AA188" s="37"/>
      <c r="AB188" s="37"/>
      <c r="AC188" s="37"/>
      <c r="AD188" s="37"/>
      <c r="AE188" s="37"/>
      <c r="AF188" s="37"/>
    </row>
    <row r="189" spans="1:32" ht="14">
      <c r="A189" s="37"/>
      <c r="B189" s="37"/>
      <c r="C189" s="37"/>
      <c r="D189" s="37"/>
      <c r="E189" s="37"/>
      <c r="F189" s="37"/>
      <c r="G189" s="37"/>
      <c r="H189" s="37"/>
      <c r="I189" s="37"/>
      <c r="J189" s="37"/>
      <c r="K189" s="37"/>
      <c r="L189" s="37"/>
      <c r="M189" s="37"/>
      <c r="N189" s="37"/>
      <c r="O189" s="37"/>
      <c r="P189" s="37"/>
      <c r="Q189" s="37"/>
      <c r="R189" s="37"/>
      <c r="S189" s="37"/>
      <c r="T189" s="37"/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F189" s="37"/>
    </row>
    <row r="190" spans="1:32" ht="14">
      <c r="A190" s="37"/>
      <c r="B190" s="37"/>
      <c r="C190" s="37"/>
      <c r="D190" s="37"/>
      <c r="E190" s="37"/>
      <c r="F190" s="37"/>
      <c r="G190" s="37"/>
      <c r="H190" s="37"/>
      <c r="I190" s="37"/>
      <c r="J190" s="37"/>
      <c r="K190" s="37"/>
      <c r="L190" s="37"/>
      <c r="M190" s="37"/>
      <c r="N190" s="37"/>
      <c r="O190" s="37"/>
      <c r="P190" s="37"/>
      <c r="Q190" s="37"/>
      <c r="R190" s="37"/>
      <c r="S190" s="37"/>
      <c r="T190" s="37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F190" s="37"/>
    </row>
    <row r="191" spans="1:32" ht="14">
      <c r="A191" s="37"/>
      <c r="B191" s="37"/>
      <c r="C191" s="37"/>
      <c r="D191" s="37"/>
      <c r="E191" s="37"/>
      <c r="F191" s="37"/>
      <c r="G191" s="37"/>
      <c r="H191" s="37"/>
      <c r="I191" s="37"/>
      <c r="J191" s="37"/>
      <c r="K191" s="37"/>
      <c r="L191" s="37"/>
      <c r="M191" s="37"/>
      <c r="N191" s="37"/>
      <c r="O191" s="37"/>
      <c r="P191" s="37"/>
      <c r="Q191" s="37"/>
      <c r="R191" s="37"/>
      <c r="S191" s="37"/>
      <c r="T191" s="37"/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F191" s="37"/>
    </row>
    <row r="192" spans="1:32" ht="14">
      <c r="A192" s="37"/>
      <c r="B192" s="37"/>
      <c r="C192" s="37"/>
      <c r="D192" s="37"/>
      <c r="E192" s="37"/>
      <c r="F192" s="37"/>
      <c r="G192" s="37"/>
      <c r="H192" s="37"/>
      <c r="I192" s="37"/>
      <c r="J192" s="37"/>
      <c r="K192" s="37"/>
      <c r="L192" s="37"/>
      <c r="M192" s="37"/>
      <c r="N192" s="37"/>
      <c r="O192" s="37"/>
      <c r="P192" s="37"/>
      <c r="Q192" s="37"/>
      <c r="R192" s="37"/>
      <c r="S192" s="37"/>
      <c r="T192" s="37"/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F192" s="37"/>
    </row>
    <row r="193" spans="1:32" ht="14">
      <c r="A193" s="37"/>
      <c r="B193" s="37"/>
      <c r="C193" s="37"/>
      <c r="D193" s="37"/>
      <c r="E193" s="37"/>
      <c r="F193" s="37"/>
      <c r="G193" s="37"/>
      <c r="H193" s="37"/>
      <c r="I193" s="37"/>
      <c r="J193" s="37"/>
      <c r="K193" s="37"/>
      <c r="L193" s="37"/>
      <c r="M193" s="37"/>
      <c r="N193" s="37"/>
      <c r="O193" s="37"/>
      <c r="P193" s="37"/>
      <c r="Q193" s="37"/>
      <c r="R193" s="37"/>
      <c r="S193" s="37"/>
      <c r="T193" s="37"/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F193" s="37"/>
    </row>
  </sheetData>
  <sheetCalcPr fullCalcOnLoad="1"/>
  <mergeCells count="186">
    <mergeCell ref="T183:W183"/>
    <mergeCell ref="T184:U184"/>
    <mergeCell ref="T185:V185"/>
    <mergeCell ref="T186:W186"/>
    <mergeCell ref="T187:U187"/>
    <mergeCell ref="T188:W188"/>
    <mergeCell ref="T177:U177"/>
    <mergeCell ref="T178:V178"/>
    <mergeCell ref="T179:W179"/>
    <mergeCell ref="T180:V180"/>
    <mergeCell ref="T181:U181"/>
    <mergeCell ref="T182:U182"/>
    <mergeCell ref="T171:V171"/>
    <mergeCell ref="T172:U172"/>
    <mergeCell ref="T173:V173"/>
    <mergeCell ref="T174:W174"/>
    <mergeCell ref="T175:X175"/>
    <mergeCell ref="T176:V176"/>
    <mergeCell ref="T165:V165"/>
    <mergeCell ref="T166:V166"/>
    <mergeCell ref="T167:V167"/>
    <mergeCell ref="T168:V168"/>
    <mergeCell ref="T169:U169"/>
    <mergeCell ref="T170:V170"/>
    <mergeCell ref="T159:V159"/>
    <mergeCell ref="T160:V160"/>
    <mergeCell ref="T161:V161"/>
    <mergeCell ref="T162:V162"/>
    <mergeCell ref="T163:Y163"/>
    <mergeCell ref="T164:V164"/>
    <mergeCell ref="T153:V153"/>
    <mergeCell ref="T154:V154"/>
    <mergeCell ref="T155:V155"/>
    <mergeCell ref="T156:W156"/>
    <mergeCell ref="T157:W157"/>
    <mergeCell ref="T158:X158"/>
    <mergeCell ref="T147:U147"/>
    <mergeCell ref="T148:U148"/>
    <mergeCell ref="T149:V149"/>
    <mergeCell ref="T150:V150"/>
    <mergeCell ref="T151:U151"/>
    <mergeCell ref="T152:W152"/>
    <mergeCell ref="T141:W141"/>
    <mergeCell ref="T142:W142"/>
    <mergeCell ref="T143:V143"/>
    <mergeCell ref="T144:U144"/>
    <mergeCell ref="T145:X145"/>
    <mergeCell ref="T146:U146"/>
    <mergeCell ref="T135:W135"/>
    <mergeCell ref="T136:V136"/>
    <mergeCell ref="T137:X137"/>
    <mergeCell ref="T138:V138"/>
    <mergeCell ref="T139:W139"/>
    <mergeCell ref="T140:V140"/>
    <mergeCell ref="T129:W129"/>
    <mergeCell ref="T130:U130"/>
    <mergeCell ref="T131:W131"/>
    <mergeCell ref="T132:X132"/>
    <mergeCell ref="T133:U133"/>
    <mergeCell ref="T134:W134"/>
    <mergeCell ref="T123:U123"/>
    <mergeCell ref="T124:U124"/>
    <mergeCell ref="T125:V125"/>
    <mergeCell ref="T126:V126"/>
    <mergeCell ref="T127:V127"/>
    <mergeCell ref="T128:V128"/>
    <mergeCell ref="T117:U117"/>
    <mergeCell ref="T118:X118"/>
    <mergeCell ref="T119:W119"/>
    <mergeCell ref="T120:V120"/>
    <mergeCell ref="T121:W121"/>
    <mergeCell ref="T122:V122"/>
    <mergeCell ref="T111:U111"/>
    <mergeCell ref="T112:W112"/>
    <mergeCell ref="T113:V113"/>
    <mergeCell ref="T114:U114"/>
    <mergeCell ref="T115:W115"/>
    <mergeCell ref="T116:U116"/>
    <mergeCell ref="T105:V105"/>
    <mergeCell ref="T106:W106"/>
    <mergeCell ref="T107:V107"/>
    <mergeCell ref="T108:V108"/>
    <mergeCell ref="T109:W109"/>
    <mergeCell ref="T110:V110"/>
    <mergeCell ref="T99:V99"/>
    <mergeCell ref="T100:U100"/>
    <mergeCell ref="T101:U101"/>
    <mergeCell ref="T102:U102"/>
    <mergeCell ref="T103:Y103"/>
    <mergeCell ref="T104:V104"/>
    <mergeCell ref="T93:W93"/>
    <mergeCell ref="T94:U94"/>
    <mergeCell ref="T95:W95"/>
    <mergeCell ref="T96:X96"/>
    <mergeCell ref="T97:W97"/>
    <mergeCell ref="T98:X98"/>
    <mergeCell ref="T87:W87"/>
    <mergeCell ref="T88:V88"/>
    <mergeCell ref="T89:U89"/>
    <mergeCell ref="T90:U90"/>
    <mergeCell ref="T91:V91"/>
    <mergeCell ref="T92:V92"/>
    <mergeCell ref="T81:V81"/>
    <mergeCell ref="T82:U82"/>
    <mergeCell ref="T83:U83"/>
    <mergeCell ref="T84:W84"/>
    <mergeCell ref="T85:U85"/>
    <mergeCell ref="T86:U86"/>
    <mergeCell ref="T75:V75"/>
    <mergeCell ref="T76:V76"/>
    <mergeCell ref="T77:V77"/>
    <mergeCell ref="T78:V78"/>
    <mergeCell ref="T79:U79"/>
    <mergeCell ref="T80:V80"/>
    <mergeCell ref="T69:V69"/>
    <mergeCell ref="T70:U70"/>
    <mergeCell ref="T71:V71"/>
    <mergeCell ref="T72:V72"/>
    <mergeCell ref="T73:V73"/>
    <mergeCell ref="T74:U74"/>
    <mergeCell ref="T63:W63"/>
    <mergeCell ref="T64:U64"/>
    <mergeCell ref="T65:V65"/>
    <mergeCell ref="T66:V66"/>
    <mergeCell ref="T67:U67"/>
    <mergeCell ref="T68:V68"/>
    <mergeCell ref="T57:W57"/>
    <mergeCell ref="T58:V58"/>
    <mergeCell ref="T59:V59"/>
    <mergeCell ref="T60:V60"/>
    <mergeCell ref="T61:V61"/>
    <mergeCell ref="T62:U62"/>
    <mergeCell ref="T50:U50"/>
    <mergeCell ref="T51:U51"/>
    <mergeCell ref="T52:V52"/>
    <mergeCell ref="T53:W53"/>
    <mergeCell ref="T54:V54"/>
    <mergeCell ref="T55:X55"/>
    <mergeCell ref="T44:V44"/>
    <mergeCell ref="T45:W45"/>
    <mergeCell ref="T46:V46"/>
    <mergeCell ref="T47:V47"/>
    <mergeCell ref="T48:W48"/>
    <mergeCell ref="T49:U49"/>
    <mergeCell ref="T38:W38"/>
    <mergeCell ref="T39:W39"/>
    <mergeCell ref="T40:U40"/>
    <mergeCell ref="T41:V41"/>
    <mergeCell ref="T42:V42"/>
    <mergeCell ref="T43:V43"/>
    <mergeCell ref="T32:V32"/>
    <mergeCell ref="T33:V33"/>
    <mergeCell ref="T34:W34"/>
    <mergeCell ref="T35:U35"/>
    <mergeCell ref="T36:W36"/>
    <mergeCell ref="T37:V37"/>
    <mergeCell ref="T26:W26"/>
    <mergeCell ref="T27:U27"/>
    <mergeCell ref="T28:V28"/>
    <mergeCell ref="T29:U29"/>
    <mergeCell ref="T30:U30"/>
    <mergeCell ref="T31:X31"/>
    <mergeCell ref="T20:W20"/>
    <mergeCell ref="T21:U21"/>
    <mergeCell ref="T22:W22"/>
    <mergeCell ref="T23:V23"/>
    <mergeCell ref="T24:X24"/>
    <mergeCell ref="T25:W25"/>
    <mergeCell ref="T17:V17"/>
    <mergeCell ref="T18:V18"/>
    <mergeCell ref="T19:V19"/>
    <mergeCell ref="T8:V8"/>
    <mergeCell ref="T9:V9"/>
    <mergeCell ref="T10:W10"/>
    <mergeCell ref="T11:U11"/>
    <mergeCell ref="T12:V12"/>
    <mergeCell ref="T13:W13"/>
    <mergeCell ref="T2:U2"/>
    <mergeCell ref="T3:V3"/>
    <mergeCell ref="T4:X4"/>
    <mergeCell ref="T5:U5"/>
    <mergeCell ref="T6:X6"/>
    <mergeCell ref="T7:V7"/>
    <mergeCell ref="T14:U14"/>
    <mergeCell ref="T15:V15"/>
    <mergeCell ref="T16:U16"/>
  </mergeCells>
  <phoneticPr fontId="4" type="noConversion"/>
  <pageMargins left="0.75" right="0.75" top="1" bottom="1" header="0.5" footer="0.5"/>
  <pageSetup orientation="portrait" horizontalDpi="4294967292" verticalDpi="4294967292"/>
  <extLst>
    <ext xmlns:mx="http://schemas.microsoft.com/office/mac/excel/2008/main" uri="http://schemas.microsoft.com/office/mac/excel/2008/main">
      <mx:PLV Mode="1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4" enableFormatConditionsCalculation="0"/>
  <dimension ref="A1:J32"/>
  <sheetViews>
    <sheetView workbookViewId="0">
      <selection activeCell="B30" sqref="B30"/>
    </sheetView>
  </sheetViews>
  <sheetFormatPr baseColWidth="10" defaultColWidth="10.7109375" defaultRowHeight="13"/>
  <cols>
    <col min="1" max="1" width="17" style="6" customWidth="1"/>
    <col min="2" max="2" width="17.42578125" style="6" customWidth="1"/>
    <col min="3" max="4" width="10.7109375" style="6"/>
    <col min="5" max="5" width="12.5703125" style="6" customWidth="1"/>
    <col min="6" max="6" width="18.42578125" style="6" customWidth="1"/>
    <col min="7" max="7" width="10.140625" style="6" customWidth="1"/>
    <col min="8" max="16384" width="10.7109375" style="6"/>
  </cols>
  <sheetData>
    <row r="1" spans="1:10" ht="14" thickBot="1"/>
    <row r="2" spans="1:10">
      <c r="A2" s="137" t="s">
        <v>716</v>
      </c>
      <c r="B2" s="75" t="s">
        <v>3</v>
      </c>
      <c r="C2" s="77" t="s">
        <v>4</v>
      </c>
      <c r="D2" s="77" t="s">
        <v>5</v>
      </c>
      <c r="E2" s="77" t="s">
        <v>6</v>
      </c>
      <c r="F2" s="55"/>
      <c r="H2" s="139" t="s">
        <v>106</v>
      </c>
      <c r="I2" s="140"/>
      <c r="J2" s="141"/>
    </row>
    <row r="3" spans="1:10" ht="14">
      <c r="A3" s="138"/>
      <c r="B3" s="76" t="s">
        <v>307</v>
      </c>
      <c r="C3" s="78" t="s">
        <v>308</v>
      </c>
      <c r="D3" s="78" t="s">
        <v>42</v>
      </c>
      <c r="E3" s="78" t="s">
        <v>43</v>
      </c>
      <c r="F3" s="56"/>
      <c r="H3" s="42">
        <v>1</v>
      </c>
      <c r="I3" s="43" t="s">
        <v>499</v>
      </c>
      <c r="J3" s="44"/>
    </row>
    <row r="4" spans="1:10" ht="14">
      <c r="A4" s="50" t="s">
        <v>7</v>
      </c>
      <c r="B4" s="59" t="s">
        <v>312</v>
      </c>
      <c r="C4" s="60">
        <v>20</v>
      </c>
      <c r="D4" s="60">
        <v>3</v>
      </c>
      <c r="E4" s="60">
        <v>10</v>
      </c>
      <c r="F4" s="61" t="str">
        <f>VLOOKUP(E4,H3:I15,2)</f>
        <v>Fruit &amp; other acids</v>
      </c>
      <c r="H4" s="42">
        <f>H3+1</f>
        <v>2</v>
      </c>
      <c r="I4" s="43" t="s">
        <v>500</v>
      </c>
      <c r="J4" s="44"/>
    </row>
    <row r="5" spans="1:10" ht="15" thickBot="1">
      <c r="A5" s="57" t="s">
        <v>2</v>
      </c>
      <c r="B5" s="86">
        <v>0.1</v>
      </c>
      <c r="C5" s="87">
        <v>0.8</v>
      </c>
      <c r="D5" s="87">
        <v>0.1</v>
      </c>
      <c r="E5" s="62"/>
      <c r="F5" s="58"/>
      <c r="H5" s="42">
        <f t="shared" ref="H5:H15" si="0">H4+1</f>
        <v>3</v>
      </c>
      <c r="I5" s="43" t="s">
        <v>501</v>
      </c>
      <c r="J5" s="44"/>
    </row>
    <row r="6" spans="1:10" ht="14">
      <c r="D6" s="72">
        <f>SUM(B5:D5)</f>
        <v>1</v>
      </c>
      <c r="H6" s="42">
        <f t="shared" si="0"/>
        <v>4</v>
      </c>
      <c r="I6" s="43" t="s">
        <v>502</v>
      </c>
      <c r="J6" s="44"/>
    </row>
    <row r="7" spans="1:10" ht="15" thickBot="1">
      <c r="D7" s="73" t="s">
        <v>313</v>
      </c>
      <c r="H7" s="42">
        <f t="shared" si="0"/>
        <v>5</v>
      </c>
      <c r="I7" s="43" t="s">
        <v>503</v>
      </c>
      <c r="J7" s="44"/>
    </row>
    <row r="8" spans="1:10" ht="14">
      <c r="A8" s="135" t="s">
        <v>0</v>
      </c>
      <c r="B8" s="136"/>
      <c r="D8" s="74">
        <v>1</v>
      </c>
      <c r="H8" s="42">
        <f t="shared" si="0"/>
        <v>6</v>
      </c>
      <c r="I8" s="43" t="s">
        <v>504</v>
      </c>
      <c r="J8" s="44"/>
    </row>
    <row r="9" spans="1:10" ht="14">
      <c r="A9" s="50" t="s">
        <v>304</v>
      </c>
      <c r="B9" s="51" t="str">
        <f>'Raw Data (Salad)'!C95</f>
        <v>Indaba Chardonnay</v>
      </c>
      <c r="H9" s="42">
        <f t="shared" si="0"/>
        <v>7</v>
      </c>
      <c r="I9" s="43" t="s">
        <v>505</v>
      </c>
      <c r="J9" s="44"/>
    </row>
    <row r="10" spans="1:10" ht="14">
      <c r="A10" s="50" t="s">
        <v>305</v>
      </c>
      <c r="B10" s="51" t="str">
        <f>'Raw Data (Salad)'!D95</f>
        <v>White</v>
      </c>
      <c r="H10" s="42">
        <f t="shared" si="0"/>
        <v>8</v>
      </c>
      <c r="I10" s="43" t="s">
        <v>506</v>
      </c>
      <c r="J10" s="44"/>
    </row>
    <row r="11" spans="1:10" ht="14">
      <c r="A11" s="50" t="s">
        <v>44</v>
      </c>
      <c r="B11" s="52">
        <f>'Raw Data (Salad)'!E95</f>
        <v>6.99</v>
      </c>
      <c r="H11" s="42">
        <f t="shared" si="0"/>
        <v>9</v>
      </c>
      <c r="I11" s="43" t="s">
        <v>507</v>
      </c>
      <c r="J11" s="44"/>
    </row>
    <row r="12" spans="1:10" ht="14">
      <c r="A12" s="50" t="s">
        <v>45</v>
      </c>
      <c r="B12" s="51" t="str">
        <f>'Raw Data (Salad)'!F95</f>
        <v>South Africa</v>
      </c>
      <c r="H12" s="42">
        <f t="shared" si="0"/>
        <v>10</v>
      </c>
      <c r="I12" s="43" t="s">
        <v>669</v>
      </c>
      <c r="J12" s="44"/>
    </row>
    <row r="13" spans="1:10" ht="14">
      <c r="A13" s="50" t="s">
        <v>46</v>
      </c>
      <c r="B13" s="51" t="str">
        <f>'Raw Data (Salad)'!G95</f>
        <v>Western Cape</v>
      </c>
      <c r="H13" s="42">
        <f t="shared" si="0"/>
        <v>11</v>
      </c>
      <c r="I13" s="43" t="s">
        <v>670</v>
      </c>
      <c r="J13" s="44"/>
    </row>
    <row r="14" spans="1:10" ht="14">
      <c r="A14" s="50" t="s">
        <v>47</v>
      </c>
      <c r="B14" s="51" t="str">
        <f>'Raw Data (Salad)'!H95</f>
        <v>Chardonnay</v>
      </c>
      <c r="H14" s="42">
        <f t="shared" si="0"/>
        <v>12</v>
      </c>
      <c r="I14" s="43" t="s">
        <v>56</v>
      </c>
      <c r="J14" s="44"/>
    </row>
    <row r="15" spans="1:10" ht="15" thickBot="1">
      <c r="A15" s="53" t="s">
        <v>1</v>
      </c>
      <c r="B15" s="54" t="str">
        <f>'Raw Data (Salad)'!I95</f>
        <v>Chocolate</v>
      </c>
      <c r="H15" s="42">
        <f t="shared" si="0"/>
        <v>13</v>
      </c>
      <c r="I15" s="43" t="s">
        <v>295</v>
      </c>
      <c r="J15" s="44"/>
    </row>
    <row r="16" spans="1:10">
      <c r="H16" s="8"/>
      <c r="I16" s="45"/>
      <c r="J16" s="46"/>
    </row>
    <row r="30" spans="2:2">
      <c r="B30" s="72"/>
    </row>
    <row r="31" spans="2:2">
      <c r="B31" s="73"/>
    </row>
    <row r="32" spans="2:2">
      <c r="B32" s="74"/>
    </row>
  </sheetData>
  <mergeCells count="3">
    <mergeCell ref="A8:B8"/>
    <mergeCell ref="A2:A3"/>
    <mergeCell ref="H2:J2"/>
  </mergeCells>
  <phoneticPr fontId="4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5" enableFormatConditionsCalculation="0"/>
  <dimension ref="A1:AR95"/>
  <sheetViews>
    <sheetView workbookViewId="0">
      <pane ySplit="1" topLeftCell="A19" activePane="bottomLeft" state="frozen"/>
      <selection pane="bottomLeft" sqref="A1:AG1"/>
    </sheetView>
  </sheetViews>
  <sheetFormatPr baseColWidth="10" defaultColWidth="7.5703125" defaultRowHeight="13"/>
  <cols>
    <col min="1" max="1" width="7.140625" style="6" customWidth="1"/>
    <col min="2" max="2" width="0.140625" style="6" customWidth="1"/>
    <col min="3" max="3" width="42.42578125" style="6" customWidth="1"/>
    <col min="4" max="4" width="9.28515625" style="6" customWidth="1"/>
    <col min="5" max="5" width="8.5703125" style="6" customWidth="1"/>
    <col min="6" max="6" width="11.85546875" style="6" customWidth="1"/>
    <col min="7" max="7" width="13.7109375" style="6" customWidth="1"/>
    <col min="8" max="8" width="11.5703125" style="6" customWidth="1"/>
    <col min="9" max="9" width="12.5703125" style="6" customWidth="1"/>
    <col min="10" max="10" width="9.7109375" style="6" customWidth="1"/>
    <col min="11" max="11" width="9.7109375" style="6" hidden="1" customWidth="1"/>
    <col min="12" max="12" width="9.7109375" style="6" customWidth="1"/>
    <col min="13" max="13" width="11.7109375" style="6" customWidth="1"/>
    <col min="14" max="14" width="11" style="6" customWidth="1"/>
    <col min="15" max="15" width="31.5703125" style="6" customWidth="1"/>
    <col min="16" max="16" width="21.85546875" style="6" customWidth="1"/>
    <col min="17" max="18" width="7.5703125" style="6"/>
    <col min="19" max="19" width="11.42578125" style="6" customWidth="1"/>
    <col min="20" max="20" width="12.28515625" style="6" customWidth="1"/>
    <col min="21" max="21" width="11.85546875" style="6" customWidth="1"/>
    <col min="22" max="22" width="10.7109375" style="6" customWidth="1"/>
    <col min="23" max="23" width="7.85546875" style="6" customWidth="1"/>
    <col min="24" max="24" width="10.140625" style="6" customWidth="1"/>
    <col min="25" max="25" width="7.5703125" style="6"/>
    <col min="26" max="26" width="14.140625" style="6" customWidth="1"/>
    <col min="27" max="27" width="11.5703125" style="6" customWidth="1"/>
    <col min="28" max="28" width="9.28515625" style="6" customWidth="1"/>
    <col min="29" max="29" width="7.5703125" style="6"/>
    <col min="30" max="30" width="9.42578125" style="121" customWidth="1"/>
    <col min="31" max="33" width="7.5703125" style="6"/>
    <col min="34" max="34" width="0" style="6" hidden="1" customWidth="1"/>
    <col min="35" max="35" width="9.5703125" style="6" hidden="1" customWidth="1"/>
    <col min="36" max="16384" width="7.5703125" style="6"/>
  </cols>
  <sheetData>
    <row r="1" spans="1:44" ht="29.25" customHeight="1">
      <c r="A1" s="104" t="s">
        <v>8</v>
      </c>
      <c r="B1" s="105" t="s">
        <v>39</v>
      </c>
      <c r="C1" s="105" t="s">
        <v>304</v>
      </c>
      <c r="D1" s="106" t="s">
        <v>41</v>
      </c>
      <c r="E1" s="107" t="s">
        <v>496</v>
      </c>
      <c r="F1" s="108" t="s">
        <v>311</v>
      </c>
      <c r="G1" s="108" t="s">
        <v>494</v>
      </c>
      <c r="H1" s="109" t="s">
        <v>42</v>
      </c>
      <c r="I1" s="108" t="s">
        <v>648</v>
      </c>
      <c r="J1" s="110" t="s">
        <v>43</v>
      </c>
      <c r="K1" s="105"/>
      <c r="L1" s="105" t="s">
        <v>44</v>
      </c>
      <c r="M1" s="105" t="s">
        <v>45</v>
      </c>
      <c r="N1" s="105" t="s">
        <v>46</v>
      </c>
      <c r="O1" s="105" t="s">
        <v>47</v>
      </c>
      <c r="P1" s="105" t="s">
        <v>48</v>
      </c>
      <c r="Q1" s="105" t="s">
        <v>49</v>
      </c>
      <c r="R1" s="105" t="s">
        <v>50</v>
      </c>
      <c r="S1" s="105" t="s">
        <v>51</v>
      </c>
      <c r="T1" s="105" t="s">
        <v>52</v>
      </c>
      <c r="U1" s="106" t="s">
        <v>499</v>
      </c>
      <c r="V1" s="105" t="s">
        <v>500</v>
      </c>
      <c r="W1" s="106" t="s">
        <v>501</v>
      </c>
      <c r="X1" s="106" t="s">
        <v>502</v>
      </c>
      <c r="Y1" s="105" t="s">
        <v>503</v>
      </c>
      <c r="Z1" s="106" t="s">
        <v>10</v>
      </c>
      <c r="AA1" s="106" t="s">
        <v>505</v>
      </c>
      <c r="AB1" s="106" t="s">
        <v>506</v>
      </c>
      <c r="AC1" s="105" t="s">
        <v>507</v>
      </c>
      <c r="AD1" s="130" t="s">
        <v>669</v>
      </c>
      <c r="AE1" s="105" t="s">
        <v>670</v>
      </c>
      <c r="AF1" s="106" t="s">
        <v>56</v>
      </c>
      <c r="AG1" s="122" t="s">
        <v>295</v>
      </c>
      <c r="AH1" s="105" t="s">
        <v>160</v>
      </c>
      <c r="AI1" s="88" t="s">
        <v>41</v>
      </c>
      <c r="AJ1" s="15"/>
      <c r="AK1" s="15"/>
      <c r="AL1" s="15"/>
      <c r="AM1" s="15"/>
      <c r="AN1" s="15"/>
      <c r="AO1" s="15"/>
      <c r="AP1" s="15"/>
      <c r="AQ1" s="15"/>
      <c r="AR1" s="15"/>
    </row>
    <row r="2" spans="1:44" ht="14">
      <c r="A2" s="111">
        <v>1</v>
      </c>
      <c r="B2" s="23" t="s">
        <v>161</v>
      </c>
      <c r="C2" s="23" t="s">
        <v>162</v>
      </c>
      <c r="D2" s="23" t="s">
        <v>163</v>
      </c>
      <c r="E2" s="22">
        <f>HLOOKUP('Output (Salad)'!$F$4,'Raw Data (Salad)'!$U$1:$AH$87,(A2+1),)</f>
        <v>1</v>
      </c>
      <c r="F2" s="23">
        <f>IF(D2='Output (Salad)'!$B$4,1,0)</f>
        <v>1</v>
      </c>
      <c r="G2" s="23">
        <f>IF(L2&lt;='Output (Salad)'!$C$4,(200-'Raw Data (Salad)'!L2),0)</f>
        <v>0</v>
      </c>
      <c r="H2" s="23">
        <v>5</v>
      </c>
      <c r="I2" s="23">
        <f>SUMPRODUCT(F2:H2,'Output (Salad)'!$B$5:$D$5)*E2</f>
        <v>0.6</v>
      </c>
      <c r="J2" s="89">
        <v>0</v>
      </c>
      <c r="K2" s="49">
        <f>J2</f>
        <v>0</v>
      </c>
      <c r="L2" s="90">
        <v>110</v>
      </c>
      <c r="M2" s="23" t="s">
        <v>164</v>
      </c>
      <c r="N2" s="23" t="s">
        <v>165</v>
      </c>
      <c r="O2" s="23" t="s">
        <v>166</v>
      </c>
      <c r="P2" s="23" t="s">
        <v>167</v>
      </c>
      <c r="Q2" s="91">
        <v>0.14499999999999999</v>
      </c>
      <c r="R2" s="23" t="s">
        <v>53</v>
      </c>
      <c r="S2" s="23" t="s">
        <v>89</v>
      </c>
      <c r="T2" s="23" t="s">
        <v>168</v>
      </c>
      <c r="U2" s="23">
        <f>VLOOKUP($C2,'Food Pairing Data'!$C$2:$S$188,5)</f>
        <v>0</v>
      </c>
      <c r="V2" s="23">
        <f>VLOOKUP($C2,'Food Pairing Data'!$C$2:$S$188,6)</f>
        <v>0</v>
      </c>
      <c r="W2" s="23">
        <f>VLOOKUP($C2,'Food Pairing Data'!$C$2:$S$188,7)</f>
        <v>0</v>
      </c>
      <c r="X2" s="23">
        <f>VLOOKUP($C2,'Food Pairing Data'!$C$2:$S$188,8)</f>
        <v>0</v>
      </c>
      <c r="Y2" s="23">
        <f>VLOOKUP($C2,'Food Pairing Data'!$C$2:$S$188,9)</f>
        <v>0</v>
      </c>
      <c r="Z2" s="23">
        <f>VLOOKUP($C2,'Food Pairing Data'!$C$2:$S$188,10)</f>
        <v>0</v>
      </c>
      <c r="AA2" s="23">
        <f>VLOOKUP($C2,'Food Pairing Data'!$C$2:$S$188,11)</f>
        <v>0</v>
      </c>
      <c r="AB2" s="23">
        <f>VLOOKUP($C2,'Food Pairing Data'!$C$2:$S$188,12)</f>
        <v>0</v>
      </c>
      <c r="AC2" s="23">
        <f>VLOOKUP($C2,'Food Pairing Data'!$C$2:$S$188,13)</f>
        <v>0</v>
      </c>
      <c r="AD2" s="131">
        <f>VLOOKUP($C2,'Food Pairing Data'!$C$2:$S$188,14)</f>
        <v>1</v>
      </c>
      <c r="AE2" s="23">
        <f>VLOOKUP($C2,'Food Pairing Data'!$C$2:$S$188,15)</f>
        <v>0</v>
      </c>
      <c r="AF2" s="23">
        <f>VLOOKUP($C2,'Food Pairing Data'!$C$2:$S$188,16)</f>
        <v>0</v>
      </c>
      <c r="AG2" s="44">
        <f>VLOOKUP($C2,'Food Pairing Data'!$C$2:$S$188,17)</f>
        <v>0</v>
      </c>
      <c r="AH2" s="23" t="s">
        <v>162</v>
      </c>
      <c r="AI2" s="51" t="s">
        <v>163</v>
      </c>
    </row>
    <row r="3" spans="1:44" ht="14">
      <c r="A3" s="111">
        <f>A2+1</f>
        <v>2</v>
      </c>
      <c r="B3" s="23" t="s">
        <v>161</v>
      </c>
      <c r="C3" s="23" t="s">
        <v>169</v>
      </c>
      <c r="D3" s="23" t="s">
        <v>163</v>
      </c>
      <c r="E3" s="22">
        <f>HLOOKUP('Output (Salad)'!$F$4,'Raw Data (Salad)'!$U$1:$BP$87,(A3+1),)</f>
        <v>1</v>
      </c>
      <c r="F3" s="23">
        <f>IF(D3='Output (Salad)'!$B$4,1,0)</f>
        <v>1</v>
      </c>
      <c r="G3" s="23">
        <f>IF(L3&lt;='Output (Salad)'!$C$4,(200-'Raw Data (Salad)'!L3),0)</f>
        <v>0</v>
      </c>
      <c r="H3" s="23">
        <v>5</v>
      </c>
      <c r="I3" s="23">
        <f>SUMPRODUCT(F3:H3,'Output (Salad)'!$B$5:$D$5)*E3</f>
        <v>0.6</v>
      </c>
      <c r="J3" s="89">
        <v>0</v>
      </c>
      <c r="K3" s="49">
        <f t="shared" ref="K3:K66" si="0">J3</f>
        <v>0</v>
      </c>
      <c r="L3" s="90">
        <v>79.989999999999995</v>
      </c>
      <c r="M3" s="23" t="s">
        <v>170</v>
      </c>
      <c r="N3" s="23" t="s">
        <v>171</v>
      </c>
      <c r="O3" s="23" t="s">
        <v>172</v>
      </c>
      <c r="P3" s="23" t="s">
        <v>173</v>
      </c>
      <c r="Q3" s="92" t="s">
        <v>174</v>
      </c>
      <c r="R3" s="23" t="s">
        <v>65</v>
      </c>
      <c r="S3" s="23" t="s">
        <v>91</v>
      </c>
      <c r="T3" s="23" t="s">
        <v>58</v>
      </c>
      <c r="U3" s="23">
        <f>VLOOKUP($C3,'Food Pairing Data'!$C$2:$S$188,5)</f>
        <v>0</v>
      </c>
      <c r="V3" s="23">
        <f>VLOOKUP($C3,'Food Pairing Data'!$C$2:$S$188,6)</f>
        <v>0</v>
      </c>
      <c r="W3" s="23">
        <f>VLOOKUP($C3,'Food Pairing Data'!$C$2:$S$188,7)</f>
        <v>0</v>
      </c>
      <c r="X3" s="23">
        <f>VLOOKUP($C3,'Food Pairing Data'!$C$2:$S$188,8)</f>
        <v>0</v>
      </c>
      <c r="Y3" s="23">
        <f>VLOOKUP($C3,'Food Pairing Data'!$C$2:$S$188,9)</f>
        <v>0</v>
      </c>
      <c r="Z3" s="23">
        <f>VLOOKUP($C3,'Food Pairing Data'!$C$2:$S$188,10)</f>
        <v>0</v>
      </c>
      <c r="AA3" s="23">
        <f>VLOOKUP($C3,'Food Pairing Data'!$C$2:$S$188,11)</f>
        <v>0</v>
      </c>
      <c r="AB3" s="23">
        <f>VLOOKUP($C3,'Food Pairing Data'!$C$2:$S$188,12)</f>
        <v>0</v>
      </c>
      <c r="AC3" s="23">
        <f>VLOOKUP($C3,'Food Pairing Data'!$C$2:$S$188,13)</f>
        <v>0</v>
      </c>
      <c r="AD3" s="131">
        <f>VLOOKUP($C3,'Food Pairing Data'!$C$2:$S$188,14)</f>
        <v>1</v>
      </c>
      <c r="AE3" s="23">
        <f>VLOOKUP($C3,'Food Pairing Data'!$C$2:$S$188,15)</f>
        <v>0</v>
      </c>
      <c r="AF3" s="23">
        <f>VLOOKUP($C3,'Food Pairing Data'!$C$2:$S$188,16)</f>
        <v>0</v>
      </c>
      <c r="AG3" s="44">
        <f>VLOOKUP($C3,'Food Pairing Data'!$C$2:$S$188,17)</f>
        <v>0</v>
      </c>
      <c r="AH3" s="23" t="s">
        <v>169</v>
      </c>
      <c r="AI3" s="51" t="s">
        <v>163</v>
      </c>
    </row>
    <row r="4" spans="1:44" ht="14">
      <c r="A4" s="111">
        <f t="shared" ref="A4:A67" si="1">A3+1</f>
        <v>3</v>
      </c>
      <c r="B4" s="23" t="s">
        <v>161</v>
      </c>
      <c r="C4" s="23" t="s">
        <v>175</v>
      </c>
      <c r="D4" s="23" t="s">
        <v>163</v>
      </c>
      <c r="E4" s="22">
        <f>HLOOKUP('Output (Salad)'!$F$4,'Raw Data (Salad)'!$U$1:$BP$87,(A4+1),)</f>
        <v>0</v>
      </c>
      <c r="F4" s="23">
        <f>IF(D4='Output (Salad)'!$B$4,1,0)</f>
        <v>1</v>
      </c>
      <c r="G4" s="23">
        <f>IF(L4&lt;='Output (Salad)'!$C$4,(200-'Raw Data (Salad)'!L4),0)</f>
        <v>0</v>
      </c>
      <c r="H4" s="23">
        <v>5</v>
      </c>
      <c r="I4" s="23">
        <f>SUMPRODUCT(F4:H4,'Output (Salad)'!$B$5:$D$5)*E4</f>
        <v>0</v>
      </c>
      <c r="J4" s="89">
        <v>0</v>
      </c>
      <c r="K4" s="49">
        <f t="shared" si="0"/>
        <v>0</v>
      </c>
      <c r="L4" s="90">
        <v>49.99</v>
      </c>
      <c r="M4" s="23" t="s">
        <v>176</v>
      </c>
      <c r="N4" s="23" t="s">
        <v>177</v>
      </c>
      <c r="O4" s="23" t="s">
        <v>178</v>
      </c>
      <c r="P4" s="23" t="s">
        <v>179</v>
      </c>
      <c r="Q4" s="92" t="s">
        <v>180</v>
      </c>
      <c r="R4" s="23" t="s">
        <v>55</v>
      </c>
      <c r="S4" s="23" t="s">
        <v>89</v>
      </c>
      <c r="T4" s="23" t="s">
        <v>58</v>
      </c>
      <c r="U4" s="23">
        <f>VLOOKUP($C4,'Food Pairing Data'!$C$2:$S$188,5)</f>
        <v>0</v>
      </c>
      <c r="V4" s="23">
        <f>VLOOKUP($C4,'Food Pairing Data'!$C$2:$S$188,6)</f>
        <v>0</v>
      </c>
      <c r="W4" s="23">
        <f>VLOOKUP($C4,'Food Pairing Data'!$C$2:$S$188,7)</f>
        <v>0</v>
      </c>
      <c r="X4" s="23">
        <f>VLOOKUP($C4,'Food Pairing Data'!$C$2:$S$188,8)</f>
        <v>1</v>
      </c>
      <c r="Y4" s="23">
        <f>VLOOKUP($C4,'Food Pairing Data'!$C$2:$S$188,9)</f>
        <v>0</v>
      </c>
      <c r="Z4" s="23">
        <f>VLOOKUP($C4,'Food Pairing Data'!$C$2:$S$188,10)</f>
        <v>1</v>
      </c>
      <c r="AA4" s="23">
        <f>VLOOKUP($C4,'Food Pairing Data'!$C$2:$S$188,11)</f>
        <v>0</v>
      </c>
      <c r="AB4" s="23">
        <f>VLOOKUP($C4,'Food Pairing Data'!$C$2:$S$188,12)</f>
        <v>0</v>
      </c>
      <c r="AC4" s="23">
        <f>VLOOKUP($C4,'Food Pairing Data'!$C$2:$S$188,13)</f>
        <v>0</v>
      </c>
      <c r="AD4" s="131">
        <f>VLOOKUP($C4,'Food Pairing Data'!$C$2:$S$188,14)</f>
        <v>0</v>
      </c>
      <c r="AE4" s="23">
        <f>VLOOKUP($C4,'Food Pairing Data'!$C$2:$S$188,15)</f>
        <v>0</v>
      </c>
      <c r="AF4" s="23">
        <f>VLOOKUP($C4,'Food Pairing Data'!$C$2:$S$188,16)</f>
        <v>0</v>
      </c>
      <c r="AG4" s="44">
        <f>VLOOKUP($C4,'Food Pairing Data'!$C$2:$S$188,17)</f>
        <v>0</v>
      </c>
      <c r="AH4" s="23" t="s">
        <v>175</v>
      </c>
      <c r="AI4" s="51" t="s">
        <v>163</v>
      </c>
    </row>
    <row r="5" spans="1:44" ht="14">
      <c r="A5" s="111">
        <f t="shared" si="1"/>
        <v>4</v>
      </c>
      <c r="B5" s="23" t="s">
        <v>181</v>
      </c>
      <c r="C5" s="23" t="s">
        <v>182</v>
      </c>
      <c r="D5" s="23" t="s">
        <v>163</v>
      </c>
      <c r="E5" s="22">
        <f>HLOOKUP('Output (Salad)'!$F$4,'Raw Data (Salad)'!$U$1:$BP$87,(A5+1),)</f>
        <v>1</v>
      </c>
      <c r="F5" s="23">
        <f>IF(D5='Output (Salad)'!$B$4,1,0)</f>
        <v>1</v>
      </c>
      <c r="G5" s="23">
        <f>IF(L5&lt;='Output (Salad)'!$C$4,(200-'Raw Data (Salad)'!L5),0)</f>
        <v>0</v>
      </c>
      <c r="H5" s="23">
        <v>5</v>
      </c>
      <c r="I5" s="23">
        <f>SUMPRODUCT(F5:H5,'Output (Salad)'!$B$5:$D$5)*E5</f>
        <v>0.6</v>
      </c>
      <c r="J5" s="89">
        <v>0</v>
      </c>
      <c r="K5" s="49">
        <f t="shared" si="0"/>
        <v>0</v>
      </c>
      <c r="L5" s="90">
        <v>34.99</v>
      </c>
      <c r="M5" s="23" t="s">
        <v>183</v>
      </c>
      <c r="N5" s="23" t="s">
        <v>184</v>
      </c>
      <c r="O5" s="23" t="s">
        <v>185</v>
      </c>
      <c r="P5" s="23" t="s">
        <v>186</v>
      </c>
      <c r="Q5" s="92" t="s">
        <v>180</v>
      </c>
      <c r="R5" s="23" t="s">
        <v>72</v>
      </c>
      <c r="S5" s="23" t="s">
        <v>64</v>
      </c>
      <c r="T5" s="23" t="s">
        <v>58</v>
      </c>
      <c r="U5" s="23">
        <f>VLOOKUP($C5,'Food Pairing Data'!$C$2:$S$188,5)</f>
        <v>0</v>
      </c>
      <c r="V5" s="23">
        <f>VLOOKUP($C5,'Food Pairing Data'!$C$2:$S$188,6)</f>
        <v>0</v>
      </c>
      <c r="W5" s="23">
        <f>VLOOKUP($C5,'Food Pairing Data'!$C$2:$S$188,7)</f>
        <v>0</v>
      </c>
      <c r="X5" s="23">
        <f>VLOOKUP($C5,'Food Pairing Data'!$C$2:$S$188,8)</f>
        <v>0</v>
      </c>
      <c r="Y5" s="23">
        <f>VLOOKUP($C5,'Food Pairing Data'!$C$2:$S$188,9)</f>
        <v>0</v>
      </c>
      <c r="Z5" s="23">
        <f>VLOOKUP($C5,'Food Pairing Data'!$C$2:$S$188,10)</f>
        <v>0</v>
      </c>
      <c r="AA5" s="23">
        <f>VLOOKUP($C5,'Food Pairing Data'!$C$2:$S$188,11)</f>
        <v>0</v>
      </c>
      <c r="AB5" s="23">
        <f>VLOOKUP($C5,'Food Pairing Data'!$C$2:$S$188,12)</f>
        <v>0</v>
      </c>
      <c r="AC5" s="23">
        <f>VLOOKUP($C5,'Food Pairing Data'!$C$2:$S$188,13)</f>
        <v>0</v>
      </c>
      <c r="AD5" s="131">
        <f>VLOOKUP($C5,'Food Pairing Data'!$C$2:$S$188,14)</f>
        <v>1</v>
      </c>
      <c r="AE5" s="23">
        <f>VLOOKUP($C5,'Food Pairing Data'!$C$2:$S$188,15)</f>
        <v>0</v>
      </c>
      <c r="AF5" s="23">
        <f>VLOOKUP($C5,'Food Pairing Data'!$C$2:$S$188,16)</f>
        <v>0</v>
      </c>
      <c r="AG5" s="44">
        <f>VLOOKUP($C5,'Food Pairing Data'!$C$2:$S$188,17)</f>
        <v>0</v>
      </c>
      <c r="AH5" s="23" t="s">
        <v>182</v>
      </c>
      <c r="AI5" s="51" t="s">
        <v>163</v>
      </c>
    </row>
    <row r="6" spans="1:44" ht="14">
      <c r="A6" s="111">
        <f t="shared" si="1"/>
        <v>5</v>
      </c>
      <c r="B6" s="23" t="s">
        <v>181</v>
      </c>
      <c r="C6" s="23" t="s">
        <v>11</v>
      </c>
      <c r="D6" s="23" t="s">
        <v>163</v>
      </c>
      <c r="E6" s="22">
        <f>HLOOKUP('Output (Salad)'!$F$4,'Raw Data (Salad)'!$U$1:$BP$87,(A6+1),)</f>
        <v>0</v>
      </c>
      <c r="F6" s="23">
        <f>IF(D6='Output (Salad)'!$B$4,1,0)</f>
        <v>1</v>
      </c>
      <c r="G6" s="23">
        <f>IF(L6&lt;='Output (Salad)'!$C$4,(200-'Raw Data (Salad)'!L6),0)</f>
        <v>0</v>
      </c>
      <c r="H6" s="23">
        <v>5</v>
      </c>
      <c r="I6" s="23">
        <f>SUMPRODUCT(F6:H6,'Output (Salad)'!$B$5:$D$5)*E6</f>
        <v>0</v>
      </c>
      <c r="J6" s="89">
        <v>0</v>
      </c>
      <c r="K6" s="49">
        <f t="shared" si="0"/>
        <v>0</v>
      </c>
      <c r="L6" s="90">
        <v>29.99</v>
      </c>
      <c r="M6" s="23" t="s">
        <v>176</v>
      </c>
      <c r="N6" s="23" t="s">
        <v>12</v>
      </c>
      <c r="O6" s="23" t="s">
        <v>13</v>
      </c>
      <c r="P6" s="23" t="s">
        <v>186</v>
      </c>
      <c r="Q6" s="92" t="s">
        <v>174</v>
      </c>
      <c r="R6" s="23" t="s">
        <v>14</v>
      </c>
      <c r="S6" s="23" t="s">
        <v>64</v>
      </c>
      <c r="T6" s="23" t="s">
        <v>58</v>
      </c>
      <c r="U6" s="23">
        <f>VLOOKUP($C6,'Food Pairing Data'!$C$2:$S$188,5)</f>
        <v>0</v>
      </c>
      <c r="V6" s="23">
        <f>VLOOKUP($C6,'Food Pairing Data'!$C$2:$S$188,6)</f>
        <v>0</v>
      </c>
      <c r="W6" s="23">
        <f>VLOOKUP($C6,'Food Pairing Data'!$C$2:$S$188,7)</f>
        <v>0</v>
      </c>
      <c r="X6" s="23">
        <f>VLOOKUP($C6,'Food Pairing Data'!$C$2:$S$188,8)</f>
        <v>1</v>
      </c>
      <c r="Y6" s="23">
        <f>VLOOKUP($C6,'Food Pairing Data'!$C$2:$S$188,9)</f>
        <v>0</v>
      </c>
      <c r="Z6" s="23">
        <f>VLOOKUP($C6,'Food Pairing Data'!$C$2:$S$188,10)</f>
        <v>1</v>
      </c>
      <c r="AA6" s="23">
        <f>VLOOKUP($C6,'Food Pairing Data'!$C$2:$S$188,11)</f>
        <v>0</v>
      </c>
      <c r="AB6" s="23">
        <f>VLOOKUP($C6,'Food Pairing Data'!$C$2:$S$188,12)</f>
        <v>0</v>
      </c>
      <c r="AC6" s="23">
        <f>VLOOKUP($C6,'Food Pairing Data'!$C$2:$S$188,13)</f>
        <v>0</v>
      </c>
      <c r="AD6" s="131">
        <f>VLOOKUP($C6,'Food Pairing Data'!$C$2:$S$188,14)</f>
        <v>0</v>
      </c>
      <c r="AE6" s="23">
        <f>VLOOKUP($C6,'Food Pairing Data'!$C$2:$S$188,15)</f>
        <v>0</v>
      </c>
      <c r="AF6" s="23">
        <f>VLOOKUP($C6,'Food Pairing Data'!$C$2:$S$188,16)</f>
        <v>0</v>
      </c>
      <c r="AG6" s="44">
        <f>VLOOKUP($C6,'Food Pairing Data'!$C$2:$S$188,17)</f>
        <v>0</v>
      </c>
      <c r="AH6" s="23" t="s">
        <v>11</v>
      </c>
      <c r="AI6" s="51" t="s">
        <v>163</v>
      </c>
    </row>
    <row r="7" spans="1:44" ht="14">
      <c r="A7" s="111">
        <f t="shared" si="1"/>
        <v>6</v>
      </c>
      <c r="B7" s="23" t="s">
        <v>181</v>
      </c>
      <c r="C7" s="23" t="s">
        <v>15</v>
      </c>
      <c r="D7" s="23" t="s">
        <v>163</v>
      </c>
      <c r="E7" s="22">
        <f>HLOOKUP('Output (Salad)'!$F$4,'Raw Data (Salad)'!$U$1:$BP$87,(A7+1),)</f>
        <v>1</v>
      </c>
      <c r="F7" s="23">
        <f>IF(D7='Output (Salad)'!$B$4,1,0)</f>
        <v>1</v>
      </c>
      <c r="G7" s="23">
        <f>IF(L7&lt;='Output (Salad)'!$C$4,(200-'Raw Data (Salad)'!L7),0)</f>
        <v>0</v>
      </c>
      <c r="H7" s="23">
        <v>5</v>
      </c>
      <c r="I7" s="23">
        <f>SUMPRODUCT(F7:H7,'Output (Salad)'!$B$5:$D$5)*E7</f>
        <v>0.6</v>
      </c>
      <c r="J7" s="89">
        <v>0</v>
      </c>
      <c r="K7" s="49">
        <f t="shared" si="0"/>
        <v>0</v>
      </c>
      <c r="L7" s="90">
        <v>25.99</v>
      </c>
      <c r="M7" s="23" t="s">
        <v>183</v>
      </c>
      <c r="N7" s="23" t="s">
        <v>184</v>
      </c>
      <c r="O7" s="23" t="s">
        <v>16</v>
      </c>
      <c r="P7" s="23" t="s">
        <v>173</v>
      </c>
      <c r="Q7" s="92" t="s">
        <v>180</v>
      </c>
      <c r="R7" s="23" t="s">
        <v>53</v>
      </c>
      <c r="S7" s="23" t="s">
        <v>154</v>
      </c>
      <c r="T7" s="23" t="s">
        <v>58</v>
      </c>
      <c r="U7" s="23">
        <f>VLOOKUP($C7,'Food Pairing Data'!$C$2:$S$188,5)</f>
        <v>0</v>
      </c>
      <c r="V7" s="23">
        <f>VLOOKUP($C7,'Food Pairing Data'!$C$2:$S$188,6)</f>
        <v>0</v>
      </c>
      <c r="W7" s="23">
        <f>VLOOKUP($C7,'Food Pairing Data'!$C$2:$S$188,7)</f>
        <v>0</v>
      </c>
      <c r="X7" s="23">
        <f>VLOOKUP($C7,'Food Pairing Data'!$C$2:$S$188,8)</f>
        <v>0</v>
      </c>
      <c r="Y7" s="23">
        <f>VLOOKUP($C7,'Food Pairing Data'!$C$2:$S$188,9)</f>
        <v>0</v>
      </c>
      <c r="Z7" s="23">
        <f>VLOOKUP($C7,'Food Pairing Data'!$C$2:$S$188,10)</f>
        <v>0</v>
      </c>
      <c r="AA7" s="23">
        <f>VLOOKUP($C7,'Food Pairing Data'!$C$2:$S$188,11)</f>
        <v>0</v>
      </c>
      <c r="AB7" s="23">
        <f>VLOOKUP($C7,'Food Pairing Data'!$C$2:$S$188,12)</f>
        <v>0</v>
      </c>
      <c r="AC7" s="23">
        <f>VLOOKUP($C7,'Food Pairing Data'!$C$2:$S$188,13)</f>
        <v>0</v>
      </c>
      <c r="AD7" s="131">
        <f>VLOOKUP($C7,'Food Pairing Data'!$C$2:$S$188,14)</f>
        <v>1</v>
      </c>
      <c r="AE7" s="23">
        <f>VLOOKUP($C7,'Food Pairing Data'!$C$2:$S$188,15)</f>
        <v>0</v>
      </c>
      <c r="AF7" s="23">
        <f>VLOOKUP($C7,'Food Pairing Data'!$C$2:$S$188,16)</f>
        <v>0</v>
      </c>
      <c r="AG7" s="44">
        <f>VLOOKUP($C7,'Food Pairing Data'!$C$2:$S$188,17)</f>
        <v>0</v>
      </c>
      <c r="AH7" s="23" t="s">
        <v>15</v>
      </c>
      <c r="AI7" s="51" t="s">
        <v>163</v>
      </c>
    </row>
    <row r="8" spans="1:44" ht="14">
      <c r="A8" s="111">
        <f t="shared" si="1"/>
        <v>7</v>
      </c>
      <c r="B8" s="23" t="s">
        <v>181</v>
      </c>
      <c r="C8" s="23" t="s">
        <v>17</v>
      </c>
      <c r="D8" s="23" t="s">
        <v>163</v>
      </c>
      <c r="E8" s="22">
        <f>HLOOKUP('Output (Salad)'!$F$4,'Raw Data (Salad)'!$U$1:$BP$87,(A8+1),)</f>
        <v>0</v>
      </c>
      <c r="F8" s="23">
        <f>IF(D8='Output (Salad)'!$B$4,1,0)</f>
        <v>1</v>
      </c>
      <c r="G8" s="23">
        <f>IF(L8&lt;='Output (Salad)'!$C$4,(200-'Raw Data (Salad)'!L8),0)</f>
        <v>0</v>
      </c>
      <c r="H8" s="23">
        <v>5</v>
      </c>
      <c r="I8" s="23">
        <f>SUMPRODUCT(F8:H8,'Output (Salad)'!$B$5:$D$5)*E8</f>
        <v>0</v>
      </c>
      <c r="J8" s="89">
        <v>0</v>
      </c>
      <c r="K8" s="49">
        <f t="shared" si="0"/>
        <v>0</v>
      </c>
      <c r="L8" s="90">
        <v>22.99</v>
      </c>
      <c r="M8" s="23" t="s">
        <v>18</v>
      </c>
      <c r="N8" s="23" t="s">
        <v>19</v>
      </c>
      <c r="O8" s="23" t="s">
        <v>20</v>
      </c>
      <c r="P8" s="23" t="s">
        <v>21</v>
      </c>
      <c r="Q8" s="92" t="s">
        <v>174</v>
      </c>
      <c r="R8" s="23" t="s">
        <v>53</v>
      </c>
      <c r="S8" s="23" t="s">
        <v>65</v>
      </c>
      <c r="T8" s="23" t="s">
        <v>22</v>
      </c>
      <c r="U8" s="23">
        <f>VLOOKUP($C8,'Food Pairing Data'!$C$2:$S$188,5)</f>
        <v>0</v>
      </c>
      <c r="V8" s="23">
        <f>VLOOKUP($C8,'Food Pairing Data'!$C$2:$S$188,6)</f>
        <v>0</v>
      </c>
      <c r="W8" s="23">
        <f>VLOOKUP($C8,'Food Pairing Data'!$C$2:$S$188,7)</f>
        <v>1</v>
      </c>
      <c r="X8" s="23">
        <f>VLOOKUP($C8,'Food Pairing Data'!$C$2:$S$188,8)</f>
        <v>1</v>
      </c>
      <c r="Y8" s="23">
        <f>VLOOKUP($C8,'Food Pairing Data'!$C$2:$S$188,9)</f>
        <v>0</v>
      </c>
      <c r="Z8" s="23">
        <f>VLOOKUP($C8,'Food Pairing Data'!$C$2:$S$188,10)</f>
        <v>0</v>
      </c>
      <c r="AA8" s="23">
        <f>VLOOKUP($C8,'Food Pairing Data'!$C$2:$S$188,11)</f>
        <v>0</v>
      </c>
      <c r="AB8" s="23">
        <f>VLOOKUP($C8,'Food Pairing Data'!$C$2:$S$188,12)</f>
        <v>0</v>
      </c>
      <c r="AC8" s="23">
        <f>VLOOKUP($C8,'Food Pairing Data'!$C$2:$S$188,13)</f>
        <v>0</v>
      </c>
      <c r="AD8" s="131">
        <f>VLOOKUP($C8,'Food Pairing Data'!$C$2:$S$188,14)</f>
        <v>0</v>
      </c>
      <c r="AE8" s="23">
        <f>VLOOKUP($C8,'Food Pairing Data'!$C$2:$S$188,15)</f>
        <v>0</v>
      </c>
      <c r="AF8" s="23">
        <f>VLOOKUP($C8,'Food Pairing Data'!$C$2:$S$188,16)</f>
        <v>0</v>
      </c>
      <c r="AG8" s="44">
        <f>VLOOKUP($C8,'Food Pairing Data'!$C$2:$S$188,17)</f>
        <v>0</v>
      </c>
      <c r="AH8" s="23" t="s">
        <v>17</v>
      </c>
      <c r="AI8" s="51" t="s">
        <v>163</v>
      </c>
    </row>
    <row r="9" spans="1:44" ht="14">
      <c r="A9" s="111">
        <f t="shared" si="1"/>
        <v>8</v>
      </c>
      <c r="B9" s="23" t="s">
        <v>23</v>
      </c>
      <c r="C9" s="23" t="s">
        <v>24</v>
      </c>
      <c r="D9" s="23" t="s">
        <v>163</v>
      </c>
      <c r="E9" s="22">
        <f>HLOOKUP('Output (Salad)'!$F$4,'Raw Data (Salad)'!$U$1:$BP$87,(A9+1),)</f>
        <v>0</v>
      </c>
      <c r="F9" s="23">
        <f>IF(D9='Output (Salad)'!$B$4,1,0)</f>
        <v>1</v>
      </c>
      <c r="G9" s="23">
        <f>IF(L9&lt;='Output (Salad)'!$C$4,(200-'Raw Data (Salad)'!L9),0)</f>
        <v>180.01</v>
      </c>
      <c r="H9" s="23">
        <v>5</v>
      </c>
      <c r="I9" s="23">
        <f>SUMPRODUCT(F9:H9,'Output (Salad)'!$B$5:$D$5)*E9</f>
        <v>0</v>
      </c>
      <c r="J9" s="89">
        <v>0</v>
      </c>
      <c r="K9" s="49">
        <f t="shared" si="0"/>
        <v>0</v>
      </c>
      <c r="L9" s="90">
        <v>19.989999999999998</v>
      </c>
      <c r="M9" s="23" t="s">
        <v>25</v>
      </c>
      <c r="N9" s="23" t="s">
        <v>26</v>
      </c>
      <c r="O9" s="23" t="s">
        <v>27</v>
      </c>
      <c r="P9" s="23" t="s">
        <v>21</v>
      </c>
      <c r="Q9" s="92" t="s">
        <v>28</v>
      </c>
      <c r="R9" s="23" t="s">
        <v>29</v>
      </c>
      <c r="S9" s="23" t="s">
        <v>29</v>
      </c>
      <c r="T9" s="23" t="s">
        <v>22</v>
      </c>
      <c r="U9" s="93">
        <v>1</v>
      </c>
      <c r="V9" s="93">
        <v>0</v>
      </c>
      <c r="W9" s="93">
        <v>0</v>
      </c>
      <c r="X9" s="93">
        <v>0</v>
      </c>
      <c r="Y9" s="93">
        <v>0</v>
      </c>
      <c r="Z9" s="93">
        <v>0</v>
      </c>
      <c r="AA9" s="93">
        <v>0</v>
      </c>
      <c r="AB9" s="93">
        <v>0</v>
      </c>
      <c r="AC9" s="93">
        <v>0</v>
      </c>
      <c r="AD9" s="132">
        <v>0</v>
      </c>
      <c r="AE9" s="93">
        <v>0</v>
      </c>
      <c r="AF9" s="93">
        <v>0</v>
      </c>
      <c r="AG9" s="123">
        <v>0</v>
      </c>
      <c r="AH9" s="23" t="s">
        <v>24</v>
      </c>
      <c r="AI9" s="51" t="s">
        <v>163</v>
      </c>
    </row>
    <row r="10" spans="1:44" ht="14">
      <c r="A10" s="111">
        <f t="shared" si="1"/>
        <v>9</v>
      </c>
      <c r="B10" s="23" t="s">
        <v>23</v>
      </c>
      <c r="C10" s="23" t="s">
        <v>30</v>
      </c>
      <c r="D10" s="23" t="s">
        <v>163</v>
      </c>
      <c r="E10" s="22">
        <f>HLOOKUP('Output (Salad)'!$F$4,'Raw Data (Salad)'!$U$1:$BP$87,(A10+1),)</f>
        <v>1</v>
      </c>
      <c r="F10" s="23">
        <f>IF(D10='Output (Salad)'!$B$4,1,0)</f>
        <v>1</v>
      </c>
      <c r="G10" s="23">
        <f>IF(L10&lt;='Output (Salad)'!$C$4,(200-'Raw Data (Salad)'!L10),0)</f>
        <v>180.01</v>
      </c>
      <c r="H10" s="23">
        <v>5</v>
      </c>
      <c r="I10" s="23">
        <f>SUMPRODUCT(F10:H10,'Output (Salad)'!$B$5:$D$5)*E10</f>
        <v>144.608</v>
      </c>
      <c r="J10" s="89">
        <v>0</v>
      </c>
      <c r="K10" s="49">
        <f t="shared" si="0"/>
        <v>0</v>
      </c>
      <c r="L10" s="90">
        <v>19.989999999999998</v>
      </c>
      <c r="M10" s="23" t="s">
        <v>176</v>
      </c>
      <c r="N10" s="23" t="s">
        <v>31</v>
      </c>
      <c r="O10" s="23" t="s">
        <v>32</v>
      </c>
      <c r="P10" s="23" t="s">
        <v>33</v>
      </c>
      <c r="Q10" s="92" t="s">
        <v>34</v>
      </c>
      <c r="R10" s="23" t="s">
        <v>69</v>
      </c>
      <c r="S10" s="23" t="s">
        <v>57</v>
      </c>
      <c r="T10" s="23" t="s">
        <v>22</v>
      </c>
      <c r="U10" s="23">
        <f>VLOOKUP($C10,'Food Pairing Data'!$C$2:$S$188,5)</f>
        <v>0</v>
      </c>
      <c r="V10" s="23">
        <f>VLOOKUP($C10,'Food Pairing Data'!$C$2:$S$188,6)</f>
        <v>0</v>
      </c>
      <c r="W10" s="23">
        <f>VLOOKUP($C10,'Food Pairing Data'!$C$2:$S$188,7)</f>
        <v>0</v>
      </c>
      <c r="X10" s="23">
        <f>VLOOKUP($C10,'Food Pairing Data'!$C$2:$S$188,8)</f>
        <v>0</v>
      </c>
      <c r="Y10" s="23">
        <f>VLOOKUP($C10,'Food Pairing Data'!$C$2:$S$188,9)</f>
        <v>0</v>
      </c>
      <c r="Z10" s="23">
        <f>VLOOKUP($C10,'Food Pairing Data'!$C$2:$S$188,10)</f>
        <v>0</v>
      </c>
      <c r="AA10" s="23">
        <f>VLOOKUP($C10,'Food Pairing Data'!$C$2:$S$188,11)</f>
        <v>0</v>
      </c>
      <c r="AB10" s="23">
        <f>VLOOKUP($C10,'Food Pairing Data'!$C$2:$S$188,12)</f>
        <v>0</v>
      </c>
      <c r="AC10" s="23">
        <f>VLOOKUP($C10,'Food Pairing Data'!$C$2:$S$188,13)</f>
        <v>0</v>
      </c>
      <c r="AD10" s="131">
        <f>VLOOKUP($C10,'Food Pairing Data'!$C$2:$S$188,14)</f>
        <v>1</v>
      </c>
      <c r="AE10" s="23">
        <f>VLOOKUP($C10,'Food Pairing Data'!$C$2:$S$188,15)</f>
        <v>0</v>
      </c>
      <c r="AF10" s="23">
        <f>VLOOKUP($C10,'Food Pairing Data'!$C$2:$S$188,16)</f>
        <v>0</v>
      </c>
      <c r="AG10" s="44">
        <f>VLOOKUP($C10,'Food Pairing Data'!$C$2:$S$188,17)</f>
        <v>0</v>
      </c>
      <c r="AH10" s="23" t="s">
        <v>30</v>
      </c>
      <c r="AI10" s="51" t="s">
        <v>163</v>
      </c>
    </row>
    <row r="11" spans="1:44" ht="14">
      <c r="A11" s="111">
        <f t="shared" si="1"/>
        <v>10</v>
      </c>
      <c r="B11" s="23" t="s">
        <v>23</v>
      </c>
      <c r="C11" s="23" t="s">
        <v>234</v>
      </c>
      <c r="D11" s="23" t="s">
        <v>163</v>
      </c>
      <c r="E11" s="22">
        <f>HLOOKUP('Output (Salad)'!$F$4,'Raw Data (Salad)'!$U$1:$BP$87,(A11+1),)</f>
        <v>0</v>
      </c>
      <c r="F11" s="23">
        <f>IF(D11='Output (Salad)'!$B$4,1,0)</f>
        <v>1</v>
      </c>
      <c r="G11" s="23">
        <f>IF(L11&lt;='Output (Salad)'!$C$4,(200-'Raw Data (Salad)'!L11),0)</f>
        <v>181.01</v>
      </c>
      <c r="H11" s="23">
        <v>5</v>
      </c>
      <c r="I11" s="23">
        <f>SUMPRODUCT(F11:H11,'Output (Salad)'!$B$5:$D$5)*E11</f>
        <v>0</v>
      </c>
      <c r="J11" s="89">
        <v>0</v>
      </c>
      <c r="K11" s="49">
        <f t="shared" si="0"/>
        <v>0</v>
      </c>
      <c r="L11" s="90">
        <v>18.989999999999998</v>
      </c>
      <c r="M11" s="23" t="s">
        <v>176</v>
      </c>
      <c r="N11" s="23" t="s">
        <v>235</v>
      </c>
      <c r="O11" s="23" t="s">
        <v>236</v>
      </c>
      <c r="P11" s="23" t="s">
        <v>21</v>
      </c>
      <c r="Q11" s="92" t="s">
        <v>237</v>
      </c>
      <c r="R11" s="23" t="s">
        <v>53</v>
      </c>
      <c r="S11" s="23" t="s">
        <v>238</v>
      </c>
      <c r="T11" s="23" t="s">
        <v>239</v>
      </c>
      <c r="U11" s="23">
        <f>VLOOKUP($C11,'Food Pairing Data'!$C$2:$S$188,5)</f>
        <v>0</v>
      </c>
      <c r="V11" s="23">
        <f>VLOOKUP($C11,'Food Pairing Data'!$C$2:$S$188,6)</f>
        <v>0</v>
      </c>
      <c r="W11" s="23">
        <f>VLOOKUP($C11,'Food Pairing Data'!$C$2:$S$188,7)</f>
        <v>1</v>
      </c>
      <c r="X11" s="23">
        <f>VLOOKUP($C11,'Food Pairing Data'!$C$2:$S$188,8)</f>
        <v>0</v>
      </c>
      <c r="Y11" s="23">
        <f>VLOOKUP($C11,'Food Pairing Data'!$C$2:$S$188,9)</f>
        <v>0</v>
      </c>
      <c r="Z11" s="23">
        <f>VLOOKUP($C11,'Food Pairing Data'!$C$2:$S$188,10)</f>
        <v>0</v>
      </c>
      <c r="AA11" s="23">
        <f>VLOOKUP($C11,'Food Pairing Data'!$C$2:$S$188,11)</f>
        <v>0</v>
      </c>
      <c r="AB11" s="23">
        <f>VLOOKUP($C11,'Food Pairing Data'!$C$2:$S$188,12)</f>
        <v>0</v>
      </c>
      <c r="AC11" s="23">
        <f>VLOOKUP($C11,'Food Pairing Data'!$C$2:$S$188,13)</f>
        <v>0</v>
      </c>
      <c r="AD11" s="131">
        <f>VLOOKUP($C11,'Food Pairing Data'!$C$2:$S$188,14)</f>
        <v>0</v>
      </c>
      <c r="AE11" s="23">
        <f>VLOOKUP($C11,'Food Pairing Data'!$C$2:$S$188,15)</f>
        <v>0</v>
      </c>
      <c r="AF11" s="23">
        <f>VLOOKUP($C11,'Food Pairing Data'!$C$2:$S$188,16)</f>
        <v>0</v>
      </c>
      <c r="AG11" s="44">
        <f>VLOOKUP($C11,'Food Pairing Data'!$C$2:$S$188,17)</f>
        <v>0</v>
      </c>
      <c r="AH11" s="23" t="s">
        <v>234</v>
      </c>
      <c r="AI11" s="51" t="s">
        <v>163</v>
      </c>
    </row>
    <row r="12" spans="1:44" ht="14">
      <c r="A12" s="111">
        <f t="shared" si="1"/>
        <v>11</v>
      </c>
      <c r="B12" s="23" t="s">
        <v>23</v>
      </c>
      <c r="C12" s="23" t="s">
        <v>240</v>
      </c>
      <c r="D12" s="23" t="s">
        <v>163</v>
      </c>
      <c r="E12" s="22">
        <f>HLOOKUP('Output (Salad)'!$F$4,'Raw Data (Salad)'!$U$1:$BP$87,(A12+1),)</f>
        <v>1</v>
      </c>
      <c r="F12" s="23">
        <f>IF(D12='Output (Salad)'!$B$4,1,0)</f>
        <v>1</v>
      </c>
      <c r="G12" s="23">
        <f>IF(L12&lt;='Output (Salad)'!$C$4,(200-'Raw Data (Salad)'!L12),0)</f>
        <v>182.01</v>
      </c>
      <c r="H12" s="23">
        <v>5</v>
      </c>
      <c r="I12" s="23">
        <f>SUMPRODUCT(F12:H12,'Output (Salad)'!$B$5:$D$5)*E12</f>
        <v>146.208</v>
      </c>
      <c r="J12" s="89">
        <v>0</v>
      </c>
      <c r="K12" s="49">
        <f t="shared" si="0"/>
        <v>0</v>
      </c>
      <c r="L12" s="90">
        <v>17.989999999999998</v>
      </c>
      <c r="M12" s="23" t="s">
        <v>241</v>
      </c>
      <c r="N12" s="23" t="s">
        <v>242</v>
      </c>
      <c r="O12" s="23" t="s">
        <v>243</v>
      </c>
      <c r="P12" s="23" t="s">
        <v>173</v>
      </c>
      <c r="Q12" s="92" t="s">
        <v>174</v>
      </c>
      <c r="R12" s="23" t="s">
        <v>53</v>
      </c>
      <c r="S12" s="23" t="s">
        <v>64</v>
      </c>
      <c r="T12" s="23" t="s">
        <v>244</v>
      </c>
      <c r="U12" s="23">
        <f>VLOOKUP($C12,'Food Pairing Data'!$C$2:$S$188,5)</f>
        <v>0</v>
      </c>
      <c r="V12" s="23">
        <f>VLOOKUP($C12,'Food Pairing Data'!$C$2:$S$188,6)</f>
        <v>0</v>
      </c>
      <c r="W12" s="23">
        <f>VLOOKUP($C12,'Food Pairing Data'!$C$2:$S$188,7)</f>
        <v>0</v>
      </c>
      <c r="X12" s="23">
        <f>VLOOKUP($C12,'Food Pairing Data'!$C$2:$S$188,8)</f>
        <v>0</v>
      </c>
      <c r="Y12" s="23">
        <f>VLOOKUP($C12,'Food Pairing Data'!$C$2:$S$188,9)</f>
        <v>0</v>
      </c>
      <c r="Z12" s="23">
        <f>VLOOKUP($C12,'Food Pairing Data'!$C$2:$S$188,10)</f>
        <v>0</v>
      </c>
      <c r="AA12" s="23">
        <f>VLOOKUP($C12,'Food Pairing Data'!$C$2:$S$188,11)</f>
        <v>0</v>
      </c>
      <c r="AB12" s="23">
        <f>VLOOKUP($C12,'Food Pairing Data'!$C$2:$S$188,12)</f>
        <v>0</v>
      </c>
      <c r="AC12" s="23">
        <f>VLOOKUP($C12,'Food Pairing Data'!$C$2:$S$188,13)</f>
        <v>0</v>
      </c>
      <c r="AD12" s="131">
        <f>VLOOKUP($C12,'Food Pairing Data'!$C$2:$S$188,14)</f>
        <v>1</v>
      </c>
      <c r="AE12" s="23">
        <f>VLOOKUP($C12,'Food Pairing Data'!$C$2:$S$188,15)</f>
        <v>0</v>
      </c>
      <c r="AF12" s="23">
        <f>VLOOKUP($C12,'Food Pairing Data'!$C$2:$S$188,16)</f>
        <v>0</v>
      </c>
      <c r="AG12" s="44">
        <f>VLOOKUP($C12,'Food Pairing Data'!$C$2:$S$188,17)</f>
        <v>0</v>
      </c>
      <c r="AH12" s="23" t="s">
        <v>240</v>
      </c>
      <c r="AI12" s="51" t="s">
        <v>163</v>
      </c>
    </row>
    <row r="13" spans="1:44" ht="14">
      <c r="A13" s="111">
        <f t="shared" si="1"/>
        <v>12</v>
      </c>
      <c r="B13" s="23" t="s">
        <v>245</v>
      </c>
      <c r="C13" s="23" t="s">
        <v>246</v>
      </c>
      <c r="D13" s="23" t="s">
        <v>163</v>
      </c>
      <c r="E13" s="22">
        <f>HLOOKUP('Output (Salad)'!$F$4,'Raw Data (Salad)'!$U$1:$BP$87,(A13+1),)</f>
        <v>0</v>
      </c>
      <c r="F13" s="23">
        <f>IF(D13='Output (Salad)'!$B$4,1,0)</f>
        <v>1</v>
      </c>
      <c r="G13" s="23">
        <f>IF(L13&lt;='Output (Salad)'!$C$4,(200-'Raw Data (Salad)'!L13),0)</f>
        <v>191.01</v>
      </c>
      <c r="H13" s="23">
        <v>5</v>
      </c>
      <c r="I13" s="23">
        <f>SUMPRODUCT(F13:H13,'Output (Salad)'!$B$5:$D$5)*E13</f>
        <v>0</v>
      </c>
      <c r="J13" s="89">
        <v>0</v>
      </c>
      <c r="K13" s="49">
        <f t="shared" si="0"/>
        <v>0</v>
      </c>
      <c r="L13" s="90">
        <v>8.99</v>
      </c>
      <c r="M13" s="23" t="s">
        <v>170</v>
      </c>
      <c r="N13" s="23" t="s">
        <v>247</v>
      </c>
      <c r="O13" s="23" t="s">
        <v>248</v>
      </c>
      <c r="P13" s="23" t="s">
        <v>249</v>
      </c>
      <c r="Q13" s="92" t="s">
        <v>174</v>
      </c>
      <c r="R13" s="23" t="s">
        <v>65</v>
      </c>
      <c r="S13" s="23" t="s">
        <v>53</v>
      </c>
      <c r="T13" s="23" t="s">
        <v>58</v>
      </c>
      <c r="U13" s="23">
        <v>1</v>
      </c>
      <c r="V13" s="23">
        <v>1</v>
      </c>
      <c r="W13" s="23">
        <v>0</v>
      </c>
      <c r="X13" s="23">
        <v>0</v>
      </c>
      <c r="Y13" s="23">
        <v>0</v>
      </c>
      <c r="Z13" s="23">
        <v>0</v>
      </c>
      <c r="AA13" s="23">
        <v>0</v>
      </c>
      <c r="AB13" s="23">
        <v>0</v>
      </c>
      <c r="AC13" s="23">
        <v>0</v>
      </c>
      <c r="AD13" s="131">
        <v>0</v>
      </c>
      <c r="AE13" s="23">
        <v>0</v>
      </c>
      <c r="AF13" s="23">
        <v>0</v>
      </c>
      <c r="AG13" s="44">
        <v>0</v>
      </c>
      <c r="AH13" s="23" t="s">
        <v>246</v>
      </c>
      <c r="AI13" s="51" t="s">
        <v>163</v>
      </c>
    </row>
    <row r="14" spans="1:44" ht="14">
      <c r="A14" s="111">
        <f t="shared" si="1"/>
        <v>13</v>
      </c>
      <c r="B14" s="23" t="s">
        <v>245</v>
      </c>
      <c r="C14" s="23" t="s">
        <v>250</v>
      </c>
      <c r="D14" s="23" t="s">
        <v>163</v>
      </c>
      <c r="E14" s="22">
        <f>HLOOKUP('Output (Salad)'!$F$4,'Raw Data (Salad)'!$U$1:$BP$87,(A14+1),)</f>
        <v>1</v>
      </c>
      <c r="F14" s="23">
        <f>IF(D14='Output (Salad)'!$B$4,1,0)</f>
        <v>1</v>
      </c>
      <c r="G14" s="23">
        <f>IF(L14&lt;='Output (Salad)'!$C$4,(200-'Raw Data (Salad)'!L14),0)</f>
        <v>191.01</v>
      </c>
      <c r="H14" s="23">
        <v>5</v>
      </c>
      <c r="I14" s="23">
        <f>SUMPRODUCT(F14:H14,'Output (Salad)'!$B$5:$D$5)*E14</f>
        <v>153.40799999999999</v>
      </c>
      <c r="J14" s="89">
        <v>0</v>
      </c>
      <c r="K14" s="49">
        <f t="shared" si="0"/>
        <v>0</v>
      </c>
      <c r="L14" s="90">
        <v>8.99</v>
      </c>
      <c r="M14" s="23" t="s">
        <v>251</v>
      </c>
      <c r="N14" s="23" t="s">
        <v>252</v>
      </c>
      <c r="O14" s="23" t="s">
        <v>109</v>
      </c>
      <c r="P14" s="23" t="s">
        <v>110</v>
      </c>
      <c r="Q14" s="92" t="s">
        <v>34</v>
      </c>
      <c r="R14" s="23" t="s">
        <v>58</v>
      </c>
      <c r="S14" s="23" t="s">
        <v>53</v>
      </c>
      <c r="T14" s="23" t="s">
        <v>239</v>
      </c>
      <c r="U14" s="23">
        <f>VLOOKUP($C14,'Food Pairing Data'!$C$2:$S$188,5)</f>
        <v>0</v>
      </c>
      <c r="V14" s="23">
        <f>VLOOKUP($C14,'Food Pairing Data'!$C$2:$S$188,6)</f>
        <v>0</v>
      </c>
      <c r="W14" s="23">
        <f>VLOOKUP($C14,'Food Pairing Data'!$C$2:$S$188,7)</f>
        <v>0</v>
      </c>
      <c r="X14" s="23">
        <f>VLOOKUP($C14,'Food Pairing Data'!$C$2:$S$188,8)</f>
        <v>0</v>
      </c>
      <c r="Y14" s="23">
        <f>VLOOKUP($C14,'Food Pairing Data'!$C$2:$S$188,9)</f>
        <v>0</v>
      </c>
      <c r="Z14" s="23">
        <f>VLOOKUP($C14,'Food Pairing Data'!$C$2:$S$188,10)</f>
        <v>0</v>
      </c>
      <c r="AA14" s="23">
        <f>VLOOKUP($C14,'Food Pairing Data'!$C$2:$S$188,11)</f>
        <v>0</v>
      </c>
      <c r="AB14" s="23">
        <f>VLOOKUP($C14,'Food Pairing Data'!$C$2:$S$188,12)</f>
        <v>0</v>
      </c>
      <c r="AC14" s="23">
        <f>VLOOKUP($C14,'Food Pairing Data'!$C$2:$S$188,13)</f>
        <v>0</v>
      </c>
      <c r="AD14" s="131">
        <f>VLOOKUP($C14,'Food Pairing Data'!$C$2:$S$188,14)</f>
        <v>1</v>
      </c>
      <c r="AE14" s="23">
        <f>VLOOKUP($C14,'Food Pairing Data'!$C$2:$S$188,15)</f>
        <v>0</v>
      </c>
      <c r="AF14" s="23">
        <f>VLOOKUP($C14,'Food Pairing Data'!$C$2:$S$188,16)</f>
        <v>0</v>
      </c>
      <c r="AG14" s="44">
        <f>VLOOKUP($C14,'Food Pairing Data'!$C$2:$S$188,17)</f>
        <v>0</v>
      </c>
      <c r="AH14" s="23" t="s">
        <v>250</v>
      </c>
      <c r="AI14" s="51" t="s">
        <v>163</v>
      </c>
    </row>
    <row r="15" spans="1:44" ht="14">
      <c r="A15" s="111">
        <f t="shared" si="1"/>
        <v>14</v>
      </c>
      <c r="B15" s="23" t="s">
        <v>161</v>
      </c>
      <c r="C15" s="23" t="s">
        <v>259</v>
      </c>
      <c r="D15" s="23" t="s">
        <v>163</v>
      </c>
      <c r="E15" s="22">
        <f>HLOOKUP('Output (Salad)'!$F$4,'Raw Data (Salad)'!$U$1:$BP$87,(A15+1),)</f>
        <v>0</v>
      </c>
      <c r="F15" s="23">
        <f>IF(D15='Output (Salad)'!$B$4,1,0)</f>
        <v>1</v>
      </c>
      <c r="G15" s="23">
        <f>IF(L15&lt;='Output (Salad)'!$C$4,(200-'Raw Data (Salad)'!L15),0)</f>
        <v>0</v>
      </c>
      <c r="H15" s="23">
        <v>4.5</v>
      </c>
      <c r="I15" s="23">
        <f>SUMPRODUCT(F15:H15,'Output (Salad)'!$B$5:$D$5)*E15</f>
        <v>0</v>
      </c>
      <c r="J15" s="89">
        <v>0</v>
      </c>
      <c r="K15" s="49">
        <f t="shared" si="0"/>
        <v>0</v>
      </c>
      <c r="L15" s="90">
        <v>64.989999999999995</v>
      </c>
      <c r="M15" s="23" t="s">
        <v>111</v>
      </c>
      <c r="N15" s="23" t="s">
        <v>112</v>
      </c>
      <c r="O15" s="23" t="s">
        <v>113</v>
      </c>
      <c r="P15" s="23" t="s">
        <v>114</v>
      </c>
      <c r="Q15" s="92" t="s">
        <v>174</v>
      </c>
      <c r="R15" s="23" t="s">
        <v>53</v>
      </c>
      <c r="S15" s="23" t="s">
        <v>64</v>
      </c>
      <c r="T15" s="23" t="s">
        <v>58</v>
      </c>
      <c r="U15" s="23">
        <f>VLOOKUP($C15,'Food Pairing Data'!$C$2:$S$188,5)</f>
        <v>0</v>
      </c>
      <c r="V15" s="23">
        <f>VLOOKUP($C15,'Food Pairing Data'!$C$2:$S$188,6)</f>
        <v>0</v>
      </c>
      <c r="W15" s="23">
        <f>VLOOKUP($C15,'Food Pairing Data'!$C$2:$S$188,7)</f>
        <v>0</v>
      </c>
      <c r="X15" s="23">
        <f>VLOOKUP($C15,'Food Pairing Data'!$C$2:$S$188,8)</f>
        <v>1</v>
      </c>
      <c r="Y15" s="23">
        <f>VLOOKUP($C15,'Food Pairing Data'!$C$2:$S$188,9)</f>
        <v>0</v>
      </c>
      <c r="Z15" s="23">
        <f>VLOOKUP($C15,'Food Pairing Data'!$C$2:$S$188,10)</f>
        <v>1</v>
      </c>
      <c r="AA15" s="23">
        <f>VLOOKUP($C15,'Food Pairing Data'!$C$2:$S$188,11)</f>
        <v>0</v>
      </c>
      <c r="AB15" s="23">
        <f>VLOOKUP($C15,'Food Pairing Data'!$C$2:$S$188,12)</f>
        <v>0</v>
      </c>
      <c r="AC15" s="23">
        <f>VLOOKUP($C15,'Food Pairing Data'!$C$2:$S$188,13)</f>
        <v>0</v>
      </c>
      <c r="AD15" s="131">
        <f>VLOOKUP($C15,'Food Pairing Data'!$C$2:$S$188,14)</f>
        <v>0</v>
      </c>
      <c r="AE15" s="23">
        <f>VLOOKUP($C15,'Food Pairing Data'!$C$2:$S$188,15)</f>
        <v>0</v>
      </c>
      <c r="AF15" s="23">
        <f>VLOOKUP($C15,'Food Pairing Data'!$C$2:$S$188,16)</f>
        <v>0</v>
      </c>
      <c r="AG15" s="44">
        <f>VLOOKUP($C15,'Food Pairing Data'!$C$2:$S$188,17)</f>
        <v>0</v>
      </c>
      <c r="AH15" s="23" t="s">
        <v>259</v>
      </c>
      <c r="AI15" s="51" t="s">
        <v>163</v>
      </c>
    </row>
    <row r="16" spans="1:44" ht="16.5" customHeight="1">
      <c r="A16" s="111">
        <f t="shared" si="1"/>
        <v>15</v>
      </c>
      <c r="B16" s="23" t="s">
        <v>161</v>
      </c>
      <c r="C16" s="23" t="s">
        <v>115</v>
      </c>
      <c r="D16" s="23" t="s">
        <v>163</v>
      </c>
      <c r="E16" s="22">
        <f>HLOOKUP('Output (Salad)'!$F$4,'Raw Data (Salad)'!$U$1:$BP$87,(A16+1),)</f>
        <v>1</v>
      </c>
      <c r="F16" s="23">
        <f>IF(D16='Output (Salad)'!$B$4,1,0)</f>
        <v>1</v>
      </c>
      <c r="G16" s="23">
        <f>IF(L16&lt;='Output (Salad)'!$C$4,(200-'Raw Data (Salad)'!L16),0)</f>
        <v>0</v>
      </c>
      <c r="H16" s="23">
        <v>4.5</v>
      </c>
      <c r="I16" s="23">
        <f>SUMPRODUCT(F16:H16,'Output (Salad)'!$B$5:$D$5)*E16</f>
        <v>0.55000000000000004</v>
      </c>
      <c r="J16" s="89">
        <v>0</v>
      </c>
      <c r="K16" s="49">
        <f t="shared" si="0"/>
        <v>0</v>
      </c>
      <c r="L16" s="90">
        <v>64.989999999999995</v>
      </c>
      <c r="M16" s="23" t="s">
        <v>25</v>
      </c>
      <c r="N16" s="23" t="s">
        <v>116</v>
      </c>
      <c r="O16" s="23" t="s">
        <v>117</v>
      </c>
      <c r="P16" s="23" t="s">
        <v>118</v>
      </c>
      <c r="Q16" s="92" t="s">
        <v>28</v>
      </c>
      <c r="R16" s="23" t="s">
        <v>54</v>
      </c>
      <c r="S16" s="23" t="s">
        <v>64</v>
      </c>
      <c r="T16" s="23" t="s">
        <v>157</v>
      </c>
      <c r="U16" s="23">
        <f>VLOOKUP($C16,'Food Pairing Data'!$C$2:$S$188,5)</f>
        <v>0</v>
      </c>
      <c r="V16" s="23">
        <f>VLOOKUP($C16,'Food Pairing Data'!$C$2:$S$188,6)</f>
        <v>0</v>
      </c>
      <c r="W16" s="23">
        <f>VLOOKUP($C16,'Food Pairing Data'!$C$2:$S$188,7)</f>
        <v>0</v>
      </c>
      <c r="X16" s="23">
        <f>VLOOKUP($C16,'Food Pairing Data'!$C$2:$S$188,8)</f>
        <v>0</v>
      </c>
      <c r="Y16" s="23">
        <f>VLOOKUP($C16,'Food Pairing Data'!$C$2:$S$188,9)</f>
        <v>0</v>
      </c>
      <c r="Z16" s="23">
        <f>VLOOKUP($C16,'Food Pairing Data'!$C$2:$S$188,10)</f>
        <v>0</v>
      </c>
      <c r="AA16" s="23">
        <f>VLOOKUP($C16,'Food Pairing Data'!$C$2:$S$188,11)</f>
        <v>0</v>
      </c>
      <c r="AB16" s="23">
        <f>VLOOKUP($C16,'Food Pairing Data'!$C$2:$S$188,12)</f>
        <v>0</v>
      </c>
      <c r="AC16" s="23">
        <f>VLOOKUP($C16,'Food Pairing Data'!$C$2:$S$188,13)</f>
        <v>0</v>
      </c>
      <c r="AD16" s="131">
        <f>VLOOKUP($C16,'Food Pairing Data'!$C$2:$S$188,14)</f>
        <v>1</v>
      </c>
      <c r="AE16" s="23">
        <f>VLOOKUP($C16,'Food Pairing Data'!$C$2:$S$188,15)</f>
        <v>0</v>
      </c>
      <c r="AF16" s="23">
        <f>VLOOKUP($C16,'Food Pairing Data'!$C$2:$S$188,16)</f>
        <v>0</v>
      </c>
      <c r="AG16" s="44">
        <f>VLOOKUP($C16,'Food Pairing Data'!$C$2:$S$188,17)</f>
        <v>0</v>
      </c>
      <c r="AH16" s="23" t="s">
        <v>115</v>
      </c>
      <c r="AI16" s="51" t="s">
        <v>163</v>
      </c>
    </row>
    <row r="17" spans="1:35" ht="16.5" customHeight="1">
      <c r="A17" s="111">
        <f t="shared" si="1"/>
        <v>16</v>
      </c>
      <c r="B17" s="23" t="s">
        <v>161</v>
      </c>
      <c r="C17" s="23" t="s">
        <v>119</v>
      </c>
      <c r="D17" s="23" t="s">
        <v>163</v>
      </c>
      <c r="E17" s="22">
        <f>HLOOKUP('Output (Salad)'!$F$4,'Raw Data (Salad)'!$U$1:$BP$87,(A17+1),)</f>
        <v>1</v>
      </c>
      <c r="F17" s="23">
        <f>IF(D17='Output (Salad)'!$B$4,1,0)</f>
        <v>1</v>
      </c>
      <c r="G17" s="23">
        <f>IF(L17&lt;='Output (Salad)'!$C$4,(200-'Raw Data (Salad)'!L17),0)</f>
        <v>0</v>
      </c>
      <c r="H17" s="23">
        <v>4.5</v>
      </c>
      <c r="I17" s="23">
        <f>SUMPRODUCT(F17:H17,'Output (Salad)'!$B$5:$D$5)*E17</f>
        <v>0.55000000000000004</v>
      </c>
      <c r="J17" s="89">
        <v>0</v>
      </c>
      <c r="K17" s="49">
        <f t="shared" si="0"/>
        <v>0</v>
      </c>
      <c r="L17" s="90">
        <v>59.99</v>
      </c>
      <c r="M17" s="23" t="s">
        <v>25</v>
      </c>
      <c r="N17" s="23" t="s">
        <v>120</v>
      </c>
      <c r="O17" s="23" t="s">
        <v>121</v>
      </c>
      <c r="P17" s="23" t="s">
        <v>122</v>
      </c>
      <c r="Q17" s="92" t="s">
        <v>123</v>
      </c>
      <c r="R17" s="23" t="s">
        <v>54</v>
      </c>
      <c r="S17" s="23" t="s">
        <v>157</v>
      </c>
      <c r="T17" s="23" t="s">
        <v>239</v>
      </c>
      <c r="U17" s="23">
        <f>VLOOKUP($C17,'Food Pairing Data'!$C$2:$S$188,5)</f>
        <v>0</v>
      </c>
      <c r="V17" s="23">
        <f>VLOOKUP($C17,'Food Pairing Data'!$C$2:$S$188,6)</f>
        <v>0</v>
      </c>
      <c r="W17" s="23">
        <f>VLOOKUP($C17,'Food Pairing Data'!$C$2:$S$188,7)</f>
        <v>0</v>
      </c>
      <c r="X17" s="23">
        <f>VLOOKUP($C17,'Food Pairing Data'!$C$2:$S$188,8)</f>
        <v>0</v>
      </c>
      <c r="Y17" s="23">
        <f>VLOOKUP($C17,'Food Pairing Data'!$C$2:$S$188,9)</f>
        <v>0</v>
      </c>
      <c r="Z17" s="23">
        <f>VLOOKUP($C17,'Food Pairing Data'!$C$2:$S$188,10)</f>
        <v>0</v>
      </c>
      <c r="AA17" s="23">
        <f>VLOOKUP($C17,'Food Pairing Data'!$C$2:$S$188,11)</f>
        <v>0</v>
      </c>
      <c r="AB17" s="23">
        <f>VLOOKUP($C17,'Food Pairing Data'!$C$2:$S$188,12)</f>
        <v>0</v>
      </c>
      <c r="AC17" s="23">
        <f>VLOOKUP($C17,'Food Pairing Data'!$C$2:$S$188,13)</f>
        <v>0</v>
      </c>
      <c r="AD17" s="131">
        <f>VLOOKUP($C17,'Food Pairing Data'!$C$2:$S$188,14)</f>
        <v>1</v>
      </c>
      <c r="AE17" s="23">
        <f>VLOOKUP($C17,'Food Pairing Data'!$C$2:$S$188,15)</f>
        <v>0</v>
      </c>
      <c r="AF17" s="23">
        <f>VLOOKUP($C17,'Food Pairing Data'!$C$2:$S$188,16)</f>
        <v>0</v>
      </c>
      <c r="AG17" s="44">
        <f>VLOOKUP($C17,'Food Pairing Data'!$C$2:$S$188,17)</f>
        <v>0</v>
      </c>
      <c r="AH17" s="23" t="s">
        <v>119</v>
      </c>
      <c r="AI17" s="51" t="s">
        <v>163</v>
      </c>
    </row>
    <row r="18" spans="1:35" ht="16.5" customHeight="1">
      <c r="A18" s="111">
        <f t="shared" si="1"/>
        <v>17</v>
      </c>
      <c r="B18" s="23" t="s">
        <v>181</v>
      </c>
      <c r="C18" s="23" t="s">
        <v>131</v>
      </c>
      <c r="D18" s="23" t="s">
        <v>163</v>
      </c>
      <c r="E18" s="22">
        <f>HLOOKUP('Output (Salad)'!$F$4,'Raw Data (Salad)'!$U$1:$BP$87,(A18+1),)</f>
        <v>1</v>
      </c>
      <c r="F18" s="23">
        <f>IF(D18='Output (Salad)'!$B$4,1,0)</f>
        <v>1</v>
      </c>
      <c r="G18" s="23">
        <f>IF(L18&lt;='Output (Salad)'!$C$4,(200-'Raw Data (Salad)'!L18),0)</f>
        <v>0</v>
      </c>
      <c r="H18" s="23">
        <v>4.5</v>
      </c>
      <c r="I18" s="23">
        <f>SUMPRODUCT(F18:H18,'Output (Salad)'!$B$5:$D$5)*E18</f>
        <v>0.55000000000000004</v>
      </c>
      <c r="J18" s="89">
        <v>0</v>
      </c>
      <c r="K18" s="49">
        <f t="shared" si="0"/>
        <v>0</v>
      </c>
      <c r="L18" s="90">
        <v>24.99</v>
      </c>
      <c r="M18" s="23" t="s">
        <v>176</v>
      </c>
      <c r="N18" s="23" t="s">
        <v>132</v>
      </c>
      <c r="O18" s="23" t="s">
        <v>133</v>
      </c>
      <c r="P18" s="23" t="s">
        <v>33</v>
      </c>
      <c r="Q18" s="92" t="s">
        <v>174</v>
      </c>
      <c r="R18" s="23" t="s">
        <v>55</v>
      </c>
      <c r="S18" s="23" t="s">
        <v>134</v>
      </c>
      <c r="T18" s="23" t="s">
        <v>239</v>
      </c>
      <c r="U18" s="23">
        <f>VLOOKUP($C18,'Food Pairing Data'!$C$2:$S$188,5)</f>
        <v>0</v>
      </c>
      <c r="V18" s="23">
        <f>VLOOKUP($C18,'Food Pairing Data'!$C$2:$S$188,6)</f>
        <v>0</v>
      </c>
      <c r="W18" s="23">
        <f>VLOOKUP($C18,'Food Pairing Data'!$C$2:$S$188,7)</f>
        <v>0</v>
      </c>
      <c r="X18" s="23">
        <f>VLOOKUP($C18,'Food Pairing Data'!$C$2:$S$188,8)</f>
        <v>0</v>
      </c>
      <c r="Y18" s="23">
        <f>VLOOKUP($C18,'Food Pairing Data'!$C$2:$S$188,9)</f>
        <v>0</v>
      </c>
      <c r="Z18" s="23">
        <f>VLOOKUP($C18,'Food Pairing Data'!$C$2:$S$188,10)</f>
        <v>0</v>
      </c>
      <c r="AA18" s="23">
        <f>VLOOKUP($C18,'Food Pairing Data'!$C$2:$S$188,11)</f>
        <v>0</v>
      </c>
      <c r="AB18" s="23">
        <f>VLOOKUP($C18,'Food Pairing Data'!$C$2:$S$188,12)</f>
        <v>0</v>
      </c>
      <c r="AC18" s="23">
        <f>VLOOKUP($C18,'Food Pairing Data'!$C$2:$S$188,13)</f>
        <v>0</v>
      </c>
      <c r="AD18" s="131">
        <f>VLOOKUP($C18,'Food Pairing Data'!$C$2:$S$188,14)</f>
        <v>1</v>
      </c>
      <c r="AE18" s="23">
        <f>VLOOKUP($C18,'Food Pairing Data'!$C$2:$S$188,15)</f>
        <v>0</v>
      </c>
      <c r="AF18" s="23">
        <f>VLOOKUP($C18,'Food Pairing Data'!$C$2:$S$188,16)</f>
        <v>0</v>
      </c>
      <c r="AG18" s="44">
        <f>VLOOKUP($C18,'Food Pairing Data'!$C$2:$S$188,17)</f>
        <v>0</v>
      </c>
      <c r="AH18" s="23" t="s">
        <v>131</v>
      </c>
      <c r="AI18" s="51" t="s">
        <v>163</v>
      </c>
    </row>
    <row r="19" spans="1:35" ht="16.5" customHeight="1">
      <c r="A19" s="111">
        <f t="shared" si="1"/>
        <v>18</v>
      </c>
      <c r="B19" s="23" t="s">
        <v>23</v>
      </c>
      <c r="C19" s="23" t="s">
        <v>135</v>
      </c>
      <c r="D19" s="23" t="s">
        <v>163</v>
      </c>
      <c r="E19" s="22">
        <f>HLOOKUP('Output (Salad)'!$F$4,'Raw Data (Salad)'!$U$1:$BP$87,(A19+1),)</f>
        <v>0</v>
      </c>
      <c r="F19" s="23">
        <f>IF(D19='Output (Salad)'!$B$4,1,0)</f>
        <v>1</v>
      </c>
      <c r="G19" s="23">
        <f>IF(L19&lt;='Output (Salad)'!$C$4,(200-'Raw Data (Salad)'!L19),0)</f>
        <v>183.01</v>
      </c>
      <c r="H19" s="23">
        <v>4.5</v>
      </c>
      <c r="I19" s="23">
        <f>SUMPRODUCT(F19:H19,'Output (Salad)'!$B$5:$D$5)*E19</f>
        <v>0</v>
      </c>
      <c r="J19" s="89">
        <v>0</v>
      </c>
      <c r="K19" s="49">
        <f t="shared" si="0"/>
        <v>0</v>
      </c>
      <c r="L19" s="90">
        <v>16.989999999999998</v>
      </c>
      <c r="M19" s="23" t="s">
        <v>176</v>
      </c>
      <c r="N19" s="23" t="s">
        <v>136</v>
      </c>
      <c r="O19" s="23" t="s">
        <v>137</v>
      </c>
      <c r="P19" s="23" t="s">
        <v>138</v>
      </c>
      <c r="Q19" s="92" t="s">
        <v>34</v>
      </c>
      <c r="R19" s="23" t="s">
        <v>65</v>
      </c>
      <c r="S19" s="23" t="s">
        <v>55</v>
      </c>
      <c r="T19" s="23" t="s">
        <v>128</v>
      </c>
      <c r="U19" s="23">
        <f>VLOOKUP($C19,'Food Pairing Data'!$C$2:$S$188,5)</f>
        <v>0</v>
      </c>
      <c r="V19" s="23">
        <f>VLOOKUP($C19,'Food Pairing Data'!$C$2:$S$188,6)</f>
        <v>0</v>
      </c>
      <c r="W19" s="23">
        <f>VLOOKUP($C19,'Food Pairing Data'!$C$2:$S$188,7)</f>
        <v>0</v>
      </c>
      <c r="X19" s="23">
        <f>VLOOKUP($C19,'Food Pairing Data'!$C$2:$S$188,8)</f>
        <v>1</v>
      </c>
      <c r="Y19" s="23">
        <f>VLOOKUP($C19,'Food Pairing Data'!$C$2:$S$188,9)</f>
        <v>0</v>
      </c>
      <c r="Z19" s="23">
        <f>VLOOKUP($C19,'Food Pairing Data'!$C$2:$S$188,10)</f>
        <v>1</v>
      </c>
      <c r="AA19" s="23">
        <f>VLOOKUP($C19,'Food Pairing Data'!$C$2:$S$188,11)</f>
        <v>0</v>
      </c>
      <c r="AB19" s="23">
        <f>VLOOKUP($C19,'Food Pairing Data'!$C$2:$S$188,12)</f>
        <v>0</v>
      </c>
      <c r="AC19" s="23">
        <f>VLOOKUP($C19,'Food Pairing Data'!$C$2:$S$188,13)</f>
        <v>0</v>
      </c>
      <c r="AD19" s="131">
        <f>VLOOKUP($C19,'Food Pairing Data'!$C$2:$S$188,14)</f>
        <v>0</v>
      </c>
      <c r="AE19" s="23">
        <f>VLOOKUP($C19,'Food Pairing Data'!$C$2:$S$188,15)</f>
        <v>0</v>
      </c>
      <c r="AF19" s="23">
        <f>VLOOKUP($C19,'Food Pairing Data'!$C$2:$S$188,16)</f>
        <v>0</v>
      </c>
      <c r="AG19" s="44">
        <f>VLOOKUP($C19,'Food Pairing Data'!$C$2:$S$188,17)</f>
        <v>0</v>
      </c>
      <c r="AH19" s="23" t="s">
        <v>135</v>
      </c>
      <c r="AI19" s="51" t="s">
        <v>163</v>
      </c>
    </row>
    <row r="20" spans="1:35" ht="16.5" customHeight="1">
      <c r="A20" s="111">
        <f t="shared" si="1"/>
        <v>19</v>
      </c>
      <c r="B20" s="23" t="s">
        <v>23</v>
      </c>
      <c r="C20" s="23" t="s">
        <v>139</v>
      </c>
      <c r="D20" s="23" t="s">
        <v>163</v>
      </c>
      <c r="E20" s="22">
        <f>HLOOKUP('Output (Salad)'!$F$4,'Raw Data (Salad)'!$U$1:$BP$87,(A20+1),)</f>
        <v>1</v>
      </c>
      <c r="F20" s="23">
        <f>IF(D20='Output (Salad)'!$B$4,1,0)</f>
        <v>1</v>
      </c>
      <c r="G20" s="23">
        <f>IF(L20&lt;='Output (Salad)'!$C$4,(200-'Raw Data (Salad)'!L20),0)</f>
        <v>183.01</v>
      </c>
      <c r="H20" s="23">
        <v>4.5</v>
      </c>
      <c r="I20" s="23">
        <f>SUMPRODUCT(F20:H20,'Output (Salad)'!$B$5:$D$5)*E20</f>
        <v>146.95799999999997</v>
      </c>
      <c r="J20" s="89">
        <v>0</v>
      </c>
      <c r="K20" s="49">
        <f t="shared" si="0"/>
        <v>0</v>
      </c>
      <c r="L20" s="90">
        <v>16.989999999999998</v>
      </c>
      <c r="M20" s="23" t="s">
        <v>25</v>
      </c>
      <c r="N20" s="23" t="s">
        <v>140</v>
      </c>
      <c r="O20" s="23" t="s">
        <v>200</v>
      </c>
      <c r="P20" s="23" t="s">
        <v>201</v>
      </c>
      <c r="Q20" s="92" t="s">
        <v>28</v>
      </c>
      <c r="R20" s="23" t="s">
        <v>94</v>
      </c>
      <c r="S20" s="23" t="s">
        <v>147</v>
      </c>
      <c r="T20" s="23" t="s">
        <v>244</v>
      </c>
      <c r="U20" s="23">
        <f>VLOOKUP($C20,'Food Pairing Data'!$C$2:$S$188,5)</f>
        <v>0</v>
      </c>
      <c r="V20" s="23">
        <f>VLOOKUP($C20,'Food Pairing Data'!$C$2:$S$188,6)</f>
        <v>0</v>
      </c>
      <c r="W20" s="23">
        <f>VLOOKUP($C20,'Food Pairing Data'!$C$2:$S$188,7)</f>
        <v>0</v>
      </c>
      <c r="X20" s="23">
        <f>VLOOKUP($C20,'Food Pairing Data'!$C$2:$S$188,8)</f>
        <v>0</v>
      </c>
      <c r="Y20" s="23">
        <f>VLOOKUP($C20,'Food Pairing Data'!$C$2:$S$188,9)</f>
        <v>0</v>
      </c>
      <c r="Z20" s="23">
        <f>VLOOKUP($C20,'Food Pairing Data'!$C$2:$S$188,10)</f>
        <v>0</v>
      </c>
      <c r="AA20" s="23">
        <f>VLOOKUP($C20,'Food Pairing Data'!$C$2:$S$188,11)</f>
        <v>0</v>
      </c>
      <c r="AB20" s="23">
        <f>VLOOKUP($C20,'Food Pairing Data'!$C$2:$S$188,12)</f>
        <v>0</v>
      </c>
      <c r="AC20" s="23">
        <f>VLOOKUP($C20,'Food Pairing Data'!$C$2:$S$188,13)</f>
        <v>0</v>
      </c>
      <c r="AD20" s="131">
        <f>VLOOKUP($C20,'Food Pairing Data'!$C$2:$S$188,14)</f>
        <v>1</v>
      </c>
      <c r="AE20" s="23">
        <f>VLOOKUP($C20,'Food Pairing Data'!$C$2:$S$188,15)</f>
        <v>0</v>
      </c>
      <c r="AF20" s="23">
        <f>VLOOKUP($C20,'Food Pairing Data'!$C$2:$S$188,16)</f>
        <v>0</v>
      </c>
      <c r="AG20" s="44">
        <f>VLOOKUP($C20,'Food Pairing Data'!$C$2:$S$188,17)</f>
        <v>0</v>
      </c>
      <c r="AH20" s="23" t="s">
        <v>139</v>
      </c>
      <c r="AI20" s="51" t="s">
        <v>163</v>
      </c>
    </row>
    <row r="21" spans="1:35" ht="14">
      <c r="A21" s="111">
        <f t="shared" si="1"/>
        <v>20</v>
      </c>
      <c r="B21" s="23" t="s">
        <v>23</v>
      </c>
      <c r="C21" s="23" t="s">
        <v>202</v>
      </c>
      <c r="D21" s="23" t="s">
        <v>163</v>
      </c>
      <c r="E21" s="22">
        <f>HLOOKUP('Output (Salad)'!$F$4,'Raw Data (Salad)'!$U$1:$BP$87,(A21+1),)</f>
        <v>1</v>
      </c>
      <c r="F21" s="23">
        <f>IF(D21='Output (Salad)'!$B$4,1,0)</f>
        <v>1</v>
      </c>
      <c r="G21" s="23">
        <f>IF(L21&lt;='Output (Salad)'!$C$4,(200-'Raw Data (Salad)'!L21),0)</f>
        <v>183.01</v>
      </c>
      <c r="H21" s="23">
        <v>4.5</v>
      </c>
      <c r="I21" s="23">
        <f>SUMPRODUCT(F21:H21,'Output (Salad)'!$B$5:$D$5)*E21</f>
        <v>146.95799999999997</v>
      </c>
      <c r="J21" s="89">
        <v>0</v>
      </c>
      <c r="K21" s="49">
        <f t="shared" si="0"/>
        <v>0</v>
      </c>
      <c r="L21" s="90">
        <v>16.989999999999998</v>
      </c>
      <c r="M21" s="23" t="s">
        <v>241</v>
      </c>
      <c r="N21" s="23" t="s">
        <v>203</v>
      </c>
      <c r="O21" s="23" t="s">
        <v>32</v>
      </c>
      <c r="P21" s="23" t="s">
        <v>204</v>
      </c>
      <c r="Q21" s="92"/>
      <c r="R21" s="23" t="s">
        <v>71</v>
      </c>
      <c r="S21" s="23" t="s">
        <v>55</v>
      </c>
      <c r="T21" s="23" t="s">
        <v>82</v>
      </c>
      <c r="U21" s="23">
        <f>VLOOKUP($C21,'Food Pairing Data'!$C$2:$S$188,5)</f>
        <v>0</v>
      </c>
      <c r="V21" s="23">
        <f>VLOOKUP($C21,'Food Pairing Data'!$C$2:$S$188,6)</f>
        <v>0</v>
      </c>
      <c r="W21" s="23">
        <f>VLOOKUP($C21,'Food Pairing Data'!$C$2:$S$188,7)</f>
        <v>0</v>
      </c>
      <c r="X21" s="23">
        <f>VLOOKUP($C21,'Food Pairing Data'!$C$2:$S$188,8)</f>
        <v>0</v>
      </c>
      <c r="Y21" s="23">
        <f>VLOOKUP($C21,'Food Pairing Data'!$C$2:$S$188,9)</f>
        <v>0</v>
      </c>
      <c r="Z21" s="23">
        <f>VLOOKUP($C21,'Food Pairing Data'!$C$2:$S$188,10)</f>
        <v>0</v>
      </c>
      <c r="AA21" s="23">
        <f>VLOOKUP($C21,'Food Pairing Data'!$C$2:$S$188,11)</f>
        <v>0</v>
      </c>
      <c r="AB21" s="23">
        <f>VLOOKUP($C21,'Food Pairing Data'!$C$2:$S$188,12)</f>
        <v>0</v>
      </c>
      <c r="AC21" s="23">
        <f>VLOOKUP($C21,'Food Pairing Data'!$C$2:$S$188,13)</f>
        <v>0</v>
      </c>
      <c r="AD21" s="131">
        <f>VLOOKUP($C21,'Food Pairing Data'!$C$2:$S$188,14)</f>
        <v>1</v>
      </c>
      <c r="AE21" s="23">
        <f>VLOOKUP($C21,'Food Pairing Data'!$C$2:$S$188,15)</f>
        <v>0</v>
      </c>
      <c r="AF21" s="23">
        <f>VLOOKUP($C21,'Food Pairing Data'!$C$2:$S$188,16)</f>
        <v>0</v>
      </c>
      <c r="AG21" s="44">
        <f>VLOOKUP($C21,'Food Pairing Data'!$C$2:$S$188,17)</f>
        <v>0</v>
      </c>
      <c r="AH21" s="23" t="s">
        <v>202</v>
      </c>
      <c r="AI21" s="51" t="s">
        <v>163</v>
      </c>
    </row>
    <row r="22" spans="1:35" ht="14">
      <c r="A22" s="111">
        <f t="shared" si="1"/>
        <v>21</v>
      </c>
      <c r="B22" s="23" t="s">
        <v>245</v>
      </c>
      <c r="C22" s="23" t="s">
        <v>214</v>
      </c>
      <c r="D22" s="23" t="s">
        <v>163</v>
      </c>
      <c r="E22" s="22">
        <f>HLOOKUP('Output (Salad)'!$F$4,'Raw Data (Salad)'!$U$1:$BP$87,(A22+1),)</f>
        <v>1</v>
      </c>
      <c r="F22" s="23">
        <f>IF(D22='Output (Salad)'!$B$4,1,0)</f>
        <v>1</v>
      </c>
      <c r="G22" s="23">
        <f>IF(L22&lt;='Output (Salad)'!$C$4,(200-'Raw Data (Salad)'!L22),0)</f>
        <v>190.01</v>
      </c>
      <c r="H22" s="23">
        <v>4.5</v>
      </c>
      <c r="I22" s="23">
        <f>SUMPRODUCT(F22:H22,'Output (Salad)'!$B$5:$D$5)*E22</f>
        <v>152.55799999999999</v>
      </c>
      <c r="J22" s="89">
        <v>0</v>
      </c>
      <c r="K22" s="49">
        <f t="shared" si="0"/>
        <v>0</v>
      </c>
      <c r="L22" s="90">
        <v>9.99</v>
      </c>
      <c r="M22" s="23" t="s">
        <v>241</v>
      </c>
      <c r="N22" s="23" t="s">
        <v>242</v>
      </c>
      <c r="O22" s="23" t="s">
        <v>211</v>
      </c>
      <c r="P22" s="23" t="s">
        <v>215</v>
      </c>
      <c r="Q22" s="92" t="s">
        <v>28</v>
      </c>
      <c r="R22" s="23" t="s">
        <v>65</v>
      </c>
      <c r="S22" s="23" t="s">
        <v>64</v>
      </c>
      <c r="T22" s="23" t="s">
        <v>244</v>
      </c>
      <c r="U22" s="23">
        <f>VLOOKUP($C22,'Food Pairing Data'!$C$2:$S$188,5)</f>
        <v>0</v>
      </c>
      <c r="V22" s="23">
        <f>VLOOKUP($C22,'Food Pairing Data'!$C$2:$S$188,6)</f>
        <v>0</v>
      </c>
      <c r="W22" s="23">
        <f>VLOOKUP($C22,'Food Pairing Data'!$C$2:$S$188,7)</f>
        <v>0</v>
      </c>
      <c r="X22" s="23">
        <f>VLOOKUP($C22,'Food Pairing Data'!$C$2:$S$188,8)</f>
        <v>0</v>
      </c>
      <c r="Y22" s="23">
        <f>VLOOKUP($C22,'Food Pairing Data'!$C$2:$S$188,9)</f>
        <v>0</v>
      </c>
      <c r="Z22" s="23">
        <f>VLOOKUP($C22,'Food Pairing Data'!$C$2:$S$188,10)</f>
        <v>0</v>
      </c>
      <c r="AA22" s="23">
        <f>VLOOKUP($C22,'Food Pairing Data'!$C$2:$S$188,11)</f>
        <v>0</v>
      </c>
      <c r="AB22" s="23">
        <f>VLOOKUP($C22,'Food Pairing Data'!$C$2:$S$188,12)</f>
        <v>0</v>
      </c>
      <c r="AC22" s="23">
        <f>VLOOKUP($C22,'Food Pairing Data'!$C$2:$S$188,13)</f>
        <v>0</v>
      </c>
      <c r="AD22" s="131">
        <f>VLOOKUP($C22,'Food Pairing Data'!$C$2:$S$188,14)</f>
        <v>1</v>
      </c>
      <c r="AE22" s="23">
        <f>VLOOKUP($C22,'Food Pairing Data'!$C$2:$S$188,15)</f>
        <v>0</v>
      </c>
      <c r="AF22" s="23">
        <f>VLOOKUP($C22,'Food Pairing Data'!$C$2:$S$188,16)</f>
        <v>0</v>
      </c>
      <c r="AG22" s="44">
        <f>VLOOKUP($C22,'Food Pairing Data'!$C$2:$S$188,17)</f>
        <v>0</v>
      </c>
      <c r="AH22" s="23" t="s">
        <v>214</v>
      </c>
      <c r="AI22" s="51" t="s">
        <v>163</v>
      </c>
    </row>
    <row r="23" spans="1:35" ht="14">
      <c r="A23" s="111">
        <f t="shared" si="1"/>
        <v>22</v>
      </c>
      <c r="B23" s="23" t="s">
        <v>245</v>
      </c>
      <c r="C23" s="23" t="s">
        <v>216</v>
      </c>
      <c r="D23" s="23" t="s">
        <v>163</v>
      </c>
      <c r="E23" s="22">
        <f>HLOOKUP('Output (Salad)'!$F$4,'Raw Data (Salad)'!$U$1:$BP$87,(A23+1),)</f>
        <v>1</v>
      </c>
      <c r="F23" s="23">
        <f>IF(D23='Output (Salad)'!$B$4,1,0)</f>
        <v>1</v>
      </c>
      <c r="G23" s="23">
        <f>IF(L23&lt;='Output (Salad)'!$C$4,(200-'Raw Data (Salad)'!L23),0)</f>
        <v>191.01</v>
      </c>
      <c r="H23" s="23">
        <v>4.5</v>
      </c>
      <c r="I23" s="23">
        <f>SUMPRODUCT(F23:H23,'Output (Salad)'!$B$5:$D$5)*E23</f>
        <v>153.35799999999998</v>
      </c>
      <c r="J23" s="89">
        <v>0</v>
      </c>
      <c r="K23" s="49">
        <f t="shared" si="0"/>
        <v>0</v>
      </c>
      <c r="L23" s="90">
        <v>8.99</v>
      </c>
      <c r="M23" s="23" t="s">
        <v>18</v>
      </c>
      <c r="N23" s="23" t="s">
        <v>19</v>
      </c>
      <c r="O23" s="23" t="s">
        <v>211</v>
      </c>
      <c r="P23" s="23" t="s">
        <v>21</v>
      </c>
      <c r="Q23" s="92" t="s">
        <v>34</v>
      </c>
      <c r="R23" s="23" t="s">
        <v>206</v>
      </c>
      <c r="S23" s="23" t="s">
        <v>147</v>
      </c>
      <c r="T23" s="23" t="s">
        <v>103</v>
      </c>
      <c r="U23" s="23">
        <f>VLOOKUP($C23,'Food Pairing Data'!$C$2:$S$188,5)</f>
        <v>0</v>
      </c>
      <c r="V23" s="23">
        <f>VLOOKUP($C23,'Food Pairing Data'!$C$2:$S$188,6)</f>
        <v>0</v>
      </c>
      <c r="W23" s="23">
        <f>VLOOKUP($C23,'Food Pairing Data'!$C$2:$S$188,7)</f>
        <v>0</v>
      </c>
      <c r="X23" s="23">
        <f>VLOOKUP($C23,'Food Pairing Data'!$C$2:$S$188,8)</f>
        <v>0</v>
      </c>
      <c r="Y23" s="23">
        <f>VLOOKUP($C23,'Food Pairing Data'!$C$2:$S$188,9)</f>
        <v>0</v>
      </c>
      <c r="Z23" s="23">
        <f>VLOOKUP($C23,'Food Pairing Data'!$C$2:$S$188,10)</f>
        <v>0</v>
      </c>
      <c r="AA23" s="23">
        <f>VLOOKUP($C23,'Food Pairing Data'!$C$2:$S$188,11)</f>
        <v>0</v>
      </c>
      <c r="AB23" s="23">
        <f>VLOOKUP($C23,'Food Pairing Data'!$C$2:$S$188,12)</f>
        <v>0</v>
      </c>
      <c r="AC23" s="23">
        <f>VLOOKUP($C23,'Food Pairing Data'!$C$2:$S$188,13)</f>
        <v>0</v>
      </c>
      <c r="AD23" s="131">
        <f>VLOOKUP($C23,'Food Pairing Data'!$C$2:$S$188,14)</f>
        <v>1</v>
      </c>
      <c r="AE23" s="23">
        <f>VLOOKUP($C23,'Food Pairing Data'!$C$2:$S$188,15)</f>
        <v>0</v>
      </c>
      <c r="AF23" s="23">
        <f>VLOOKUP($C23,'Food Pairing Data'!$C$2:$S$188,16)</f>
        <v>0</v>
      </c>
      <c r="AG23" s="44">
        <f>VLOOKUP($C23,'Food Pairing Data'!$C$2:$S$188,17)</f>
        <v>0</v>
      </c>
      <c r="AH23" s="23" t="s">
        <v>216</v>
      </c>
      <c r="AI23" s="51" t="s">
        <v>163</v>
      </c>
    </row>
    <row r="24" spans="1:35" ht="14">
      <c r="A24" s="111">
        <f t="shared" si="1"/>
        <v>23</v>
      </c>
      <c r="B24" s="23" t="s">
        <v>181</v>
      </c>
      <c r="C24" s="23" t="s">
        <v>217</v>
      </c>
      <c r="D24" s="23" t="s">
        <v>163</v>
      </c>
      <c r="E24" s="22">
        <f>HLOOKUP('Output (Salad)'!$F$4,'Raw Data (Salad)'!$U$1:$BP$87,(A24+1),)</f>
        <v>1</v>
      </c>
      <c r="F24" s="23">
        <f>IF(D24='Output (Salad)'!$B$4,1,0)</f>
        <v>1</v>
      </c>
      <c r="G24" s="23">
        <f>IF(L24&lt;='Output (Salad)'!$C$4,(200-'Raw Data (Salad)'!L24),0)</f>
        <v>0</v>
      </c>
      <c r="H24" s="23">
        <v>4</v>
      </c>
      <c r="I24" s="23">
        <f>SUMPRODUCT(F24:H24,'Output (Salad)'!$B$5:$D$5)*E24</f>
        <v>0.5</v>
      </c>
      <c r="J24" s="89">
        <v>0</v>
      </c>
      <c r="K24" s="49">
        <f t="shared" si="0"/>
        <v>0</v>
      </c>
      <c r="L24" s="90">
        <v>39.99</v>
      </c>
      <c r="M24" s="23" t="s">
        <v>111</v>
      </c>
      <c r="N24" s="23" t="s">
        <v>112</v>
      </c>
      <c r="O24" s="23" t="s">
        <v>218</v>
      </c>
      <c r="P24" s="23" t="s">
        <v>114</v>
      </c>
      <c r="Q24" s="92" t="s">
        <v>180</v>
      </c>
      <c r="R24" s="23" t="s">
        <v>64</v>
      </c>
      <c r="S24" s="23" t="s">
        <v>67</v>
      </c>
      <c r="T24" s="23" t="s">
        <v>58</v>
      </c>
      <c r="U24" s="23">
        <f>VLOOKUP($C24,'Food Pairing Data'!$C$2:$S$188,5)</f>
        <v>0</v>
      </c>
      <c r="V24" s="23">
        <f>VLOOKUP($C24,'Food Pairing Data'!$C$2:$S$188,6)</f>
        <v>0</v>
      </c>
      <c r="W24" s="23">
        <f>VLOOKUP($C24,'Food Pairing Data'!$C$2:$S$188,7)</f>
        <v>0</v>
      </c>
      <c r="X24" s="23">
        <f>VLOOKUP($C24,'Food Pairing Data'!$C$2:$S$188,8)</f>
        <v>0</v>
      </c>
      <c r="Y24" s="23">
        <f>VLOOKUP($C24,'Food Pairing Data'!$C$2:$S$188,9)</f>
        <v>0</v>
      </c>
      <c r="Z24" s="23">
        <f>VLOOKUP($C24,'Food Pairing Data'!$C$2:$S$188,10)</f>
        <v>0</v>
      </c>
      <c r="AA24" s="23">
        <f>VLOOKUP($C24,'Food Pairing Data'!$C$2:$S$188,11)</f>
        <v>0</v>
      </c>
      <c r="AB24" s="23">
        <f>VLOOKUP($C24,'Food Pairing Data'!$C$2:$S$188,12)</f>
        <v>0</v>
      </c>
      <c r="AC24" s="23">
        <f>VLOOKUP($C24,'Food Pairing Data'!$C$2:$S$188,13)</f>
        <v>0</v>
      </c>
      <c r="AD24" s="131">
        <f>VLOOKUP($C24,'Food Pairing Data'!$C$2:$S$188,14)</f>
        <v>1</v>
      </c>
      <c r="AE24" s="23">
        <f>VLOOKUP($C24,'Food Pairing Data'!$C$2:$S$188,15)</f>
        <v>0</v>
      </c>
      <c r="AF24" s="23">
        <f>VLOOKUP($C24,'Food Pairing Data'!$C$2:$S$188,16)</f>
        <v>0</v>
      </c>
      <c r="AG24" s="44">
        <f>VLOOKUP($C24,'Food Pairing Data'!$C$2:$S$188,17)</f>
        <v>0</v>
      </c>
      <c r="AH24" s="23" t="s">
        <v>217</v>
      </c>
      <c r="AI24" s="51" t="s">
        <v>163</v>
      </c>
    </row>
    <row r="25" spans="1:35" ht="14">
      <c r="A25" s="111">
        <f t="shared" si="1"/>
        <v>24</v>
      </c>
      <c r="B25" s="23" t="s">
        <v>181</v>
      </c>
      <c r="C25" s="23" t="s">
        <v>226</v>
      </c>
      <c r="D25" s="23" t="s">
        <v>163</v>
      </c>
      <c r="E25" s="22">
        <f>HLOOKUP('Output (Salad)'!$F$4,'Raw Data (Salad)'!$U$1:$BP$87,(A25+1),)</f>
        <v>1</v>
      </c>
      <c r="F25" s="23">
        <f>IF(D25='Output (Salad)'!$B$4,1,0)</f>
        <v>1</v>
      </c>
      <c r="G25" s="23">
        <f>IF(L25&lt;='Output (Salad)'!$C$4,(200-'Raw Data (Salad)'!L25),0)</f>
        <v>0</v>
      </c>
      <c r="H25" s="23">
        <v>4</v>
      </c>
      <c r="I25" s="23">
        <f>SUMPRODUCT(F25:H25,'Output (Salad)'!$B$5:$D$5)*E25</f>
        <v>0.5</v>
      </c>
      <c r="J25" s="89">
        <v>0</v>
      </c>
      <c r="K25" s="49">
        <f t="shared" si="0"/>
        <v>0</v>
      </c>
      <c r="L25" s="90">
        <v>24.99</v>
      </c>
      <c r="M25" s="23" t="s">
        <v>170</v>
      </c>
      <c r="N25" s="23" t="s">
        <v>227</v>
      </c>
      <c r="O25" s="23" t="s">
        <v>172</v>
      </c>
      <c r="P25" s="23" t="s">
        <v>186</v>
      </c>
      <c r="Q25" s="92" t="s">
        <v>28</v>
      </c>
      <c r="R25" s="23" t="s">
        <v>64</v>
      </c>
      <c r="S25" s="23" t="s">
        <v>72</v>
      </c>
      <c r="T25" s="23" t="s">
        <v>239</v>
      </c>
      <c r="U25" s="23">
        <f>VLOOKUP($C25,'Food Pairing Data'!$C$2:$S$188,5)</f>
        <v>0</v>
      </c>
      <c r="V25" s="23">
        <f>VLOOKUP($C25,'Food Pairing Data'!$C$2:$S$188,6)</f>
        <v>0</v>
      </c>
      <c r="W25" s="23">
        <f>VLOOKUP($C25,'Food Pairing Data'!$C$2:$S$188,7)</f>
        <v>0</v>
      </c>
      <c r="X25" s="23">
        <f>VLOOKUP($C25,'Food Pairing Data'!$C$2:$S$188,8)</f>
        <v>0</v>
      </c>
      <c r="Y25" s="23">
        <f>VLOOKUP($C25,'Food Pairing Data'!$C$2:$S$188,9)</f>
        <v>0</v>
      </c>
      <c r="Z25" s="23">
        <f>VLOOKUP($C25,'Food Pairing Data'!$C$2:$S$188,10)</f>
        <v>0</v>
      </c>
      <c r="AA25" s="23">
        <f>VLOOKUP($C25,'Food Pairing Data'!$C$2:$S$188,11)</f>
        <v>0</v>
      </c>
      <c r="AB25" s="23">
        <f>VLOOKUP($C25,'Food Pairing Data'!$C$2:$S$188,12)</f>
        <v>0</v>
      </c>
      <c r="AC25" s="23">
        <f>VLOOKUP($C25,'Food Pairing Data'!$C$2:$S$188,13)</f>
        <v>0</v>
      </c>
      <c r="AD25" s="131">
        <f>VLOOKUP($C25,'Food Pairing Data'!$C$2:$S$188,14)</f>
        <v>1</v>
      </c>
      <c r="AE25" s="23">
        <f>VLOOKUP($C25,'Food Pairing Data'!$C$2:$S$188,15)</f>
        <v>0</v>
      </c>
      <c r="AF25" s="23">
        <f>VLOOKUP($C25,'Food Pairing Data'!$C$2:$S$188,16)</f>
        <v>0</v>
      </c>
      <c r="AG25" s="44">
        <f>VLOOKUP($C25,'Food Pairing Data'!$C$2:$S$188,17)</f>
        <v>0</v>
      </c>
      <c r="AH25" s="23" t="s">
        <v>226</v>
      </c>
      <c r="AI25" s="51" t="s">
        <v>163</v>
      </c>
    </row>
    <row r="26" spans="1:35" ht="14">
      <c r="A26" s="111">
        <f t="shared" si="1"/>
        <v>25</v>
      </c>
      <c r="B26" s="23" t="s">
        <v>23</v>
      </c>
      <c r="C26" s="23" t="s">
        <v>189</v>
      </c>
      <c r="D26" s="23" t="s">
        <v>163</v>
      </c>
      <c r="E26" s="22">
        <f>HLOOKUP('Output (Salad)'!$F$4,'Raw Data (Salad)'!$U$1:$BP$87,(A26+1),)</f>
        <v>1</v>
      </c>
      <c r="F26" s="23">
        <f>IF(D26='Output (Salad)'!$B$4,1,0)</f>
        <v>1</v>
      </c>
      <c r="G26" s="23">
        <f>IF(L26&lt;='Output (Salad)'!$C$4,(200-'Raw Data (Salad)'!L26),0)</f>
        <v>185.01</v>
      </c>
      <c r="H26" s="23">
        <v>4</v>
      </c>
      <c r="I26" s="23">
        <f>SUMPRODUCT(F26:H26,'Output (Salad)'!$B$5:$D$5)*E26</f>
        <v>148.50800000000001</v>
      </c>
      <c r="J26" s="89">
        <v>0</v>
      </c>
      <c r="K26" s="49">
        <f t="shared" si="0"/>
        <v>0</v>
      </c>
      <c r="L26" s="90">
        <v>14.99</v>
      </c>
      <c r="M26" s="23" t="s">
        <v>339</v>
      </c>
      <c r="N26" s="23" t="s">
        <v>315</v>
      </c>
      <c r="O26" s="23" t="s">
        <v>316</v>
      </c>
      <c r="P26" s="23" t="s">
        <v>317</v>
      </c>
      <c r="Q26" s="92">
        <v>13.5</v>
      </c>
      <c r="R26" s="23" t="s">
        <v>318</v>
      </c>
      <c r="S26" s="23" t="s">
        <v>340</v>
      </c>
      <c r="T26" s="23" t="s">
        <v>190</v>
      </c>
      <c r="U26" s="23">
        <f>VLOOKUP($C26,'Food Pairing Data'!$C$2:$S$188,5)</f>
        <v>0</v>
      </c>
      <c r="V26" s="23">
        <f>VLOOKUP($C26,'Food Pairing Data'!$C$2:$S$188,6)</f>
        <v>0</v>
      </c>
      <c r="W26" s="23">
        <f>VLOOKUP($C26,'Food Pairing Data'!$C$2:$S$188,7)</f>
        <v>0</v>
      </c>
      <c r="X26" s="23">
        <f>VLOOKUP($C26,'Food Pairing Data'!$C$2:$S$188,8)</f>
        <v>0</v>
      </c>
      <c r="Y26" s="23">
        <f>VLOOKUP($C26,'Food Pairing Data'!$C$2:$S$188,9)</f>
        <v>0</v>
      </c>
      <c r="Z26" s="23">
        <f>VLOOKUP($C26,'Food Pairing Data'!$C$2:$S$188,10)</f>
        <v>0</v>
      </c>
      <c r="AA26" s="23">
        <f>VLOOKUP($C26,'Food Pairing Data'!$C$2:$S$188,11)</f>
        <v>0</v>
      </c>
      <c r="AB26" s="23">
        <f>VLOOKUP($C26,'Food Pairing Data'!$C$2:$S$188,12)</f>
        <v>0</v>
      </c>
      <c r="AC26" s="23">
        <f>VLOOKUP($C26,'Food Pairing Data'!$C$2:$S$188,13)</f>
        <v>0</v>
      </c>
      <c r="AD26" s="131">
        <f>VLOOKUP($C26,'Food Pairing Data'!$C$2:$S$188,14)</f>
        <v>1</v>
      </c>
      <c r="AE26" s="23">
        <f>VLOOKUP($C26,'Food Pairing Data'!$C$2:$S$188,15)</f>
        <v>0</v>
      </c>
      <c r="AF26" s="23">
        <f>VLOOKUP($C26,'Food Pairing Data'!$C$2:$S$188,16)</f>
        <v>0</v>
      </c>
      <c r="AG26" s="44">
        <f>VLOOKUP($C26,'Food Pairing Data'!$C$2:$S$188,17)</f>
        <v>0</v>
      </c>
      <c r="AH26" s="23" t="s">
        <v>189</v>
      </c>
      <c r="AI26" s="51" t="s">
        <v>163</v>
      </c>
    </row>
    <row r="27" spans="1:35" ht="14">
      <c r="A27" s="111">
        <f t="shared" si="1"/>
        <v>26</v>
      </c>
      <c r="B27" s="23" t="s">
        <v>23</v>
      </c>
      <c r="C27" s="23" t="s">
        <v>191</v>
      </c>
      <c r="D27" s="23" t="s">
        <v>163</v>
      </c>
      <c r="E27" s="22">
        <f>HLOOKUP('Output (Salad)'!$F$4,'Raw Data (Salad)'!$U$1:$BP$87,(A27+1),)</f>
        <v>1</v>
      </c>
      <c r="F27" s="23">
        <f>IF(D27='Output (Salad)'!$B$4,1,0)</f>
        <v>1</v>
      </c>
      <c r="G27" s="23">
        <f>IF(L27&lt;='Output (Salad)'!$C$4,(200-'Raw Data (Salad)'!L27),0)</f>
        <v>185.01</v>
      </c>
      <c r="H27" s="23">
        <v>4</v>
      </c>
      <c r="I27" s="23">
        <f>SUMPRODUCT(F27:H27,'Output (Salad)'!$B$5:$D$5)*E27</f>
        <v>148.50800000000001</v>
      </c>
      <c r="J27" s="89">
        <v>0</v>
      </c>
      <c r="K27" s="49">
        <f t="shared" si="0"/>
        <v>0</v>
      </c>
      <c r="L27" s="90">
        <v>14.99</v>
      </c>
      <c r="M27" s="23" t="s">
        <v>339</v>
      </c>
      <c r="N27" s="23" t="s">
        <v>322</v>
      </c>
      <c r="O27" s="23" t="s">
        <v>386</v>
      </c>
      <c r="P27" s="23" t="s">
        <v>317</v>
      </c>
      <c r="Q27" s="92">
        <v>13.5</v>
      </c>
      <c r="R27" s="23" t="s">
        <v>192</v>
      </c>
      <c r="S27" s="23" t="s">
        <v>193</v>
      </c>
      <c r="T27" s="23" t="s">
        <v>190</v>
      </c>
      <c r="U27" s="23">
        <f>VLOOKUP($C27,'Food Pairing Data'!$C$2:$S$188,5)</f>
        <v>0</v>
      </c>
      <c r="V27" s="23">
        <f>VLOOKUP($C27,'Food Pairing Data'!$C$2:$S$188,6)</f>
        <v>0</v>
      </c>
      <c r="W27" s="23">
        <f>VLOOKUP($C27,'Food Pairing Data'!$C$2:$S$188,7)</f>
        <v>0</v>
      </c>
      <c r="X27" s="23">
        <f>VLOOKUP($C27,'Food Pairing Data'!$C$2:$S$188,8)</f>
        <v>0</v>
      </c>
      <c r="Y27" s="23">
        <f>VLOOKUP($C27,'Food Pairing Data'!$C$2:$S$188,9)</f>
        <v>0</v>
      </c>
      <c r="Z27" s="23">
        <f>VLOOKUP($C27,'Food Pairing Data'!$C$2:$S$188,10)</f>
        <v>0</v>
      </c>
      <c r="AA27" s="23">
        <f>VLOOKUP($C27,'Food Pairing Data'!$C$2:$S$188,11)</f>
        <v>0</v>
      </c>
      <c r="AB27" s="23">
        <f>VLOOKUP($C27,'Food Pairing Data'!$C$2:$S$188,12)</f>
        <v>0</v>
      </c>
      <c r="AC27" s="23">
        <f>VLOOKUP($C27,'Food Pairing Data'!$C$2:$S$188,13)</f>
        <v>0</v>
      </c>
      <c r="AD27" s="131">
        <f>VLOOKUP($C27,'Food Pairing Data'!$C$2:$S$188,14)</f>
        <v>1</v>
      </c>
      <c r="AE27" s="23">
        <f>VLOOKUP($C27,'Food Pairing Data'!$C$2:$S$188,15)</f>
        <v>0</v>
      </c>
      <c r="AF27" s="23">
        <f>VLOOKUP($C27,'Food Pairing Data'!$C$2:$S$188,16)</f>
        <v>0</v>
      </c>
      <c r="AG27" s="44">
        <f>VLOOKUP($C27,'Food Pairing Data'!$C$2:$S$188,17)</f>
        <v>0</v>
      </c>
      <c r="AH27" s="23" t="s">
        <v>191</v>
      </c>
      <c r="AI27" s="51" t="s">
        <v>163</v>
      </c>
    </row>
    <row r="28" spans="1:35" ht="14">
      <c r="A28" s="111">
        <f t="shared" si="1"/>
        <v>27</v>
      </c>
      <c r="B28" s="23" t="s">
        <v>23</v>
      </c>
      <c r="C28" s="23" t="s">
        <v>196</v>
      </c>
      <c r="D28" s="23" t="s">
        <v>163</v>
      </c>
      <c r="E28" s="22">
        <f>HLOOKUP('Output (Salad)'!$F$4,'Raw Data (Salad)'!$U$1:$BP$87,(A28+1),)</f>
        <v>1</v>
      </c>
      <c r="F28" s="23">
        <f>IF(D28='Output (Salad)'!$B$4,1,0)</f>
        <v>1</v>
      </c>
      <c r="G28" s="23">
        <f>IF(L28&lt;='Output (Salad)'!$C$4,(200-'Raw Data (Salad)'!L28),0)</f>
        <v>186.01</v>
      </c>
      <c r="H28" s="23">
        <v>4</v>
      </c>
      <c r="I28" s="23">
        <f>SUMPRODUCT(F28:H28,'Output (Salad)'!$B$5:$D$5)*E28</f>
        <v>149.30799999999999</v>
      </c>
      <c r="J28" s="89">
        <v>0</v>
      </c>
      <c r="K28" s="49">
        <f t="shared" si="0"/>
        <v>0</v>
      </c>
      <c r="L28" s="90">
        <v>13.99</v>
      </c>
      <c r="M28" s="23" t="s">
        <v>197</v>
      </c>
      <c r="N28" s="23" t="s">
        <v>198</v>
      </c>
      <c r="O28" s="23" t="s">
        <v>393</v>
      </c>
      <c r="P28" s="23" t="s">
        <v>394</v>
      </c>
      <c r="Q28" s="92">
        <v>14.5</v>
      </c>
      <c r="R28" s="23" t="s">
        <v>199</v>
      </c>
      <c r="S28" s="23" t="s">
        <v>396</v>
      </c>
      <c r="T28" s="23" t="s">
        <v>397</v>
      </c>
      <c r="U28" s="23">
        <f>VLOOKUP($C28,'Food Pairing Data'!$C$2:$S$188,5)</f>
        <v>0</v>
      </c>
      <c r="V28" s="23">
        <f>VLOOKUP($C28,'Food Pairing Data'!$C$2:$S$188,6)</f>
        <v>0</v>
      </c>
      <c r="W28" s="23">
        <f>VLOOKUP($C28,'Food Pairing Data'!$C$2:$S$188,7)</f>
        <v>0</v>
      </c>
      <c r="X28" s="23">
        <f>VLOOKUP($C28,'Food Pairing Data'!$C$2:$S$188,8)</f>
        <v>0</v>
      </c>
      <c r="Y28" s="23">
        <f>VLOOKUP($C28,'Food Pairing Data'!$C$2:$S$188,9)</f>
        <v>0</v>
      </c>
      <c r="Z28" s="23">
        <f>VLOOKUP($C28,'Food Pairing Data'!$C$2:$S$188,10)</f>
        <v>0</v>
      </c>
      <c r="AA28" s="23">
        <f>VLOOKUP($C28,'Food Pairing Data'!$C$2:$S$188,11)</f>
        <v>0</v>
      </c>
      <c r="AB28" s="23">
        <f>VLOOKUP($C28,'Food Pairing Data'!$C$2:$S$188,12)</f>
        <v>0</v>
      </c>
      <c r="AC28" s="23">
        <f>VLOOKUP($C28,'Food Pairing Data'!$C$2:$S$188,13)</f>
        <v>0</v>
      </c>
      <c r="AD28" s="131">
        <f>VLOOKUP($C28,'Food Pairing Data'!$C$2:$S$188,14)</f>
        <v>1</v>
      </c>
      <c r="AE28" s="23">
        <f>VLOOKUP($C28,'Food Pairing Data'!$C$2:$S$188,15)</f>
        <v>0</v>
      </c>
      <c r="AF28" s="23">
        <f>VLOOKUP($C28,'Food Pairing Data'!$C$2:$S$188,16)</f>
        <v>0</v>
      </c>
      <c r="AG28" s="44">
        <f>VLOOKUP($C28,'Food Pairing Data'!$C$2:$S$188,17)</f>
        <v>0</v>
      </c>
      <c r="AH28" s="23" t="s">
        <v>196</v>
      </c>
      <c r="AI28" s="51" t="s">
        <v>163</v>
      </c>
    </row>
    <row r="29" spans="1:35" ht="14">
      <c r="A29" s="111">
        <f t="shared" si="1"/>
        <v>28</v>
      </c>
      <c r="B29" s="23" t="s">
        <v>23</v>
      </c>
      <c r="C29" s="23" t="s">
        <v>288</v>
      </c>
      <c r="D29" s="23" t="s">
        <v>163</v>
      </c>
      <c r="E29" s="22">
        <f>HLOOKUP('Output (Salad)'!$F$4,'Raw Data (Salad)'!$U$1:$BP$87,(A29+1),)</f>
        <v>0</v>
      </c>
      <c r="F29" s="23">
        <f>IF(D29='Output (Salad)'!$B$4,1,0)</f>
        <v>1</v>
      </c>
      <c r="G29" s="23">
        <f>IF(L29&lt;='Output (Salad)'!$C$4,(200-'Raw Data (Salad)'!L29),0)</f>
        <v>187.01</v>
      </c>
      <c r="H29" s="23">
        <v>4</v>
      </c>
      <c r="I29" s="23">
        <f>SUMPRODUCT(F29:H29,'Output (Salad)'!$B$5:$D$5)*E29</f>
        <v>0</v>
      </c>
      <c r="J29" s="89">
        <v>0</v>
      </c>
      <c r="K29" s="49">
        <f t="shared" si="0"/>
        <v>0</v>
      </c>
      <c r="L29" s="90">
        <v>12.99</v>
      </c>
      <c r="M29" s="23" t="s">
        <v>256</v>
      </c>
      <c r="N29" s="23" t="s">
        <v>399</v>
      </c>
      <c r="O29" s="23" t="s">
        <v>400</v>
      </c>
      <c r="P29" s="23" t="s">
        <v>401</v>
      </c>
      <c r="Q29" s="92">
        <v>13</v>
      </c>
      <c r="R29" s="23" t="s">
        <v>199</v>
      </c>
      <c r="S29" s="23" t="s">
        <v>195</v>
      </c>
      <c r="T29" s="23" t="s">
        <v>190</v>
      </c>
      <c r="U29" s="23">
        <f>VLOOKUP($C29,'Food Pairing Data'!$C$2:$S$188,5)</f>
        <v>0</v>
      </c>
      <c r="V29" s="23">
        <f>VLOOKUP($C29,'Food Pairing Data'!$C$2:$S$188,6)</f>
        <v>0</v>
      </c>
      <c r="W29" s="23">
        <f>VLOOKUP($C29,'Food Pairing Data'!$C$2:$S$188,7)</f>
        <v>0</v>
      </c>
      <c r="X29" s="23">
        <f>VLOOKUP($C29,'Food Pairing Data'!$C$2:$S$188,8)</f>
        <v>1</v>
      </c>
      <c r="Y29" s="23">
        <f>VLOOKUP($C29,'Food Pairing Data'!$C$2:$S$188,9)</f>
        <v>0</v>
      </c>
      <c r="Z29" s="23">
        <f>VLOOKUP($C29,'Food Pairing Data'!$C$2:$S$188,10)</f>
        <v>1</v>
      </c>
      <c r="AA29" s="23">
        <f>VLOOKUP($C29,'Food Pairing Data'!$C$2:$S$188,11)</f>
        <v>0</v>
      </c>
      <c r="AB29" s="23">
        <f>VLOOKUP($C29,'Food Pairing Data'!$C$2:$S$188,12)</f>
        <v>0</v>
      </c>
      <c r="AC29" s="23">
        <f>VLOOKUP($C29,'Food Pairing Data'!$C$2:$S$188,13)</f>
        <v>0</v>
      </c>
      <c r="AD29" s="131">
        <f>VLOOKUP($C29,'Food Pairing Data'!$C$2:$S$188,14)</f>
        <v>0</v>
      </c>
      <c r="AE29" s="23">
        <f>VLOOKUP($C29,'Food Pairing Data'!$C$2:$S$188,15)</f>
        <v>0</v>
      </c>
      <c r="AF29" s="23">
        <f>VLOOKUP($C29,'Food Pairing Data'!$C$2:$S$188,16)</f>
        <v>0</v>
      </c>
      <c r="AG29" s="44">
        <f>VLOOKUP($C29,'Food Pairing Data'!$C$2:$S$188,17)</f>
        <v>0</v>
      </c>
      <c r="AH29" s="23" t="s">
        <v>288</v>
      </c>
      <c r="AI29" s="51" t="s">
        <v>163</v>
      </c>
    </row>
    <row r="30" spans="1:35" ht="14">
      <c r="A30" s="111">
        <f t="shared" si="1"/>
        <v>29</v>
      </c>
      <c r="B30" s="23" t="s">
        <v>23</v>
      </c>
      <c r="C30" s="23" t="s">
        <v>289</v>
      </c>
      <c r="D30" s="23" t="s">
        <v>163</v>
      </c>
      <c r="E30" s="22">
        <f>HLOOKUP('Output (Salad)'!$F$4,'Raw Data (Salad)'!$U$1:$BP$87,(A30+1),)</f>
        <v>0</v>
      </c>
      <c r="F30" s="23">
        <f>IF(D30='Output (Salad)'!$B$4,1,0)</f>
        <v>1</v>
      </c>
      <c r="G30" s="23">
        <f>IF(L30&lt;='Output (Salad)'!$C$4,(200-'Raw Data (Salad)'!L30),0)</f>
        <v>188.01</v>
      </c>
      <c r="H30" s="23">
        <v>4</v>
      </c>
      <c r="I30" s="23">
        <f>SUMPRODUCT(F30:H30,'Output (Salad)'!$B$5:$D$5)*E30</f>
        <v>0</v>
      </c>
      <c r="J30" s="89">
        <v>0</v>
      </c>
      <c r="K30" s="49">
        <f t="shared" si="0"/>
        <v>0</v>
      </c>
      <c r="L30" s="90">
        <v>11.99</v>
      </c>
      <c r="M30" s="23" t="s">
        <v>361</v>
      </c>
      <c r="N30" s="23" t="s">
        <v>404</v>
      </c>
      <c r="O30" s="23" t="s">
        <v>405</v>
      </c>
      <c r="P30" s="23" t="s">
        <v>406</v>
      </c>
      <c r="Q30" s="92">
        <v>14.5</v>
      </c>
      <c r="R30" s="23" t="s">
        <v>195</v>
      </c>
      <c r="S30" s="23" t="s">
        <v>199</v>
      </c>
      <c r="T30" s="23" t="s">
        <v>190</v>
      </c>
      <c r="U30" s="23">
        <f>VLOOKUP($C30,'Food Pairing Data'!$C$2:$S$188,5)</f>
        <v>0</v>
      </c>
      <c r="V30" s="23">
        <f>VLOOKUP($C30,'Food Pairing Data'!$C$2:$S$188,6)</f>
        <v>0</v>
      </c>
      <c r="W30" s="23">
        <f>VLOOKUP($C30,'Food Pairing Data'!$C$2:$S$188,7)</f>
        <v>0</v>
      </c>
      <c r="X30" s="23">
        <f>VLOOKUP($C30,'Food Pairing Data'!$C$2:$S$188,8)</f>
        <v>1</v>
      </c>
      <c r="Y30" s="23">
        <f>VLOOKUP($C30,'Food Pairing Data'!$C$2:$S$188,9)</f>
        <v>0</v>
      </c>
      <c r="Z30" s="23">
        <f>VLOOKUP($C30,'Food Pairing Data'!$C$2:$S$188,10)</f>
        <v>1</v>
      </c>
      <c r="AA30" s="23">
        <f>VLOOKUP($C30,'Food Pairing Data'!$C$2:$S$188,11)</f>
        <v>0</v>
      </c>
      <c r="AB30" s="23">
        <f>VLOOKUP($C30,'Food Pairing Data'!$C$2:$S$188,12)</f>
        <v>0</v>
      </c>
      <c r="AC30" s="23">
        <f>VLOOKUP($C30,'Food Pairing Data'!$C$2:$S$188,13)</f>
        <v>0</v>
      </c>
      <c r="AD30" s="131">
        <f>VLOOKUP($C30,'Food Pairing Data'!$C$2:$S$188,14)</f>
        <v>0</v>
      </c>
      <c r="AE30" s="23">
        <f>VLOOKUP($C30,'Food Pairing Data'!$C$2:$S$188,15)</f>
        <v>0</v>
      </c>
      <c r="AF30" s="23">
        <f>VLOOKUP($C30,'Food Pairing Data'!$C$2:$S$188,16)</f>
        <v>0</v>
      </c>
      <c r="AG30" s="44">
        <f>VLOOKUP($C30,'Food Pairing Data'!$C$2:$S$188,17)</f>
        <v>0</v>
      </c>
      <c r="AH30" s="23" t="s">
        <v>289</v>
      </c>
      <c r="AI30" s="51" t="s">
        <v>163</v>
      </c>
    </row>
    <row r="31" spans="1:35" ht="14">
      <c r="A31" s="111">
        <f t="shared" si="1"/>
        <v>30</v>
      </c>
      <c r="B31" s="23" t="s">
        <v>245</v>
      </c>
      <c r="C31" s="23" t="s">
        <v>290</v>
      </c>
      <c r="D31" s="23" t="s">
        <v>163</v>
      </c>
      <c r="E31" s="22">
        <f>HLOOKUP('Output (Salad)'!$F$4,'Raw Data (Salad)'!$U$1:$BP$87,(A31+1),)</f>
        <v>0</v>
      </c>
      <c r="F31" s="23">
        <f>IF(D31='Output (Salad)'!$B$4,1,0)</f>
        <v>1</v>
      </c>
      <c r="G31" s="23">
        <f>IF(L31&lt;='Output (Salad)'!$C$4,(200-'Raw Data (Salad)'!L31),0)</f>
        <v>191.01</v>
      </c>
      <c r="H31" s="23">
        <v>4.5</v>
      </c>
      <c r="I31" s="23">
        <f>SUMPRODUCT(F31:H31,'Output (Salad)'!$B$5:$D$5)*E31</f>
        <v>0</v>
      </c>
      <c r="J31" s="89">
        <v>0</v>
      </c>
      <c r="K31" s="49">
        <f t="shared" si="0"/>
        <v>0</v>
      </c>
      <c r="L31" s="90">
        <v>8.99</v>
      </c>
      <c r="M31" s="23" t="s">
        <v>264</v>
      </c>
      <c r="N31" s="23" t="s">
        <v>408</v>
      </c>
      <c r="O31" s="23" t="s">
        <v>409</v>
      </c>
      <c r="P31" s="23" t="s">
        <v>401</v>
      </c>
      <c r="Q31" s="92">
        <v>13</v>
      </c>
      <c r="R31" s="23" t="s">
        <v>199</v>
      </c>
      <c r="S31" s="23" t="s">
        <v>195</v>
      </c>
      <c r="T31" s="23" t="s">
        <v>411</v>
      </c>
      <c r="U31" s="23">
        <v>1</v>
      </c>
      <c r="V31" s="23">
        <v>1</v>
      </c>
      <c r="W31" s="23">
        <v>1</v>
      </c>
      <c r="X31" s="23">
        <v>0</v>
      </c>
      <c r="Y31" s="23">
        <v>0</v>
      </c>
      <c r="Z31" s="23">
        <v>0</v>
      </c>
      <c r="AA31" s="23">
        <v>0</v>
      </c>
      <c r="AB31" s="23">
        <v>0</v>
      </c>
      <c r="AC31" s="23">
        <v>0</v>
      </c>
      <c r="AD31" s="131">
        <v>0</v>
      </c>
      <c r="AE31" s="23">
        <v>0</v>
      </c>
      <c r="AF31" s="23">
        <v>0</v>
      </c>
      <c r="AG31" s="44">
        <v>0</v>
      </c>
      <c r="AH31" s="23" t="s">
        <v>290</v>
      </c>
      <c r="AI31" s="51" t="s">
        <v>163</v>
      </c>
    </row>
    <row r="32" spans="1:35" ht="14">
      <c r="A32" s="111">
        <f t="shared" si="1"/>
        <v>31</v>
      </c>
      <c r="B32" s="23" t="s">
        <v>161</v>
      </c>
      <c r="C32" s="23" t="s">
        <v>259</v>
      </c>
      <c r="D32" s="23" t="s">
        <v>163</v>
      </c>
      <c r="E32" s="22">
        <f>HLOOKUP('Output (Salad)'!$F$4,'Raw Data (Salad)'!$U$1:$BP$87,(A32+1),)</f>
        <v>0</v>
      </c>
      <c r="F32" s="23">
        <f>IF(D32='Output (Salad)'!$B$4,1,0)</f>
        <v>1</v>
      </c>
      <c r="G32" s="23">
        <f>IF(L32&lt;='Output (Salad)'!$C$4,(200-'Raw Data (Salad)'!L32),0)</f>
        <v>0</v>
      </c>
      <c r="H32" s="23">
        <v>4.5</v>
      </c>
      <c r="I32" s="23">
        <f>SUMPRODUCT(F32:H32,'Output (Salad)'!$B$5:$D$5)*E32</f>
        <v>0</v>
      </c>
      <c r="J32" s="89">
        <v>0</v>
      </c>
      <c r="K32" s="49">
        <f t="shared" si="0"/>
        <v>0</v>
      </c>
      <c r="L32" s="90">
        <v>84.99</v>
      </c>
      <c r="M32" s="23" t="s">
        <v>412</v>
      </c>
      <c r="N32" s="23" t="s">
        <v>413</v>
      </c>
      <c r="O32" s="23" t="s">
        <v>414</v>
      </c>
      <c r="P32" s="23" t="s">
        <v>335</v>
      </c>
      <c r="Q32" s="92">
        <v>14</v>
      </c>
      <c r="R32" s="23" t="s">
        <v>192</v>
      </c>
      <c r="S32" s="23" t="s">
        <v>340</v>
      </c>
      <c r="T32" s="23" t="s">
        <v>190</v>
      </c>
      <c r="U32" s="23">
        <f>VLOOKUP($C32,'Food Pairing Data'!$C$2:$S$188,5)</f>
        <v>0</v>
      </c>
      <c r="V32" s="23">
        <f>VLOOKUP($C32,'Food Pairing Data'!$C$2:$S$188,6)</f>
        <v>0</v>
      </c>
      <c r="W32" s="23">
        <f>VLOOKUP($C32,'Food Pairing Data'!$C$2:$S$188,7)</f>
        <v>0</v>
      </c>
      <c r="X32" s="23">
        <f>VLOOKUP($C32,'Food Pairing Data'!$C$2:$S$188,8)</f>
        <v>1</v>
      </c>
      <c r="Y32" s="23">
        <f>VLOOKUP($C32,'Food Pairing Data'!$C$2:$S$188,9)</f>
        <v>0</v>
      </c>
      <c r="Z32" s="23">
        <f>VLOOKUP($C32,'Food Pairing Data'!$C$2:$S$188,10)</f>
        <v>1</v>
      </c>
      <c r="AA32" s="23">
        <f>VLOOKUP($C32,'Food Pairing Data'!$C$2:$S$188,11)</f>
        <v>0</v>
      </c>
      <c r="AB32" s="23">
        <f>VLOOKUP($C32,'Food Pairing Data'!$C$2:$S$188,12)</f>
        <v>0</v>
      </c>
      <c r="AC32" s="23">
        <f>VLOOKUP($C32,'Food Pairing Data'!$C$2:$S$188,13)</f>
        <v>0</v>
      </c>
      <c r="AD32" s="131">
        <f>VLOOKUP($C32,'Food Pairing Data'!$C$2:$S$188,14)</f>
        <v>0</v>
      </c>
      <c r="AE32" s="23">
        <f>VLOOKUP($C32,'Food Pairing Data'!$C$2:$S$188,15)</f>
        <v>0</v>
      </c>
      <c r="AF32" s="23">
        <f>VLOOKUP($C32,'Food Pairing Data'!$C$2:$S$188,16)</f>
        <v>0</v>
      </c>
      <c r="AG32" s="44">
        <f>VLOOKUP($C32,'Food Pairing Data'!$C$2:$S$188,17)</f>
        <v>0</v>
      </c>
      <c r="AH32" s="23" t="s">
        <v>259</v>
      </c>
      <c r="AI32" s="51" t="s">
        <v>163</v>
      </c>
    </row>
    <row r="33" spans="1:35" ht="14">
      <c r="A33" s="111">
        <f t="shared" si="1"/>
        <v>32</v>
      </c>
      <c r="B33" s="23" t="s">
        <v>181</v>
      </c>
      <c r="C33" s="23" t="s">
        <v>293</v>
      </c>
      <c r="D33" s="23" t="s">
        <v>163</v>
      </c>
      <c r="E33" s="22">
        <f>HLOOKUP('Output (Salad)'!$F$4,'Raw Data (Salad)'!$U$1:$BP$87,(A33+1),)</f>
        <v>1</v>
      </c>
      <c r="F33" s="23">
        <f>IF(D33='Output (Salad)'!$B$4,1,0)</f>
        <v>1</v>
      </c>
      <c r="G33" s="23">
        <f>IF(L33&lt;='Output (Salad)'!$C$4,(200-'Raw Data (Salad)'!L33),0)</f>
        <v>0</v>
      </c>
      <c r="H33" s="23">
        <v>3.5</v>
      </c>
      <c r="I33" s="23">
        <f>SUMPRODUCT(F33:H33,'Output (Salad)'!$B$5:$D$5)*E33</f>
        <v>0.45000000000000007</v>
      </c>
      <c r="J33" s="89">
        <v>0</v>
      </c>
      <c r="K33" s="49">
        <f t="shared" si="0"/>
        <v>0</v>
      </c>
      <c r="L33" s="90">
        <v>39.99</v>
      </c>
      <c r="M33" s="23" t="s">
        <v>256</v>
      </c>
      <c r="N33" s="23" t="s">
        <v>257</v>
      </c>
      <c r="O33" s="23" t="s">
        <v>258</v>
      </c>
      <c r="P33" s="23" t="s">
        <v>420</v>
      </c>
      <c r="Q33" s="92">
        <v>13</v>
      </c>
      <c r="R33" s="23" t="s">
        <v>193</v>
      </c>
      <c r="S33" s="23" t="s">
        <v>340</v>
      </c>
      <c r="T33" s="23" t="s">
        <v>262</v>
      </c>
      <c r="U33" s="23">
        <f>VLOOKUP($C33,'Food Pairing Data'!$C$2:$S$188,5)</f>
        <v>0</v>
      </c>
      <c r="V33" s="23">
        <f>VLOOKUP($C33,'Food Pairing Data'!$C$2:$S$188,6)</f>
        <v>0</v>
      </c>
      <c r="W33" s="23">
        <f>VLOOKUP($C33,'Food Pairing Data'!$C$2:$S$188,7)</f>
        <v>0</v>
      </c>
      <c r="X33" s="23">
        <f>VLOOKUP($C33,'Food Pairing Data'!$C$2:$S$188,8)</f>
        <v>0</v>
      </c>
      <c r="Y33" s="23">
        <f>VLOOKUP($C33,'Food Pairing Data'!$C$2:$S$188,9)</f>
        <v>0</v>
      </c>
      <c r="Z33" s="23">
        <f>VLOOKUP($C33,'Food Pairing Data'!$C$2:$S$188,10)</f>
        <v>0</v>
      </c>
      <c r="AA33" s="23">
        <f>VLOOKUP($C33,'Food Pairing Data'!$C$2:$S$188,11)</f>
        <v>0</v>
      </c>
      <c r="AB33" s="23">
        <f>VLOOKUP($C33,'Food Pairing Data'!$C$2:$S$188,12)</f>
        <v>0</v>
      </c>
      <c r="AC33" s="23">
        <f>VLOOKUP($C33,'Food Pairing Data'!$C$2:$S$188,13)</f>
        <v>0</v>
      </c>
      <c r="AD33" s="131">
        <f>VLOOKUP($C33,'Food Pairing Data'!$C$2:$S$188,14)</f>
        <v>1</v>
      </c>
      <c r="AE33" s="23">
        <f>VLOOKUP($C33,'Food Pairing Data'!$C$2:$S$188,15)</f>
        <v>0</v>
      </c>
      <c r="AF33" s="23">
        <f>VLOOKUP($C33,'Food Pairing Data'!$C$2:$S$188,16)</f>
        <v>0</v>
      </c>
      <c r="AG33" s="44">
        <f>VLOOKUP($C33,'Food Pairing Data'!$C$2:$S$188,17)</f>
        <v>0</v>
      </c>
      <c r="AH33" s="23" t="s">
        <v>293</v>
      </c>
      <c r="AI33" s="51" t="s">
        <v>163</v>
      </c>
    </row>
    <row r="34" spans="1:35" ht="14" hidden="1">
      <c r="A34" s="111">
        <f t="shared" si="1"/>
        <v>33</v>
      </c>
      <c r="B34" s="23" t="s">
        <v>181</v>
      </c>
      <c r="C34" s="23" t="s">
        <v>263</v>
      </c>
      <c r="D34" s="23" t="s">
        <v>163</v>
      </c>
      <c r="E34" s="22">
        <f>HLOOKUP('Output (Salad)'!$F$4,'Raw Data (Salad)'!$U$1:$BP$87,(A34+1),)</f>
        <v>0</v>
      </c>
      <c r="F34" s="23">
        <f>IF(D34='Output (Salad)'!$B$4,1,0)</f>
        <v>1</v>
      </c>
      <c r="G34" s="23">
        <f>IF(L34&lt;='Output (Salad)'!$C$4,(200-'Raw Data (Salad)'!L34),0)</f>
        <v>0</v>
      </c>
      <c r="H34" s="23">
        <v>3.5</v>
      </c>
      <c r="I34" s="23">
        <f>SUMPRODUCT(F34:H34,'Output (Salad)'!$B$5:$D$5)*E34</f>
        <v>0</v>
      </c>
      <c r="J34" s="89">
        <v>0</v>
      </c>
      <c r="K34" s="49">
        <f t="shared" si="0"/>
        <v>0</v>
      </c>
      <c r="L34" s="90">
        <v>34.99</v>
      </c>
      <c r="M34" s="23" t="s">
        <v>264</v>
      </c>
      <c r="N34" s="23" t="s">
        <v>265</v>
      </c>
      <c r="O34" s="23" t="s">
        <v>266</v>
      </c>
      <c r="P34" s="23" t="s">
        <v>267</v>
      </c>
      <c r="Q34" s="92">
        <v>14</v>
      </c>
      <c r="R34" s="23" t="s">
        <v>195</v>
      </c>
      <c r="S34" s="23" t="s">
        <v>190</v>
      </c>
      <c r="T34" s="23" t="s">
        <v>270</v>
      </c>
      <c r="U34" s="23">
        <f>VLOOKUP($C34,'Food Pairing Data'!$C$2:$S$188,5)</f>
        <v>0</v>
      </c>
      <c r="V34" s="23">
        <f>VLOOKUP($C34,'Food Pairing Data'!$C$2:$S$188,6)</f>
        <v>0</v>
      </c>
      <c r="W34" s="23">
        <f>VLOOKUP($C34,'Food Pairing Data'!$C$2:$S$188,7)</f>
        <v>1</v>
      </c>
      <c r="X34" s="23">
        <f>VLOOKUP($C34,'Food Pairing Data'!$C$2:$S$188,8)</f>
        <v>1</v>
      </c>
      <c r="Y34" s="23">
        <f>VLOOKUP($C34,'Food Pairing Data'!$C$2:$S$188,9)</f>
        <v>0</v>
      </c>
      <c r="Z34" s="23">
        <f>VLOOKUP($C34,'Food Pairing Data'!$C$2:$S$188,10)</f>
        <v>0</v>
      </c>
      <c r="AA34" s="23">
        <f>VLOOKUP($C34,'Food Pairing Data'!$C$2:$S$188,11)</f>
        <v>0</v>
      </c>
      <c r="AB34" s="23">
        <f>VLOOKUP($C34,'Food Pairing Data'!$C$2:$S$188,12)</f>
        <v>0</v>
      </c>
      <c r="AC34" s="23">
        <f>VLOOKUP($C34,'Food Pairing Data'!$C$2:$S$188,13)</f>
        <v>0</v>
      </c>
      <c r="AD34" s="131">
        <f>VLOOKUP($C34,'Food Pairing Data'!$C$2:$S$188,14)</f>
        <v>0</v>
      </c>
      <c r="AE34" s="23">
        <f>VLOOKUP($C34,'Food Pairing Data'!$C$2:$S$188,15)</f>
        <v>0</v>
      </c>
      <c r="AF34" s="23">
        <f>VLOOKUP($C34,'Food Pairing Data'!$C$2:$S$188,16)</f>
        <v>0</v>
      </c>
      <c r="AG34" s="44">
        <f>VLOOKUP($C34,'Food Pairing Data'!$C$2:$S$188,17)</f>
        <v>0</v>
      </c>
      <c r="AH34" s="23" t="s">
        <v>263</v>
      </c>
      <c r="AI34" s="51" t="s">
        <v>163</v>
      </c>
    </row>
    <row r="35" spans="1:35" ht="14" hidden="1">
      <c r="A35" s="111">
        <f t="shared" si="1"/>
        <v>34</v>
      </c>
      <c r="B35" s="23" t="s">
        <v>23</v>
      </c>
      <c r="C35" s="23" t="s">
        <v>271</v>
      </c>
      <c r="D35" s="23" t="s">
        <v>163</v>
      </c>
      <c r="E35" s="22">
        <f>HLOOKUP('Output (Salad)'!$F$4,'Raw Data (Salad)'!$U$1:$BP$87,(A35+1),)</f>
        <v>1</v>
      </c>
      <c r="F35" s="23">
        <f>IF(D35='Output (Salad)'!$B$4,1,0)</f>
        <v>1</v>
      </c>
      <c r="G35" s="23">
        <f>IF(L35&lt;='Output (Salad)'!$C$4,(200-'Raw Data (Salad)'!L35),0)</f>
        <v>180.01</v>
      </c>
      <c r="H35" s="23">
        <v>3.5</v>
      </c>
      <c r="I35" s="23">
        <f>SUMPRODUCT(F35:H35,'Output (Salad)'!$B$5:$D$5)*E35</f>
        <v>144.458</v>
      </c>
      <c r="J35" s="89">
        <v>0</v>
      </c>
      <c r="K35" s="49">
        <f t="shared" si="0"/>
        <v>0</v>
      </c>
      <c r="L35" s="90">
        <v>19.989999999999998</v>
      </c>
      <c r="M35" s="23" t="s">
        <v>197</v>
      </c>
      <c r="N35" s="23" t="s">
        <v>273</v>
      </c>
      <c r="O35" s="23" t="s">
        <v>274</v>
      </c>
      <c r="P35" s="23" t="s">
        <v>275</v>
      </c>
      <c r="Q35" s="92">
        <v>12.5</v>
      </c>
      <c r="R35" s="23" t="s">
        <v>192</v>
      </c>
      <c r="S35" s="23" t="s">
        <v>195</v>
      </c>
      <c r="T35" s="23" t="s">
        <v>190</v>
      </c>
      <c r="U35" s="23">
        <f>VLOOKUP($C35,'Food Pairing Data'!$C$2:$S$188,5)</f>
        <v>0</v>
      </c>
      <c r="V35" s="23">
        <f>VLOOKUP($C35,'Food Pairing Data'!$C$2:$S$188,6)</f>
        <v>0</v>
      </c>
      <c r="W35" s="23">
        <f>VLOOKUP($C35,'Food Pairing Data'!$C$2:$S$188,7)</f>
        <v>0</v>
      </c>
      <c r="X35" s="23">
        <f>VLOOKUP($C35,'Food Pairing Data'!$C$2:$S$188,8)</f>
        <v>0</v>
      </c>
      <c r="Y35" s="23">
        <f>VLOOKUP($C35,'Food Pairing Data'!$C$2:$S$188,9)</f>
        <v>0</v>
      </c>
      <c r="Z35" s="23">
        <f>VLOOKUP($C35,'Food Pairing Data'!$C$2:$S$188,10)</f>
        <v>0</v>
      </c>
      <c r="AA35" s="23">
        <f>VLOOKUP($C35,'Food Pairing Data'!$C$2:$S$188,11)</f>
        <v>0</v>
      </c>
      <c r="AB35" s="23">
        <f>VLOOKUP($C35,'Food Pairing Data'!$C$2:$S$188,12)</f>
        <v>0</v>
      </c>
      <c r="AC35" s="23">
        <f>VLOOKUP($C35,'Food Pairing Data'!$C$2:$S$188,13)</f>
        <v>0</v>
      </c>
      <c r="AD35" s="131">
        <f>VLOOKUP($C35,'Food Pairing Data'!$C$2:$S$188,14)</f>
        <v>1</v>
      </c>
      <c r="AE35" s="23">
        <f>VLOOKUP($C35,'Food Pairing Data'!$C$2:$S$188,15)</f>
        <v>0</v>
      </c>
      <c r="AF35" s="23">
        <f>VLOOKUP($C35,'Food Pairing Data'!$C$2:$S$188,16)</f>
        <v>0</v>
      </c>
      <c r="AG35" s="44">
        <f>VLOOKUP($C35,'Food Pairing Data'!$C$2:$S$188,17)</f>
        <v>0</v>
      </c>
      <c r="AH35" s="23" t="s">
        <v>271</v>
      </c>
      <c r="AI35" s="51" t="s">
        <v>163</v>
      </c>
    </row>
    <row r="36" spans="1:35" ht="14" hidden="1">
      <c r="A36" s="111">
        <f t="shared" si="1"/>
        <v>35</v>
      </c>
      <c r="B36" s="23" t="s">
        <v>23</v>
      </c>
      <c r="C36" s="23" t="s">
        <v>277</v>
      </c>
      <c r="D36" s="23" t="s">
        <v>163</v>
      </c>
      <c r="E36" s="22">
        <f>HLOOKUP('Output (Salad)'!$F$4,'Raw Data (Salad)'!$U$1:$BP$87,(A36+1),)</f>
        <v>1</v>
      </c>
      <c r="F36" s="23">
        <f>IF(D36='Output (Salad)'!$B$4,1,0)</f>
        <v>1</v>
      </c>
      <c r="G36" s="23">
        <f>IF(L36&lt;='Output (Salad)'!$C$4,(200-'Raw Data (Salad)'!L36),0)</f>
        <v>181.01</v>
      </c>
      <c r="H36" s="23">
        <v>3.5</v>
      </c>
      <c r="I36" s="23">
        <f>SUMPRODUCT(F36:H36,'Output (Salad)'!$B$5:$D$5)*E36</f>
        <v>145.25799999999998</v>
      </c>
      <c r="J36" s="89">
        <v>0</v>
      </c>
      <c r="K36" s="49">
        <f t="shared" si="0"/>
        <v>0</v>
      </c>
      <c r="L36" s="90">
        <v>18.989999999999998</v>
      </c>
      <c r="M36" s="23" t="s">
        <v>412</v>
      </c>
      <c r="N36" s="23" t="s">
        <v>278</v>
      </c>
      <c r="O36" s="23" t="s">
        <v>279</v>
      </c>
      <c r="P36" s="23" t="s">
        <v>335</v>
      </c>
      <c r="Q36" s="92">
        <v>12.9</v>
      </c>
      <c r="R36" s="23" t="s">
        <v>192</v>
      </c>
      <c r="S36" s="23" t="s">
        <v>340</v>
      </c>
      <c r="T36" s="23" t="s">
        <v>190</v>
      </c>
      <c r="U36" s="23">
        <f>VLOOKUP($C36,'Food Pairing Data'!$C$2:$S$188,5)</f>
        <v>0</v>
      </c>
      <c r="V36" s="23">
        <f>VLOOKUP($C36,'Food Pairing Data'!$C$2:$S$188,6)</f>
        <v>0</v>
      </c>
      <c r="W36" s="23">
        <f>VLOOKUP($C36,'Food Pairing Data'!$C$2:$S$188,7)</f>
        <v>0</v>
      </c>
      <c r="X36" s="23">
        <f>VLOOKUP($C36,'Food Pairing Data'!$C$2:$S$188,8)</f>
        <v>0</v>
      </c>
      <c r="Y36" s="23">
        <f>VLOOKUP($C36,'Food Pairing Data'!$C$2:$S$188,9)</f>
        <v>0</v>
      </c>
      <c r="Z36" s="23">
        <f>VLOOKUP($C36,'Food Pairing Data'!$C$2:$S$188,10)</f>
        <v>0</v>
      </c>
      <c r="AA36" s="23">
        <f>VLOOKUP($C36,'Food Pairing Data'!$C$2:$S$188,11)</f>
        <v>0</v>
      </c>
      <c r="AB36" s="23">
        <f>VLOOKUP($C36,'Food Pairing Data'!$C$2:$S$188,12)</f>
        <v>0</v>
      </c>
      <c r="AC36" s="23">
        <f>VLOOKUP($C36,'Food Pairing Data'!$C$2:$S$188,13)</f>
        <v>0</v>
      </c>
      <c r="AD36" s="131">
        <f>VLOOKUP($C36,'Food Pairing Data'!$C$2:$S$188,14)</f>
        <v>1</v>
      </c>
      <c r="AE36" s="23">
        <f>VLOOKUP($C36,'Food Pairing Data'!$C$2:$S$188,15)</f>
        <v>0</v>
      </c>
      <c r="AF36" s="23">
        <f>VLOOKUP($C36,'Food Pairing Data'!$C$2:$S$188,16)</f>
        <v>0</v>
      </c>
      <c r="AG36" s="44">
        <f>VLOOKUP($C36,'Food Pairing Data'!$C$2:$S$188,17)</f>
        <v>0</v>
      </c>
      <c r="AH36" s="23" t="s">
        <v>277</v>
      </c>
      <c r="AI36" s="51" t="s">
        <v>163</v>
      </c>
    </row>
    <row r="37" spans="1:35" ht="14" hidden="1">
      <c r="A37" s="111">
        <f t="shared" si="1"/>
        <v>36</v>
      </c>
      <c r="B37" s="23" t="s">
        <v>23</v>
      </c>
      <c r="C37" s="23" t="s">
        <v>280</v>
      </c>
      <c r="D37" s="23" t="s">
        <v>163</v>
      </c>
      <c r="E37" s="22">
        <f>HLOOKUP('Output (Salad)'!$F$4,'Raw Data (Salad)'!$U$1:$BP$87,(A37+1),)</f>
        <v>1</v>
      </c>
      <c r="F37" s="23">
        <f>IF(D37='Output (Salad)'!$B$4,1,0)</f>
        <v>1</v>
      </c>
      <c r="G37" s="23">
        <f>IF(L37&lt;='Output (Salad)'!$C$4,(200-'Raw Data (Salad)'!L37),0)</f>
        <v>182.01</v>
      </c>
      <c r="H37" s="23">
        <v>3.5</v>
      </c>
      <c r="I37" s="23">
        <f>SUMPRODUCT(F37:H37,'Output (Salad)'!$B$5:$D$5)*E37</f>
        <v>146.05799999999999</v>
      </c>
      <c r="J37" s="89">
        <v>0</v>
      </c>
      <c r="K37" s="49">
        <f t="shared" si="0"/>
        <v>0</v>
      </c>
      <c r="L37" s="90">
        <v>17.989999999999998</v>
      </c>
      <c r="M37" s="23" t="s">
        <v>339</v>
      </c>
      <c r="N37" s="23" t="s">
        <v>281</v>
      </c>
      <c r="O37" s="23" t="s">
        <v>282</v>
      </c>
      <c r="P37" s="23" t="s">
        <v>283</v>
      </c>
      <c r="Q37" s="92">
        <v>13</v>
      </c>
      <c r="R37" s="23" t="s">
        <v>340</v>
      </c>
      <c r="S37" s="23" t="s">
        <v>192</v>
      </c>
      <c r="T37" s="23" t="s">
        <v>411</v>
      </c>
      <c r="U37" s="23">
        <f>VLOOKUP($C37,'Food Pairing Data'!$C$2:$S$188,5)</f>
        <v>0</v>
      </c>
      <c r="V37" s="23">
        <f>VLOOKUP($C37,'Food Pairing Data'!$C$2:$S$188,6)</f>
        <v>0</v>
      </c>
      <c r="W37" s="23">
        <f>VLOOKUP($C37,'Food Pairing Data'!$C$2:$S$188,7)</f>
        <v>0</v>
      </c>
      <c r="X37" s="23">
        <f>VLOOKUP($C37,'Food Pairing Data'!$C$2:$S$188,8)</f>
        <v>0</v>
      </c>
      <c r="Y37" s="23">
        <f>VLOOKUP($C37,'Food Pairing Data'!$C$2:$S$188,9)</f>
        <v>0</v>
      </c>
      <c r="Z37" s="23">
        <f>VLOOKUP($C37,'Food Pairing Data'!$C$2:$S$188,10)</f>
        <v>0</v>
      </c>
      <c r="AA37" s="23">
        <f>VLOOKUP($C37,'Food Pairing Data'!$C$2:$S$188,11)</f>
        <v>0</v>
      </c>
      <c r="AB37" s="23">
        <f>VLOOKUP($C37,'Food Pairing Data'!$C$2:$S$188,12)</f>
        <v>0</v>
      </c>
      <c r="AC37" s="23">
        <f>VLOOKUP($C37,'Food Pairing Data'!$C$2:$S$188,13)</f>
        <v>0</v>
      </c>
      <c r="AD37" s="131">
        <f>VLOOKUP($C37,'Food Pairing Data'!$C$2:$S$188,14)</f>
        <v>1</v>
      </c>
      <c r="AE37" s="23">
        <f>VLOOKUP($C37,'Food Pairing Data'!$C$2:$S$188,15)</f>
        <v>0</v>
      </c>
      <c r="AF37" s="23">
        <f>VLOOKUP($C37,'Food Pairing Data'!$C$2:$S$188,16)</f>
        <v>0</v>
      </c>
      <c r="AG37" s="44">
        <f>VLOOKUP($C37,'Food Pairing Data'!$C$2:$S$188,17)</f>
        <v>0</v>
      </c>
      <c r="AH37" s="23" t="s">
        <v>280</v>
      </c>
      <c r="AI37" s="51" t="s">
        <v>163</v>
      </c>
    </row>
    <row r="38" spans="1:35" ht="14" hidden="1">
      <c r="A38" s="111">
        <f t="shared" si="1"/>
        <v>37</v>
      </c>
      <c r="B38" s="23" t="s">
        <v>245</v>
      </c>
      <c r="C38" s="23" t="s">
        <v>284</v>
      </c>
      <c r="D38" s="23" t="s">
        <v>163</v>
      </c>
      <c r="E38" s="22">
        <f>HLOOKUP('Output (Salad)'!$F$4,'Raw Data (Salad)'!$U$1:$BP$87,(A38+1),)</f>
        <v>1</v>
      </c>
      <c r="F38" s="23">
        <f>IF(D38='Output (Salad)'!$B$4,1,0)</f>
        <v>1</v>
      </c>
      <c r="G38" s="23">
        <f>IF(L38&lt;='Output (Salad)'!$C$4,(200-'Raw Data (Salad)'!L38),0)</f>
        <v>192.01</v>
      </c>
      <c r="H38" s="23">
        <v>3.5</v>
      </c>
      <c r="I38" s="23">
        <f>SUMPRODUCT(F38:H38,'Output (Salad)'!$B$5:$D$5)*E38</f>
        <v>154.05799999999999</v>
      </c>
      <c r="J38" s="89">
        <v>0</v>
      </c>
      <c r="K38" s="49">
        <f t="shared" si="0"/>
        <v>0</v>
      </c>
      <c r="L38" s="90">
        <v>7.99</v>
      </c>
      <c r="M38" s="23" t="s">
        <v>285</v>
      </c>
      <c r="N38" s="23" t="s">
        <v>286</v>
      </c>
      <c r="O38" s="23" t="s">
        <v>287</v>
      </c>
      <c r="P38" s="23" t="s">
        <v>420</v>
      </c>
      <c r="Q38" s="92">
        <v>13</v>
      </c>
      <c r="R38" s="23" t="s">
        <v>190</v>
      </c>
      <c r="S38" s="23" t="s">
        <v>353</v>
      </c>
      <c r="T38" s="23" t="s">
        <v>262</v>
      </c>
      <c r="U38" s="23">
        <f>VLOOKUP($C38,'Food Pairing Data'!$C$2:$S$188,5)</f>
        <v>0</v>
      </c>
      <c r="V38" s="23">
        <f>VLOOKUP($C38,'Food Pairing Data'!$C$2:$S$188,6)</f>
        <v>0</v>
      </c>
      <c r="W38" s="23">
        <f>VLOOKUP($C38,'Food Pairing Data'!$C$2:$S$188,7)</f>
        <v>0</v>
      </c>
      <c r="X38" s="23">
        <f>VLOOKUP($C38,'Food Pairing Data'!$C$2:$S$188,8)</f>
        <v>0</v>
      </c>
      <c r="Y38" s="23">
        <f>VLOOKUP($C38,'Food Pairing Data'!$C$2:$S$188,9)</f>
        <v>0</v>
      </c>
      <c r="Z38" s="23">
        <f>VLOOKUP($C38,'Food Pairing Data'!$C$2:$S$188,10)</f>
        <v>0</v>
      </c>
      <c r="AA38" s="23">
        <f>VLOOKUP($C38,'Food Pairing Data'!$C$2:$S$188,11)</f>
        <v>0</v>
      </c>
      <c r="AB38" s="23">
        <f>VLOOKUP($C38,'Food Pairing Data'!$C$2:$S$188,12)</f>
        <v>0</v>
      </c>
      <c r="AC38" s="23">
        <f>VLOOKUP($C38,'Food Pairing Data'!$C$2:$S$188,13)</f>
        <v>0</v>
      </c>
      <c r="AD38" s="131">
        <f>VLOOKUP($C38,'Food Pairing Data'!$C$2:$S$188,14)</f>
        <v>1</v>
      </c>
      <c r="AE38" s="23">
        <f>VLOOKUP($C38,'Food Pairing Data'!$C$2:$S$188,15)</f>
        <v>0</v>
      </c>
      <c r="AF38" s="23">
        <f>VLOOKUP($C38,'Food Pairing Data'!$C$2:$S$188,16)</f>
        <v>0</v>
      </c>
      <c r="AG38" s="44">
        <f>VLOOKUP($C38,'Food Pairing Data'!$C$2:$S$188,17)</f>
        <v>0</v>
      </c>
      <c r="AH38" s="23" t="s">
        <v>284</v>
      </c>
      <c r="AI38" s="51" t="s">
        <v>163</v>
      </c>
    </row>
    <row r="39" spans="1:35" ht="14" hidden="1">
      <c r="A39" s="111">
        <f t="shared" si="1"/>
        <v>38</v>
      </c>
      <c r="B39" s="23" t="s">
        <v>181</v>
      </c>
      <c r="C39" s="23" t="s">
        <v>484</v>
      </c>
      <c r="D39" s="23" t="s">
        <v>163</v>
      </c>
      <c r="E39" s="22">
        <f>HLOOKUP('Output (Salad)'!$F$4,'Raw Data (Salad)'!$U$1:$BP$87,(A39+1),)</f>
        <v>0</v>
      </c>
      <c r="F39" s="23">
        <f>IF(D39='Output (Salad)'!$B$4,1,0)</f>
        <v>1</v>
      </c>
      <c r="G39" s="23">
        <f>IF(L39&lt;='Output (Salad)'!$C$4,(200-'Raw Data (Salad)'!L39),0)</f>
        <v>0</v>
      </c>
      <c r="H39" s="23">
        <v>3</v>
      </c>
      <c r="I39" s="23">
        <f>SUMPRODUCT(F39:H39,'Output (Salad)'!$B$5:$D$5)*E39</f>
        <v>0</v>
      </c>
      <c r="J39" s="89">
        <v>0</v>
      </c>
      <c r="K39" s="49">
        <f t="shared" si="0"/>
        <v>0</v>
      </c>
      <c r="L39" s="90">
        <v>37.99</v>
      </c>
      <c r="M39" s="23" t="s">
        <v>349</v>
      </c>
      <c r="N39" s="23" t="s">
        <v>486</v>
      </c>
      <c r="O39" s="23" t="s">
        <v>266</v>
      </c>
      <c r="P39" s="23" t="s">
        <v>487</v>
      </c>
      <c r="Q39" s="92">
        <v>13.9</v>
      </c>
      <c r="R39" s="23" t="s">
        <v>340</v>
      </c>
      <c r="S39" s="23" t="s">
        <v>195</v>
      </c>
      <c r="T39" s="23" t="s">
        <v>270</v>
      </c>
      <c r="U39" s="23">
        <v>0</v>
      </c>
      <c r="V39" s="23">
        <v>1</v>
      </c>
      <c r="W39" s="23">
        <v>1</v>
      </c>
      <c r="X39" s="23">
        <v>0</v>
      </c>
      <c r="Y39" s="23">
        <v>0</v>
      </c>
      <c r="Z39" s="23">
        <v>0</v>
      </c>
      <c r="AA39" s="23">
        <v>0</v>
      </c>
      <c r="AB39" s="23">
        <v>0</v>
      </c>
      <c r="AC39" s="23">
        <v>0</v>
      </c>
      <c r="AD39" s="131">
        <v>0</v>
      </c>
      <c r="AE39" s="23">
        <v>0</v>
      </c>
      <c r="AF39" s="23">
        <v>0</v>
      </c>
      <c r="AG39" s="44">
        <v>0</v>
      </c>
      <c r="AH39" s="23" t="s">
        <v>484</v>
      </c>
      <c r="AI39" s="51" t="s">
        <v>163</v>
      </c>
    </row>
    <row r="40" spans="1:35" ht="14" hidden="1">
      <c r="A40" s="111">
        <f t="shared" si="1"/>
        <v>39</v>
      </c>
      <c r="B40" s="23" t="s">
        <v>181</v>
      </c>
      <c r="C40" s="23" t="s">
        <v>488</v>
      </c>
      <c r="D40" s="23" t="s">
        <v>163</v>
      </c>
      <c r="E40" s="22">
        <f>HLOOKUP('Output (Salad)'!$F$4,'Raw Data (Salad)'!$U$1:$BP$87,(A40+1),)</f>
        <v>0</v>
      </c>
      <c r="F40" s="23">
        <f>IF(D40='Output (Salad)'!$B$4,1,0)</f>
        <v>1</v>
      </c>
      <c r="G40" s="23">
        <f>IF(L40&lt;='Output (Salad)'!$C$4,(200-'Raw Data (Salad)'!L40),0)</f>
        <v>0</v>
      </c>
      <c r="H40" s="23">
        <v>3</v>
      </c>
      <c r="I40" s="23">
        <f>SUMPRODUCT(F40:H40,'Output (Salad)'!$B$5:$D$5)*E40</f>
        <v>0</v>
      </c>
      <c r="J40" s="89">
        <v>0</v>
      </c>
      <c r="K40" s="49">
        <f t="shared" si="0"/>
        <v>0</v>
      </c>
      <c r="L40" s="90">
        <v>21.99</v>
      </c>
      <c r="M40" s="23" t="s">
        <v>412</v>
      </c>
      <c r="N40" s="23" t="s">
        <v>490</v>
      </c>
      <c r="O40" s="23" t="s">
        <v>279</v>
      </c>
      <c r="P40" s="23" t="s">
        <v>335</v>
      </c>
      <c r="Q40" s="92">
        <v>13.9</v>
      </c>
      <c r="R40" s="23" t="s">
        <v>192</v>
      </c>
      <c r="S40" s="23" t="s">
        <v>340</v>
      </c>
      <c r="T40" s="23" t="s">
        <v>190</v>
      </c>
      <c r="U40" s="23">
        <f>VLOOKUP($C40,'Food Pairing Data'!$C$2:$S$188,5)</f>
        <v>0</v>
      </c>
      <c r="V40" s="23">
        <f>VLOOKUP($C40,'Food Pairing Data'!$C$2:$S$188,6)</f>
        <v>0</v>
      </c>
      <c r="W40" s="23">
        <f>VLOOKUP($C40,'Food Pairing Data'!$C$2:$S$188,7)</f>
        <v>1</v>
      </c>
      <c r="X40" s="23">
        <f>VLOOKUP($C40,'Food Pairing Data'!$C$2:$S$188,8)</f>
        <v>0</v>
      </c>
      <c r="Y40" s="23">
        <f>VLOOKUP($C40,'Food Pairing Data'!$C$2:$S$188,9)</f>
        <v>0</v>
      </c>
      <c r="Z40" s="23">
        <f>VLOOKUP($C40,'Food Pairing Data'!$C$2:$S$188,10)</f>
        <v>0</v>
      </c>
      <c r="AA40" s="23">
        <f>VLOOKUP($C40,'Food Pairing Data'!$C$2:$S$188,11)</f>
        <v>0</v>
      </c>
      <c r="AB40" s="23">
        <f>VLOOKUP($C40,'Food Pairing Data'!$C$2:$S$188,12)</f>
        <v>0</v>
      </c>
      <c r="AC40" s="23">
        <f>VLOOKUP($C40,'Food Pairing Data'!$C$2:$S$188,13)</f>
        <v>0</v>
      </c>
      <c r="AD40" s="131">
        <f>VLOOKUP($C40,'Food Pairing Data'!$C$2:$S$188,14)</f>
        <v>0</v>
      </c>
      <c r="AE40" s="23">
        <f>VLOOKUP($C40,'Food Pairing Data'!$C$2:$S$188,15)</f>
        <v>0</v>
      </c>
      <c r="AF40" s="23">
        <f>VLOOKUP($C40,'Food Pairing Data'!$C$2:$S$188,16)</f>
        <v>0</v>
      </c>
      <c r="AG40" s="44">
        <f>VLOOKUP($C40,'Food Pairing Data'!$C$2:$S$188,17)</f>
        <v>0</v>
      </c>
      <c r="AH40" s="23" t="s">
        <v>488</v>
      </c>
      <c r="AI40" s="51" t="s">
        <v>163</v>
      </c>
    </row>
    <row r="41" spans="1:35" ht="14" hidden="1">
      <c r="A41" s="111">
        <f t="shared" si="1"/>
        <v>40</v>
      </c>
      <c r="B41" s="23" t="s">
        <v>23</v>
      </c>
      <c r="C41" s="23" t="s">
        <v>495</v>
      </c>
      <c r="D41" s="23" t="s">
        <v>163</v>
      </c>
      <c r="E41" s="22">
        <f>HLOOKUP('Output (Salad)'!$F$4,'Raw Data (Salad)'!$U$1:$BP$87,(A41+1),)</f>
        <v>0</v>
      </c>
      <c r="F41" s="23">
        <f>IF(D41='Output (Salad)'!$B$4,1,0)</f>
        <v>1</v>
      </c>
      <c r="G41" s="23">
        <f>IF(L41&lt;='Output (Salad)'!$C$4,(200-'Raw Data (Salad)'!L41),0)</f>
        <v>184.01</v>
      </c>
      <c r="H41" s="23">
        <v>3</v>
      </c>
      <c r="I41" s="23">
        <f>SUMPRODUCT(F41:H41,'Output (Salad)'!$B$5:$D$5)*E41</f>
        <v>0</v>
      </c>
      <c r="J41" s="89">
        <v>0</v>
      </c>
      <c r="K41" s="49">
        <f t="shared" si="0"/>
        <v>0</v>
      </c>
      <c r="L41" s="90">
        <v>15.99</v>
      </c>
      <c r="M41" s="23" t="s">
        <v>339</v>
      </c>
      <c r="N41" s="23" t="s">
        <v>322</v>
      </c>
      <c r="O41" s="23" t="s">
        <v>343</v>
      </c>
      <c r="P41" s="23" t="s">
        <v>344</v>
      </c>
      <c r="Q41" s="92">
        <v>13</v>
      </c>
      <c r="R41" s="23" t="s">
        <v>318</v>
      </c>
      <c r="S41" s="23" t="s">
        <v>199</v>
      </c>
      <c r="T41" s="23" t="s">
        <v>347</v>
      </c>
      <c r="U41" s="23">
        <f>VLOOKUP($C41,'Food Pairing Data'!$C$2:$S$188,5)</f>
        <v>0</v>
      </c>
      <c r="V41" s="23">
        <f>VLOOKUP($C41,'Food Pairing Data'!$C$2:$S$188,6)</f>
        <v>0</v>
      </c>
      <c r="W41" s="23">
        <f>VLOOKUP($C41,'Food Pairing Data'!$C$2:$S$188,7)</f>
        <v>1</v>
      </c>
      <c r="X41" s="23">
        <f>VLOOKUP($C41,'Food Pairing Data'!$C$2:$S$188,8)</f>
        <v>0</v>
      </c>
      <c r="Y41" s="23">
        <f>VLOOKUP($C41,'Food Pairing Data'!$C$2:$S$188,9)</f>
        <v>0</v>
      </c>
      <c r="Z41" s="23">
        <f>VLOOKUP($C41,'Food Pairing Data'!$C$2:$S$188,10)</f>
        <v>0</v>
      </c>
      <c r="AA41" s="23">
        <f>VLOOKUP($C41,'Food Pairing Data'!$C$2:$S$188,11)</f>
        <v>0</v>
      </c>
      <c r="AB41" s="23">
        <f>VLOOKUP($C41,'Food Pairing Data'!$C$2:$S$188,12)</f>
        <v>0</v>
      </c>
      <c r="AC41" s="23">
        <f>VLOOKUP($C41,'Food Pairing Data'!$C$2:$S$188,13)</f>
        <v>0</v>
      </c>
      <c r="AD41" s="131">
        <f>VLOOKUP($C41,'Food Pairing Data'!$C$2:$S$188,14)</f>
        <v>0</v>
      </c>
      <c r="AE41" s="23">
        <f>VLOOKUP($C41,'Food Pairing Data'!$C$2:$S$188,15)</f>
        <v>0</v>
      </c>
      <c r="AF41" s="23">
        <f>VLOOKUP($C41,'Food Pairing Data'!$C$2:$S$188,16)</f>
        <v>0</v>
      </c>
      <c r="AG41" s="44">
        <f>VLOOKUP($C41,'Food Pairing Data'!$C$2:$S$188,17)</f>
        <v>0</v>
      </c>
      <c r="AH41" s="23" t="s">
        <v>495</v>
      </c>
      <c r="AI41" s="51" t="s">
        <v>163</v>
      </c>
    </row>
    <row r="42" spans="1:35" ht="14" hidden="1">
      <c r="A42" s="111">
        <f t="shared" si="1"/>
        <v>41</v>
      </c>
      <c r="B42" s="23" t="s">
        <v>23</v>
      </c>
      <c r="C42" s="23" t="s">
        <v>348</v>
      </c>
      <c r="D42" s="23" t="s">
        <v>163</v>
      </c>
      <c r="E42" s="22">
        <f>HLOOKUP('Output (Salad)'!$F$4,'Raw Data (Salad)'!$U$1:$BP$87,(A42+1),)</f>
        <v>0</v>
      </c>
      <c r="F42" s="23">
        <f>IF(D42='Output (Salad)'!$B$4,1,0)</f>
        <v>1</v>
      </c>
      <c r="G42" s="23">
        <f>IF(L42&lt;='Output (Salad)'!$C$4,(200-'Raw Data (Salad)'!L42),0)</f>
        <v>186.01</v>
      </c>
      <c r="H42" s="23">
        <v>3</v>
      </c>
      <c r="I42" s="23">
        <f>SUMPRODUCT(F42:H42,'Output (Salad)'!$B$5:$D$5)*E42</f>
        <v>0</v>
      </c>
      <c r="J42" s="89">
        <v>0</v>
      </c>
      <c r="K42" s="49">
        <f t="shared" si="0"/>
        <v>0</v>
      </c>
      <c r="L42" s="90">
        <v>13.99</v>
      </c>
      <c r="M42" s="23" t="s">
        <v>349</v>
      </c>
      <c r="N42" s="23" t="s">
        <v>350</v>
      </c>
      <c r="O42" s="23" t="s">
        <v>266</v>
      </c>
      <c r="P42" s="23" t="s">
        <v>344</v>
      </c>
      <c r="Q42" s="92">
        <v>13.5</v>
      </c>
      <c r="R42" s="23" t="s">
        <v>190</v>
      </c>
      <c r="S42" s="23" t="s">
        <v>353</v>
      </c>
      <c r="T42" s="23" t="s">
        <v>354</v>
      </c>
      <c r="U42" s="23">
        <f>VLOOKUP($C42,'Food Pairing Data'!$C$2:$S$188,5)</f>
        <v>0</v>
      </c>
      <c r="V42" s="23">
        <f>VLOOKUP($C42,'Food Pairing Data'!$C$2:$S$188,6)</f>
        <v>0</v>
      </c>
      <c r="W42" s="23">
        <f>VLOOKUP($C42,'Food Pairing Data'!$C$2:$S$188,7)</f>
        <v>0</v>
      </c>
      <c r="X42" s="23">
        <f>VLOOKUP($C42,'Food Pairing Data'!$C$2:$S$188,8)</f>
        <v>1</v>
      </c>
      <c r="Y42" s="23">
        <f>VLOOKUP($C42,'Food Pairing Data'!$C$2:$S$188,9)</f>
        <v>0</v>
      </c>
      <c r="Z42" s="23">
        <f>VLOOKUP($C42,'Food Pairing Data'!$C$2:$S$188,10)</f>
        <v>1</v>
      </c>
      <c r="AA42" s="23">
        <f>VLOOKUP($C42,'Food Pairing Data'!$C$2:$S$188,11)</f>
        <v>0</v>
      </c>
      <c r="AB42" s="23">
        <f>VLOOKUP($C42,'Food Pairing Data'!$C$2:$S$188,12)</f>
        <v>0</v>
      </c>
      <c r="AC42" s="23">
        <f>VLOOKUP($C42,'Food Pairing Data'!$C$2:$S$188,13)</f>
        <v>0</v>
      </c>
      <c r="AD42" s="131">
        <f>VLOOKUP($C42,'Food Pairing Data'!$C$2:$S$188,14)</f>
        <v>0</v>
      </c>
      <c r="AE42" s="23">
        <f>VLOOKUP($C42,'Food Pairing Data'!$C$2:$S$188,15)</f>
        <v>0</v>
      </c>
      <c r="AF42" s="23">
        <f>VLOOKUP($C42,'Food Pairing Data'!$C$2:$S$188,16)</f>
        <v>0</v>
      </c>
      <c r="AG42" s="44">
        <f>VLOOKUP($C42,'Food Pairing Data'!$C$2:$S$188,17)</f>
        <v>0</v>
      </c>
      <c r="AH42" s="23" t="s">
        <v>348</v>
      </c>
      <c r="AI42" s="51" t="s">
        <v>163</v>
      </c>
    </row>
    <row r="43" spans="1:35" ht="14" hidden="1">
      <c r="A43" s="111">
        <f t="shared" si="1"/>
        <v>42</v>
      </c>
      <c r="B43" s="23" t="s">
        <v>245</v>
      </c>
      <c r="C43" s="23" t="s">
        <v>355</v>
      </c>
      <c r="D43" s="23" t="s">
        <v>163</v>
      </c>
      <c r="E43" s="22">
        <f>HLOOKUP('Output (Salad)'!$F$4,'Raw Data (Salad)'!$U$1:$BP$87,(A43+1),)</f>
        <v>0</v>
      </c>
      <c r="F43" s="23">
        <f>IF(D43='Output (Salad)'!$B$4,1,0)</f>
        <v>1</v>
      </c>
      <c r="G43" s="23">
        <f>IF(L43&lt;='Output (Salad)'!$C$4,(200-'Raw Data (Salad)'!L43),0)</f>
        <v>192.01</v>
      </c>
      <c r="H43" s="23">
        <v>3</v>
      </c>
      <c r="I43" s="23">
        <f>SUMPRODUCT(F43:H43,'Output (Salad)'!$B$5:$D$5)*E43</f>
        <v>0</v>
      </c>
      <c r="J43" s="89">
        <v>0</v>
      </c>
      <c r="K43" s="49">
        <f t="shared" si="0"/>
        <v>0</v>
      </c>
      <c r="L43" s="90">
        <v>7.99</v>
      </c>
      <c r="M43" s="23" t="s">
        <v>339</v>
      </c>
      <c r="N43" s="23" t="s">
        <v>356</v>
      </c>
      <c r="O43" s="23" t="s">
        <v>282</v>
      </c>
      <c r="P43" s="23" t="s">
        <v>358</v>
      </c>
      <c r="Q43" s="92">
        <v>12</v>
      </c>
      <c r="R43" s="23" t="s">
        <v>359</v>
      </c>
      <c r="S43" s="23" t="s">
        <v>353</v>
      </c>
      <c r="T43" s="23" t="s">
        <v>190</v>
      </c>
      <c r="U43" s="23">
        <f>VLOOKUP($C43,'Food Pairing Data'!$C$2:$S$188,5)</f>
        <v>0</v>
      </c>
      <c r="V43" s="23">
        <f>VLOOKUP($C43,'Food Pairing Data'!$C$2:$S$188,6)</f>
        <v>0</v>
      </c>
      <c r="W43" s="23">
        <f>VLOOKUP($C43,'Food Pairing Data'!$C$2:$S$188,7)</f>
        <v>1</v>
      </c>
      <c r="X43" s="23">
        <f>VLOOKUP($C43,'Food Pairing Data'!$C$2:$S$188,8)</f>
        <v>1</v>
      </c>
      <c r="Y43" s="23">
        <f>VLOOKUP($C43,'Food Pairing Data'!$C$2:$S$188,9)</f>
        <v>0</v>
      </c>
      <c r="Z43" s="23">
        <f>VLOOKUP($C43,'Food Pairing Data'!$C$2:$S$188,10)</f>
        <v>0</v>
      </c>
      <c r="AA43" s="23">
        <f>VLOOKUP($C43,'Food Pairing Data'!$C$2:$S$188,11)</f>
        <v>0</v>
      </c>
      <c r="AB43" s="23">
        <f>VLOOKUP($C43,'Food Pairing Data'!$C$2:$S$188,12)</f>
        <v>0</v>
      </c>
      <c r="AC43" s="23">
        <f>VLOOKUP($C43,'Food Pairing Data'!$C$2:$S$188,13)</f>
        <v>0</v>
      </c>
      <c r="AD43" s="131">
        <f>VLOOKUP($C43,'Food Pairing Data'!$C$2:$S$188,14)</f>
        <v>0</v>
      </c>
      <c r="AE43" s="23">
        <f>VLOOKUP($C43,'Food Pairing Data'!$C$2:$S$188,15)</f>
        <v>0</v>
      </c>
      <c r="AF43" s="23">
        <f>VLOOKUP($C43,'Food Pairing Data'!$C$2:$S$188,16)</f>
        <v>0</v>
      </c>
      <c r="AG43" s="44">
        <f>VLOOKUP($C43,'Food Pairing Data'!$C$2:$S$188,17)</f>
        <v>0</v>
      </c>
      <c r="AH43" s="23" t="s">
        <v>355</v>
      </c>
      <c r="AI43" s="51" t="s">
        <v>163</v>
      </c>
    </row>
    <row r="44" spans="1:35" ht="14" hidden="1">
      <c r="A44" s="111">
        <f t="shared" si="1"/>
        <v>43</v>
      </c>
      <c r="B44" s="23" t="s">
        <v>245</v>
      </c>
      <c r="C44" s="23" t="s">
        <v>360</v>
      </c>
      <c r="D44" s="23" t="s">
        <v>163</v>
      </c>
      <c r="E44" s="22">
        <f>HLOOKUP('Output (Salad)'!$F$4,'Raw Data (Salad)'!$U$1:$BP$87,(A44+1),)</f>
        <v>1</v>
      </c>
      <c r="F44" s="23">
        <f>IF(D44='Output (Salad)'!$B$4,1,0)</f>
        <v>1</v>
      </c>
      <c r="G44" s="23">
        <f>IF(L44&lt;='Output (Salad)'!$C$4,(200-'Raw Data (Salad)'!L44),0)</f>
        <v>192.01</v>
      </c>
      <c r="H44" s="23">
        <v>3</v>
      </c>
      <c r="I44" s="23">
        <f>SUMPRODUCT(F44:H44,'Output (Salad)'!$B$5:$D$5)*E44</f>
        <v>154.00800000000001</v>
      </c>
      <c r="J44" s="89">
        <v>0</v>
      </c>
      <c r="K44" s="49">
        <f t="shared" si="0"/>
        <v>0</v>
      </c>
      <c r="L44" s="90">
        <v>7.99</v>
      </c>
      <c r="M44" s="23" t="s">
        <v>361</v>
      </c>
      <c r="N44" s="23" t="s">
        <v>362</v>
      </c>
      <c r="O44" s="23" t="s">
        <v>363</v>
      </c>
      <c r="P44" s="23" t="s">
        <v>344</v>
      </c>
      <c r="Q44" s="92">
        <v>13</v>
      </c>
      <c r="R44" s="23" t="s">
        <v>340</v>
      </c>
      <c r="S44" s="23" t="s">
        <v>193</v>
      </c>
      <c r="T44" s="23" t="s">
        <v>190</v>
      </c>
      <c r="U44" s="23">
        <f>VLOOKUP($C44,'Food Pairing Data'!$C$2:$S$188,5)</f>
        <v>0</v>
      </c>
      <c r="V44" s="23">
        <f>VLOOKUP($C44,'Food Pairing Data'!$C$2:$S$188,6)</f>
        <v>0</v>
      </c>
      <c r="W44" s="23">
        <f>VLOOKUP($C44,'Food Pairing Data'!$C$2:$S$188,7)</f>
        <v>0</v>
      </c>
      <c r="X44" s="23">
        <f>VLOOKUP($C44,'Food Pairing Data'!$C$2:$S$188,8)</f>
        <v>0</v>
      </c>
      <c r="Y44" s="23">
        <f>VLOOKUP($C44,'Food Pairing Data'!$C$2:$S$188,9)</f>
        <v>0</v>
      </c>
      <c r="Z44" s="23">
        <f>VLOOKUP($C44,'Food Pairing Data'!$C$2:$S$188,10)</f>
        <v>0</v>
      </c>
      <c r="AA44" s="23">
        <f>VLOOKUP($C44,'Food Pairing Data'!$C$2:$S$188,11)</f>
        <v>0</v>
      </c>
      <c r="AB44" s="23">
        <f>VLOOKUP($C44,'Food Pairing Data'!$C$2:$S$188,12)</f>
        <v>0</v>
      </c>
      <c r="AC44" s="23">
        <f>VLOOKUP($C44,'Food Pairing Data'!$C$2:$S$188,13)</f>
        <v>0</v>
      </c>
      <c r="AD44" s="131">
        <f>VLOOKUP($C44,'Food Pairing Data'!$C$2:$S$188,14)</f>
        <v>1</v>
      </c>
      <c r="AE44" s="23">
        <f>VLOOKUP($C44,'Food Pairing Data'!$C$2:$S$188,15)</f>
        <v>0</v>
      </c>
      <c r="AF44" s="23">
        <f>VLOOKUP($C44,'Food Pairing Data'!$C$2:$S$188,16)</f>
        <v>0</v>
      </c>
      <c r="AG44" s="44">
        <f>VLOOKUP($C44,'Food Pairing Data'!$C$2:$S$188,17)</f>
        <v>0</v>
      </c>
      <c r="AH44" s="23" t="s">
        <v>360</v>
      </c>
      <c r="AI44" s="51" t="s">
        <v>163</v>
      </c>
    </row>
    <row r="45" spans="1:35" ht="14" hidden="1">
      <c r="A45" s="111">
        <f t="shared" si="1"/>
        <v>44</v>
      </c>
      <c r="B45" s="23" t="s">
        <v>245</v>
      </c>
      <c r="C45" s="23" t="s">
        <v>368</v>
      </c>
      <c r="D45" s="23" t="s">
        <v>163</v>
      </c>
      <c r="E45" s="22">
        <f>HLOOKUP('Output (Salad)'!$F$4,'Raw Data (Salad)'!$U$1:$BP$87,(A45+1),)</f>
        <v>1</v>
      </c>
      <c r="F45" s="23">
        <f>IF(D45='Output (Salad)'!$B$4,1,0)</f>
        <v>1</v>
      </c>
      <c r="G45" s="23">
        <f>IF(L45&lt;='Output (Salad)'!$C$4,(200-'Raw Data (Salad)'!L45),0)</f>
        <v>192.01</v>
      </c>
      <c r="H45" s="23">
        <v>3</v>
      </c>
      <c r="I45" s="23">
        <f>SUMPRODUCT(F45:H45,'Output (Salad)'!$B$5:$D$5)*E45</f>
        <v>154.00800000000001</v>
      </c>
      <c r="J45" s="89">
        <v>0</v>
      </c>
      <c r="K45" s="49">
        <f t="shared" si="0"/>
        <v>0</v>
      </c>
      <c r="L45" s="90">
        <v>7.99</v>
      </c>
      <c r="M45" s="23" t="s">
        <v>264</v>
      </c>
      <c r="N45" s="23" t="s">
        <v>369</v>
      </c>
      <c r="O45" s="23" t="s">
        <v>266</v>
      </c>
      <c r="P45" s="23" t="s">
        <v>371</v>
      </c>
      <c r="Q45" s="92">
        <v>13.5</v>
      </c>
      <c r="R45" s="23" t="s">
        <v>195</v>
      </c>
      <c r="S45" s="23" t="s">
        <v>193</v>
      </c>
      <c r="T45" s="23" t="s">
        <v>190</v>
      </c>
      <c r="U45" s="23">
        <f>VLOOKUP($C45,'Food Pairing Data'!$C$2:$S$188,5)</f>
        <v>0</v>
      </c>
      <c r="V45" s="23">
        <f>VLOOKUP($C45,'Food Pairing Data'!$C$2:$S$188,6)</f>
        <v>0</v>
      </c>
      <c r="W45" s="23">
        <f>VLOOKUP($C45,'Food Pairing Data'!$C$2:$S$188,7)</f>
        <v>0</v>
      </c>
      <c r="X45" s="23">
        <f>VLOOKUP($C45,'Food Pairing Data'!$C$2:$S$188,8)</f>
        <v>0</v>
      </c>
      <c r="Y45" s="23">
        <f>VLOOKUP($C45,'Food Pairing Data'!$C$2:$S$188,9)</f>
        <v>0</v>
      </c>
      <c r="Z45" s="23">
        <f>VLOOKUP($C45,'Food Pairing Data'!$C$2:$S$188,10)</f>
        <v>0</v>
      </c>
      <c r="AA45" s="23">
        <f>VLOOKUP($C45,'Food Pairing Data'!$C$2:$S$188,11)</f>
        <v>0</v>
      </c>
      <c r="AB45" s="23">
        <f>VLOOKUP($C45,'Food Pairing Data'!$C$2:$S$188,12)</f>
        <v>0</v>
      </c>
      <c r="AC45" s="23">
        <f>VLOOKUP($C45,'Food Pairing Data'!$C$2:$S$188,13)</f>
        <v>0</v>
      </c>
      <c r="AD45" s="131">
        <f>VLOOKUP($C45,'Food Pairing Data'!$C$2:$S$188,14)</f>
        <v>1</v>
      </c>
      <c r="AE45" s="23">
        <f>VLOOKUP($C45,'Food Pairing Data'!$C$2:$S$188,15)</f>
        <v>0</v>
      </c>
      <c r="AF45" s="23">
        <f>VLOOKUP($C45,'Food Pairing Data'!$C$2:$S$188,16)</f>
        <v>0</v>
      </c>
      <c r="AG45" s="44">
        <f>VLOOKUP($C45,'Food Pairing Data'!$C$2:$S$188,17)</f>
        <v>0</v>
      </c>
      <c r="AH45" s="23" t="s">
        <v>368</v>
      </c>
      <c r="AI45" s="51" t="s">
        <v>163</v>
      </c>
    </row>
    <row r="46" spans="1:35" ht="14" hidden="1">
      <c r="A46" s="111">
        <f t="shared" si="1"/>
        <v>45</v>
      </c>
      <c r="B46" s="23" t="s">
        <v>181</v>
      </c>
      <c r="C46" s="23" t="s">
        <v>372</v>
      </c>
      <c r="D46" s="23" t="s">
        <v>163</v>
      </c>
      <c r="E46" s="22">
        <f>HLOOKUP('Output (Salad)'!$F$4,'Raw Data (Salad)'!$U$1:$BP$87,(A46+1),)</f>
        <v>1</v>
      </c>
      <c r="F46" s="23">
        <f>IF(D46='Output (Salad)'!$B$4,1,0)</f>
        <v>1</v>
      </c>
      <c r="G46" s="23">
        <f>IF(L46&lt;='Output (Salad)'!$C$4,(200-'Raw Data (Salad)'!L46),0)</f>
        <v>0</v>
      </c>
      <c r="H46" s="23">
        <v>2.5</v>
      </c>
      <c r="I46" s="23">
        <f>SUMPRODUCT(F46:H46,'Output (Salad)'!$B$5:$D$5)*E46</f>
        <v>0.35</v>
      </c>
      <c r="J46" s="89">
        <v>0</v>
      </c>
      <c r="K46" s="49">
        <f t="shared" si="0"/>
        <v>0</v>
      </c>
      <c r="L46" s="90">
        <v>31.99</v>
      </c>
      <c r="M46" s="23" t="s">
        <v>339</v>
      </c>
      <c r="N46" s="23" t="s">
        <v>373</v>
      </c>
      <c r="O46" s="23" t="s">
        <v>374</v>
      </c>
      <c r="P46" s="23" t="s">
        <v>358</v>
      </c>
      <c r="Q46" s="92">
        <v>14</v>
      </c>
      <c r="R46" s="23" t="s">
        <v>359</v>
      </c>
      <c r="S46" s="23" t="s">
        <v>353</v>
      </c>
      <c r="T46" s="23" t="s">
        <v>354</v>
      </c>
      <c r="U46" s="23">
        <f>VLOOKUP($C46,'Food Pairing Data'!$C$2:$S$188,5)</f>
        <v>0</v>
      </c>
      <c r="V46" s="23">
        <f>VLOOKUP($C46,'Food Pairing Data'!$C$2:$S$188,6)</f>
        <v>0</v>
      </c>
      <c r="W46" s="23">
        <f>VLOOKUP($C46,'Food Pairing Data'!$C$2:$S$188,7)</f>
        <v>0</v>
      </c>
      <c r="X46" s="23">
        <f>VLOOKUP($C46,'Food Pairing Data'!$C$2:$S$188,8)</f>
        <v>0</v>
      </c>
      <c r="Y46" s="23">
        <f>VLOOKUP($C46,'Food Pairing Data'!$C$2:$S$188,9)</f>
        <v>0</v>
      </c>
      <c r="Z46" s="23">
        <f>VLOOKUP($C46,'Food Pairing Data'!$C$2:$S$188,10)</f>
        <v>0</v>
      </c>
      <c r="AA46" s="23">
        <f>VLOOKUP($C46,'Food Pairing Data'!$C$2:$S$188,11)</f>
        <v>0</v>
      </c>
      <c r="AB46" s="23">
        <f>VLOOKUP($C46,'Food Pairing Data'!$C$2:$S$188,12)</f>
        <v>0</v>
      </c>
      <c r="AC46" s="23">
        <f>VLOOKUP($C46,'Food Pairing Data'!$C$2:$S$188,13)</f>
        <v>0</v>
      </c>
      <c r="AD46" s="131">
        <f>VLOOKUP($C46,'Food Pairing Data'!$C$2:$S$188,14)</f>
        <v>1</v>
      </c>
      <c r="AE46" s="23">
        <f>VLOOKUP($C46,'Food Pairing Data'!$C$2:$S$188,15)</f>
        <v>0</v>
      </c>
      <c r="AF46" s="23">
        <f>VLOOKUP($C46,'Food Pairing Data'!$C$2:$S$188,16)</f>
        <v>0</v>
      </c>
      <c r="AG46" s="44">
        <f>VLOOKUP($C46,'Food Pairing Data'!$C$2:$S$188,17)</f>
        <v>0</v>
      </c>
      <c r="AH46" s="23" t="s">
        <v>372</v>
      </c>
      <c r="AI46" s="51" t="s">
        <v>163</v>
      </c>
    </row>
    <row r="47" spans="1:35" ht="14">
      <c r="A47" s="111">
        <f t="shared" si="1"/>
        <v>46</v>
      </c>
      <c r="B47" s="23" t="s">
        <v>181</v>
      </c>
      <c r="C47" s="23" t="s">
        <v>379</v>
      </c>
      <c r="D47" s="23" t="s">
        <v>380</v>
      </c>
      <c r="E47" s="22">
        <f>HLOOKUP('Output (Salad)'!$F$4,'Raw Data (Salad)'!$U$1:$BP$87,(A47+1),)</f>
        <v>1</v>
      </c>
      <c r="F47" s="23">
        <f>IF(D47='Output (Salad)'!$B$4,1,0)</f>
        <v>0</v>
      </c>
      <c r="G47" s="23">
        <f>IF(L47&lt;='Output (Salad)'!$C$4,(200-'Raw Data (Salad)'!L47),0)</f>
        <v>0</v>
      </c>
      <c r="H47" s="23">
        <v>5</v>
      </c>
      <c r="I47" s="23">
        <f>SUMPRODUCT(F47:H47,'Output (Salad)'!$B$5:$D$5)*E47</f>
        <v>0.5</v>
      </c>
      <c r="J47" s="89">
        <v>0</v>
      </c>
      <c r="K47" s="49">
        <f t="shared" si="0"/>
        <v>0</v>
      </c>
      <c r="L47" s="90">
        <v>29.99</v>
      </c>
      <c r="M47" s="23" t="s">
        <v>361</v>
      </c>
      <c r="N47" s="23" t="s">
        <v>381</v>
      </c>
      <c r="O47" s="23" t="s">
        <v>382</v>
      </c>
      <c r="P47" s="23" t="s">
        <v>383</v>
      </c>
      <c r="Q47" s="92">
        <v>13</v>
      </c>
      <c r="R47" s="23" t="s">
        <v>190</v>
      </c>
      <c r="S47" s="23" t="s">
        <v>384</v>
      </c>
      <c r="T47" s="23" t="s">
        <v>354</v>
      </c>
      <c r="U47" s="23">
        <f>VLOOKUP($C47,'Food Pairing Data'!$C$2:$S$188,5)</f>
        <v>0</v>
      </c>
      <c r="V47" s="23">
        <f>VLOOKUP($C47,'Food Pairing Data'!$C$2:$S$188,6)</f>
        <v>0</v>
      </c>
      <c r="W47" s="23">
        <f>VLOOKUP($C47,'Food Pairing Data'!$C$2:$S$188,7)</f>
        <v>0</v>
      </c>
      <c r="X47" s="23">
        <f>VLOOKUP($C47,'Food Pairing Data'!$C$2:$S$188,8)</f>
        <v>0</v>
      </c>
      <c r="Y47" s="23">
        <f>VLOOKUP($C47,'Food Pairing Data'!$C$2:$S$188,9)</f>
        <v>0</v>
      </c>
      <c r="Z47" s="23">
        <f>VLOOKUP($C47,'Food Pairing Data'!$C$2:$S$188,10)</f>
        <v>0</v>
      </c>
      <c r="AA47" s="23">
        <f>VLOOKUP($C47,'Food Pairing Data'!$C$2:$S$188,11)</f>
        <v>0</v>
      </c>
      <c r="AB47" s="23">
        <f>VLOOKUP($C47,'Food Pairing Data'!$C$2:$S$188,12)</f>
        <v>0</v>
      </c>
      <c r="AC47" s="23">
        <f>VLOOKUP($C47,'Food Pairing Data'!$C$2:$S$188,13)</f>
        <v>0</v>
      </c>
      <c r="AD47" s="131">
        <f>VLOOKUP($C47,'Food Pairing Data'!$C$2:$S$188,14)</f>
        <v>1</v>
      </c>
      <c r="AE47" s="23">
        <f>VLOOKUP($C47,'Food Pairing Data'!$C$2:$S$188,15)</f>
        <v>0</v>
      </c>
      <c r="AF47" s="23">
        <f>VLOOKUP($C47,'Food Pairing Data'!$C$2:$S$188,16)</f>
        <v>0</v>
      </c>
      <c r="AG47" s="44">
        <f>VLOOKUP($C47,'Food Pairing Data'!$C$2:$S$188,17)</f>
        <v>0</v>
      </c>
      <c r="AH47" s="23" t="s">
        <v>379</v>
      </c>
      <c r="AI47" s="51" t="s">
        <v>380</v>
      </c>
    </row>
    <row r="48" spans="1:35" ht="14">
      <c r="A48" s="111">
        <f t="shared" si="1"/>
        <v>47</v>
      </c>
      <c r="B48" s="23" t="s">
        <v>23</v>
      </c>
      <c r="C48" s="23" t="s">
        <v>385</v>
      </c>
      <c r="D48" s="23" t="s">
        <v>380</v>
      </c>
      <c r="E48" s="22">
        <f>HLOOKUP('Output (Salad)'!$F$4,'Raw Data (Salad)'!$U$1:$BP$87,(A48+1),)</f>
        <v>1</v>
      </c>
      <c r="F48" s="23">
        <f>IF(D48='Output (Salad)'!$B$4,1,0)</f>
        <v>0</v>
      </c>
      <c r="G48" s="23">
        <f>IF(L48&lt;='Output (Salad)'!$C$4,(200-'Raw Data (Salad)'!L48),0)</f>
        <v>189.01</v>
      </c>
      <c r="H48" s="23">
        <v>5</v>
      </c>
      <c r="I48" s="23">
        <f>SUMPRODUCT(F48:H48,'Output (Salad)'!$B$5:$D$5)*E48</f>
        <v>151.708</v>
      </c>
      <c r="J48" s="89">
        <v>0</v>
      </c>
      <c r="K48" s="49">
        <f t="shared" si="0"/>
        <v>0</v>
      </c>
      <c r="L48" s="90">
        <v>10.99</v>
      </c>
      <c r="M48" s="23" t="s">
        <v>361</v>
      </c>
      <c r="N48" s="23" t="s">
        <v>430</v>
      </c>
      <c r="O48" s="23" t="s">
        <v>382</v>
      </c>
      <c r="P48" s="23" t="s">
        <v>431</v>
      </c>
      <c r="Q48" s="92">
        <v>13</v>
      </c>
      <c r="R48" s="23" t="s">
        <v>195</v>
      </c>
      <c r="S48" s="23" t="s">
        <v>190</v>
      </c>
      <c r="T48" s="23" t="s">
        <v>199</v>
      </c>
      <c r="U48" s="23">
        <f>VLOOKUP($C48,'Food Pairing Data'!$C$2:$S$188,5)</f>
        <v>0</v>
      </c>
      <c r="V48" s="23">
        <f>VLOOKUP($C48,'Food Pairing Data'!$C$2:$S$188,6)</f>
        <v>0</v>
      </c>
      <c r="W48" s="23">
        <f>VLOOKUP($C48,'Food Pairing Data'!$C$2:$S$188,7)</f>
        <v>0</v>
      </c>
      <c r="X48" s="23">
        <f>VLOOKUP($C48,'Food Pairing Data'!$C$2:$S$188,8)</f>
        <v>0</v>
      </c>
      <c r="Y48" s="23">
        <f>VLOOKUP($C48,'Food Pairing Data'!$C$2:$S$188,9)</f>
        <v>0</v>
      </c>
      <c r="Z48" s="23">
        <f>VLOOKUP($C48,'Food Pairing Data'!$C$2:$S$188,10)</f>
        <v>0</v>
      </c>
      <c r="AA48" s="23">
        <f>VLOOKUP($C48,'Food Pairing Data'!$C$2:$S$188,11)</f>
        <v>0</v>
      </c>
      <c r="AB48" s="23">
        <f>VLOOKUP($C48,'Food Pairing Data'!$C$2:$S$188,12)</f>
        <v>0</v>
      </c>
      <c r="AC48" s="23">
        <f>VLOOKUP($C48,'Food Pairing Data'!$C$2:$S$188,13)</f>
        <v>0</v>
      </c>
      <c r="AD48" s="131">
        <f>VLOOKUP($C48,'Food Pairing Data'!$C$2:$S$188,14)</f>
        <v>1</v>
      </c>
      <c r="AE48" s="23">
        <f>VLOOKUP($C48,'Food Pairing Data'!$C$2:$S$188,15)</f>
        <v>0</v>
      </c>
      <c r="AF48" s="23">
        <f>VLOOKUP($C48,'Food Pairing Data'!$C$2:$S$188,16)</f>
        <v>0</v>
      </c>
      <c r="AG48" s="44">
        <f>VLOOKUP($C48,'Food Pairing Data'!$C$2:$S$188,17)</f>
        <v>0</v>
      </c>
      <c r="AH48" s="23" t="s">
        <v>385</v>
      </c>
      <c r="AI48" s="51" t="s">
        <v>380</v>
      </c>
    </row>
    <row r="49" spans="1:35" ht="14">
      <c r="A49" s="111">
        <f t="shared" si="1"/>
        <v>48</v>
      </c>
      <c r="B49" s="23" t="s">
        <v>245</v>
      </c>
      <c r="C49" s="23" t="s">
        <v>432</v>
      </c>
      <c r="D49" s="23" t="s">
        <v>380</v>
      </c>
      <c r="E49" s="22">
        <f>HLOOKUP('Output (Salad)'!$F$4,'Raw Data (Salad)'!$U$1:$BP$87,(A49+1),)</f>
        <v>1</v>
      </c>
      <c r="F49" s="23">
        <f>IF(D49='Output (Salad)'!$B$4,1,0)</f>
        <v>0</v>
      </c>
      <c r="G49" s="23">
        <f>IF(L49&lt;='Output (Salad)'!$C$4,(200-'Raw Data (Salad)'!L49),0)</f>
        <v>191.01</v>
      </c>
      <c r="H49" s="23">
        <v>5</v>
      </c>
      <c r="I49" s="23">
        <f>SUMPRODUCT(F49:H49,'Output (Salad)'!$B$5:$D$5)*E49</f>
        <v>153.30799999999999</v>
      </c>
      <c r="J49" s="89">
        <v>0</v>
      </c>
      <c r="K49" s="49">
        <f t="shared" si="0"/>
        <v>0</v>
      </c>
      <c r="L49" s="90">
        <v>8.99</v>
      </c>
      <c r="M49" s="23" t="s">
        <v>197</v>
      </c>
      <c r="N49" s="23" t="s">
        <v>198</v>
      </c>
      <c r="O49" s="23" t="s">
        <v>433</v>
      </c>
      <c r="P49" s="23" t="s">
        <v>275</v>
      </c>
      <c r="Q49" s="92">
        <v>6</v>
      </c>
      <c r="R49" s="23" t="s">
        <v>435</v>
      </c>
      <c r="S49" s="23" t="s">
        <v>436</v>
      </c>
      <c r="T49" s="23" t="s">
        <v>192</v>
      </c>
      <c r="U49" s="23">
        <f>VLOOKUP($C49,'Food Pairing Data'!$C$2:$S$188,5)</f>
        <v>0</v>
      </c>
      <c r="V49" s="23">
        <f>VLOOKUP($C49,'Food Pairing Data'!$C$2:$S$188,6)</f>
        <v>0</v>
      </c>
      <c r="W49" s="23">
        <f>VLOOKUP($C49,'Food Pairing Data'!$C$2:$S$188,7)</f>
        <v>0</v>
      </c>
      <c r="X49" s="23">
        <f>VLOOKUP($C49,'Food Pairing Data'!$C$2:$S$188,8)</f>
        <v>0</v>
      </c>
      <c r="Y49" s="23">
        <f>VLOOKUP($C49,'Food Pairing Data'!$C$2:$S$188,9)</f>
        <v>0</v>
      </c>
      <c r="Z49" s="23">
        <f>VLOOKUP($C49,'Food Pairing Data'!$C$2:$S$188,10)</f>
        <v>0</v>
      </c>
      <c r="AA49" s="23">
        <f>VLOOKUP($C49,'Food Pairing Data'!$C$2:$S$188,11)</f>
        <v>0</v>
      </c>
      <c r="AB49" s="23">
        <f>VLOOKUP($C49,'Food Pairing Data'!$C$2:$S$188,12)</f>
        <v>0</v>
      </c>
      <c r="AC49" s="23">
        <f>VLOOKUP($C49,'Food Pairing Data'!$C$2:$S$188,13)</f>
        <v>0</v>
      </c>
      <c r="AD49" s="131">
        <f>VLOOKUP($C49,'Food Pairing Data'!$C$2:$S$188,14)</f>
        <v>1</v>
      </c>
      <c r="AE49" s="23">
        <f>VLOOKUP($C49,'Food Pairing Data'!$C$2:$S$188,15)</f>
        <v>0</v>
      </c>
      <c r="AF49" s="23">
        <f>VLOOKUP($C49,'Food Pairing Data'!$C$2:$S$188,16)</f>
        <v>0</v>
      </c>
      <c r="AG49" s="44">
        <f>VLOOKUP($C49,'Food Pairing Data'!$C$2:$S$188,17)</f>
        <v>0</v>
      </c>
      <c r="AH49" s="23" t="s">
        <v>432</v>
      </c>
      <c r="AI49" s="51" t="s">
        <v>380</v>
      </c>
    </row>
    <row r="50" spans="1:35" ht="14">
      <c r="A50" s="125">
        <f t="shared" si="1"/>
        <v>49</v>
      </c>
      <c r="B50" s="126" t="s">
        <v>245</v>
      </c>
      <c r="C50" s="126" t="s">
        <v>437</v>
      </c>
      <c r="D50" s="126" t="s">
        <v>380</v>
      </c>
      <c r="E50" s="127">
        <f>HLOOKUP('Output (Salad)'!$F$4,'Raw Data (Salad)'!$U$1:$BP$87,(A50+1),)</f>
        <v>1</v>
      </c>
      <c r="F50" s="126">
        <f>IF(D50='Output (Salad)'!$B$4,1,0)</f>
        <v>0</v>
      </c>
      <c r="G50" s="126">
        <f>IF(L50&lt;='Output (Salad)'!$C$4,(200-'Raw Data (Salad)'!L50),0)</f>
        <v>193.01</v>
      </c>
      <c r="H50" s="126">
        <v>5</v>
      </c>
      <c r="I50" s="126">
        <f>SUMPRODUCT(F50:H50,'Output (Salad)'!$B$5:$D$5)*E50</f>
        <v>154.90800000000002</v>
      </c>
      <c r="J50" s="128">
        <v>0.99999999999999989</v>
      </c>
      <c r="K50" s="49">
        <f t="shared" si="0"/>
        <v>0.99999999999999989</v>
      </c>
      <c r="L50" s="90">
        <v>6.99</v>
      </c>
      <c r="M50" s="23" t="s">
        <v>438</v>
      </c>
      <c r="N50" s="23" t="s">
        <v>439</v>
      </c>
      <c r="O50" s="23" t="s">
        <v>382</v>
      </c>
      <c r="P50" s="23" t="s">
        <v>440</v>
      </c>
      <c r="Q50" s="92">
        <v>13</v>
      </c>
      <c r="R50" s="23" t="s">
        <v>441</v>
      </c>
      <c r="S50" s="23" t="s">
        <v>442</v>
      </c>
      <c r="T50" s="23" t="s">
        <v>270</v>
      </c>
      <c r="U50" s="126">
        <f>VLOOKUP($C50,'Food Pairing Data'!$C$2:$S$188,5)</f>
        <v>0</v>
      </c>
      <c r="V50" s="126">
        <f>VLOOKUP($C50,'Food Pairing Data'!$C$2:$S$188,6)</f>
        <v>0</v>
      </c>
      <c r="W50" s="126">
        <f>VLOOKUP($C50,'Food Pairing Data'!$C$2:$S$188,7)</f>
        <v>0</v>
      </c>
      <c r="X50" s="126">
        <f>VLOOKUP($C50,'Food Pairing Data'!$C$2:$S$188,8)</f>
        <v>0</v>
      </c>
      <c r="Y50" s="126">
        <f>VLOOKUP($C50,'Food Pairing Data'!$C$2:$S$188,9)</f>
        <v>0</v>
      </c>
      <c r="Z50" s="126">
        <f>VLOOKUP($C50,'Food Pairing Data'!$C$2:$S$188,10)</f>
        <v>0</v>
      </c>
      <c r="AA50" s="126">
        <f>VLOOKUP($C50,'Food Pairing Data'!$C$2:$S$188,11)</f>
        <v>0</v>
      </c>
      <c r="AB50" s="126">
        <f>VLOOKUP($C50,'Food Pairing Data'!$C$2:$S$188,12)</f>
        <v>0</v>
      </c>
      <c r="AC50" s="126">
        <f>VLOOKUP($C50,'Food Pairing Data'!$C$2:$S$188,13)</f>
        <v>0</v>
      </c>
      <c r="AD50" s="133">
        <f>VLOOKUP($C50,'Food Pairing Data'!$C$2:$S$188,14)</f>
        <v>1</v>
      </c>
      <c r="AE50" s="126">
        <f>VLOOKUP($C50,'Food Pairing Data'!$C$2:$S$188,15)</f>
        <v>0</v>
      </c>
      <c r="AF50" s="126">
        <f>VLOOKUP($C50,'Food Pairing Data'!$C$2:$S$188,16)</f>
        <v>0</v>
      </c>
      <c r="AG50" s="129">
        <f>VLOOKUP($C50,'Food Pairing Data'!$C$2:$S$188,17)</f>
        <v>0</v>
      </c>
      <c r="AH50" s="23" t="s">
        <v>437</v>
      </c>
      <c r="AI50" s="51" t="s">
        <v>380</v>
      </c>
    </row>
    <row r="51" spans="1:35" ht="14">
      <c r="A51" s="111">
        <f t="shared" si="1"/>
        <v>50</v>
      </c>
      <c r="B51" s="23" t="s">
        <v>23</v>
      </c>
      <c r="C51" s="23" t="s">
        <v>444</v>
      </c>
      <c r="D51" s="23" t="s">
        <v>380</v>
      </c>
      <c r="E51" s="22">
        <f>HLOOKUP('Output (Salad)'!$F$4,'Raw Data (Salad)'!$U$1:$BP$87,(A51+1),)</f>
        <v>1</v>
      </c>
      <c r="F51" s="23">
        <f>IF(D51='Output (Salad)'!$B$4,1,0)</f>
        <v>0</v>
      </c>
      <c r="G51" s="23">
        <f>IF(L51&lt;='Output (Salad)'!$C$4,(200-'Raw Data (Salad)'!L51),0)</f>
        <v>180.01</v>
      </c>
      <c r="H51" s="23">
        <v>5</v>
      </c>
      <c r="I51" s="23">
        <f>SUMPRODUCT(F51:H51,'Output (Salad)'!$B$5:$D$5)*E51</f>
        <v>144.50800000000001</v>
      </c>
      <c r="J51" s="89">
        <v>0</v>
      </c>
      <c r="K51" s="49">
        <f t="shared" si="0"/>
        <v>0</v>
      </c>
      <c r="L51" s="90">
        <v>19.989999999999998</v>
      </c>
      <c r="M51" s="23" t="s">
        <v>256</v>
      </c>
      <c r="N51" s="23" t="s">
        <v>446</v>
      </c>
      <c r="O51" s="23" t="s">
        <v>447</v>
      </c>
      <c r="P51" s="23" t="s">
        <v>448</v>
      </c>
      <c r="Q51" s="92">
        <v>12.5</v>
      </c>
      <c r="R51" s="23" t="s">
        <v>411</v>
      </c>
      <c r="S51" s="23" t="s">
        <v>450</v>
      </c>
      <c r="T51" s="23" t="s">
        <v>199</v>
      </c>
      <c r="U51" s="23">
        <f>VLOOKUP($C51,'Food Pairing Data'!$C$2:$S$188,5)</f>
        <v>0</v>
      </c>
      <c r="V51" s="23">
        <f>VLOOKUP($C51,'Food Pairing Data'!$C$2:$S$188,6)</f>
        <v>0</v>
      </c>
      <c r="W51" s="23">
        <f>VLOOKUP($C51,'Food Pairing Data'!$C$2:$S$188,7)</f>
        <v>0</v>
      </c>
      <c r="X51" s="23">
        <f>VLOOKUP($C51,'Food Pairing Data'!$C$2:$S$188,8)</f>
        <v>0</v>
      </c>
      <c r="Y51" s="23">
        <f>VLOOKUP($C51,'Food Pairing Data'!$C$2:$S$188,9)</f>
        <v>0</v>
      </c>
      <c r="Z51" s="23">
        <f>VLOOKUP($C51,'Food Pairing Data'!$C$2:$S$188,10)</f>
        <v>0</v>
      </c>
      <c r="AA51" s="23">
        <f>VLOOKUP($C51,'Food Pairing Data'!$C$2:$S$188,11)</f>
        <v>0</v>
      </c>
      <c r="AB51" s="23">
        <f>VLOOKUP($C51,'Food Pairing Data'!$C$2:$S$188,12)</f>
        <v>0</v>
      </c>
      <c r="AC51" s="23">
        <f>VLOOKUP($C51,'Food Pairing Data'!$C$2:$S$188,13)</f>
        <v>0</v>
      </c>
      <c r="AD51" s="131">
        <f>VLOOKUP($C51,'Food Pairing Data'!$C$2:$S$188,14)</f>
        <v>1</v>
      </c>
      <c r="AE51" s="23">
        <f>VLOOKUP($C51,'Food Pairing Data'!$C$2:$S$188,15)</f>
        <v>0</v>
      </c>
      <c r="AF51" s="23">
        <f>VLOOKUP($C51,'Food Pairing Data'!$C$2:$S$188,16)</f>
        <v>0</v>
      </c>
      <c r="AG51" s="44">
        <f>VLOOKUP($C51,'Food Pairing Data'!$C$2:$S$188,17)</f>
        <v>0</v>
      </c>
      <c r="AH51" s="23" t="s">
        <v>444</v>
      </c>
      <c r="AI51" s="51" t="s">
        <v>380</v>
      </c>
    </row>
    <row r="52" spans="1:35" ht="14">
      <c r="A52" s="111">
        <f t="shared" si="1"/>
        <v>51</v>
      </c>
      <c r="B52" s="23" t="s">
        <v>23</v>
      </c>
      <c r="C52" s="23" t="s">
        <v>452</v>
      </c>
      <c r="D52" s="23" t="s">
        <v>380</v>
      </c>
      <c r="E52" s="22">
        <f>HLOOKUP('Output (Salad)'!$F$4,'Raw Data (Salad)'!$U$1:$BP$87,(A52+1),)</f>
        <v>1</v>
      </c>
      <c r="F52" s="23">
        <f>IF(D52='Output (Salad)'!$B$4,1,0)</f>
        <v>0</v>
      </c>
      <c r="G52" s="23">
        <f>IF(L52&lt;='Output (Salad)'!$C$4,(200-'Raw Data (Salad)'!L52),0)</f>
        <v>181.01</v>
      </c>
      <c r="H52" s="23">
        <v>5</v>
      </c>
      <c r="I52" s="23">
        <f>SUMPRODUCT(F52:H52,'Output (Salad)'!$B$5:$D$5)*E52</f>
        <v>145.30799999999999</v>
      </c>
      <c r="J52" s="89">
        <v>0</v>
      </c>
      <c r="K52" s="49">
        <f t="shared" si="0"/>
        <v>0</v>
      </c>
      <c r="L52" s="90">
        <v>18.989999999999998</v>
      </c>
      <c r="M52" s="23" t="s">
        <v>453</v>
      </c>
      <c r="N52" s="23" t="s">
        <v>454</v>
      </c>
      <c r="O52" s="23" t="s">
        <v>455</v>
      </c>
      <c r="P52" s="23" t="s">
        <v>401</v>
      </c>
      <c r="Q52" s="92">
        <v>12</v>
      </c>
      <c r="R52" s="23" t="s">
        <v>411</v>
      </c>
      <c r="S52" s="23" t="s">
        <v>450</v>
      </c>
      <c r="T52" s="23" t="s">
        <v>192</v>
      </c>
      <c r="U52" s="23">
        <f>VLOOKUP($C52,'Food Pairing Data'!$C$2:$S$188,5)</f>
        <v>0</v>
      </c>
      <c r="V52" s="23">
        <f>VLOOKUP($C52,'Food Pairing Data'!$C$2:$S$188,6)</f>
        <v>0</v>
      </c>
      <c r="W52" s="23">
        <f>VLOOKUP($C52,'Food Pairing Data'!$C$2:$S$188,7)</f>
        <v>0</v>
      </c>
      <c r="X52" s="23">
        <f>VLOOKUP($C52,'Food Pairing Data'!$C$2:$S$188,8)</f>
        <v>0</v>
      </c>
      <c r="Y52" s="23">
        <f>VLOOKUP($C52,'Food Pairing Data'!$C$2:$S$188,9)</f>
        <v>0</v>
      </c>
      <c r="Z52" s="23">
        <f>VLOOKUP($C52,'Food Pairing Data'!$C$2:$S$188,10)</f>
        <v>0</v>
      </c>
      <c r="AA52" s="23">
        <f>VLOOKUP($C52,'Food Pairing Data'!$C$2:$S$188,11)</f>
        <v>0</v>
      </c>
      <c r="AB52" s="23">
        <f>VLOOKUP($C52,'Food Pairing Data'!$C$2:$S$188,12)</f>
        <v>0</v>
      </c>
      <c r="AC52" s="23">
        <f>VLOOKUP($C52,'Food Pairing Data'!$C$2:$S$188,13)</f>
        <v>0</v>
      </c>
      <c r="AD52" s="131">
        <f>VLOOKUP($C52,'Food Pairing Data'!$C$2:$S$188,14)</f>
        <v>1</v>
      </c>
      <c r="AE52" s="23">
        <f>VLOOKUP($C52,'Food Pairing Data'!$C$2:$S$188,15)</f>
        <v>0</v>
      </c>
      <c r="AF52" s="23">
        <f>VLOOKUP($C52,'Food Pairing Data'!$C$2:$S$188,16)</f>
        <v>0</v>
      </c>
      <c r="AG52" s="44">
        <f>VLOOKUP($C52,'Food Pairing Data'!$C$2:$S$188,17)</f>
        <v>0</v>
      </c>
      <c r="AH52" s="23" t="s">
        <v>452</v>
      </c>
      <c r="AI52" s="51" t="s">
        <v>380</v>
      </c>
    </row>
    <row r="53" spans="1:35" ht="14" hidden="1">
      <c r="A53" s="111">
        <f t="shared" si="1"/>
        <v>52</v>
      </c>
      <c r="B53" s="23" t="s">
        <v>23</v>
      </c>
      <c r="C53" s="23" t="s">
        <v>459</v>
      </c>
      <c r="D53" s="23" t="s">
        <v>380</v>
      </c>
      <c r="E53" s="22">
        <f>HLOOKUP('Output (Salad)'!$F$4,'Raw Data (Salad)'!$U$1:$BP$87,(A53+1),)</f>
        <v>0</v>
      </c>
      <c r="F53" s="23">
        <f>IF(D53='Output (Salad)'!$B$4,1,0)</f>
        <v>0</v>
      </c>
      <c r="G53" s="23">
        <f>IF(L53&lt;='Output (Salad)'!$C$4,(200-'Raw Data (Salad)'!L53),0)</f>
        <v>183.01</v>
      </c>
      <c r="H53" s="23">
        <v>5</v>
      </c>
      <c r="I53" s="23">
        <f>SUMPRODUCT(F53:H53,'Output (Salad)'!$B$5:$D$5)*E53</f>
        <v>0</v>
      </c>
      <c r="J53" s="89">
        <v>0</v>
      </c>
      <c r="K53" s="49">
        <f t="shared" si="0"/>
        <v>0</v>
      </c>
      <c r="L53" s="90">
        <v>16.989999999999998</v>
      </c>
      <c r="M53" s="23" t="s">
        <v>361</v>
      </c>
      <c r="N53" s="23" t="s">
        <v>461</v>
      </c>
      <c r="O53" s="23" t="s">
        <v>462</v>
      </c>
      <c r="P53" s="23" t="s">
        <v>463</v>
      </c>
      <c r="Q53" s="92">
        <v>12.5</v>
      </c>
      <c r="R53" s="23" t="s">
        <v>464</v>
      </c>
      <c r="S53" s="23" t="s">
        <v>465</v>
      </c>
      <c r="T53" s="23" t="s">
        <v>359</v>
      </c>
      <c r="U53" s="23">
        <f>VLOOKUP($C53,'Food Pairing Data'!$C$2:$S$188,5)</f>
        <v>0</v>
      </c>
      <c r="V53" s="23">
        <f>VLOOKUP($C53,'Food Pairing Data'!$C$2:$S$188,6)</f>
        <v>0</v>
      </c>
      <c r="W53" s="23">
        <f>VLOOKUP($C53,'Food Pairing Data'!$C$2:$S$188,7)</f>
        <v>0</v>
      </c>
      <c r="X53" s="23">
        <f>VLOOKUP($C53,'Food Pairing Data'!$C$2:$S$188,8)</f>
        <v>1</v>
      </c>
      <c r="Y53" s="23">
        <f>VLOOKUP($C53,'Food Pairing Data'!$C$2:$S$188,9)</f>
        <v>0</v>
      </c>
      <c r="Z53" s="23">
        <f>VLOOKUP($C53,'Food Pairing Data'!$C$2:$S$188,10)</f>
        <v>1</v>
      </c>
      <c r="AA53" s="23">
        <f>VLOOKUP($C53,'Food Pairing Data'!$C$2:$S$188,11)</f>
        <v>0</v>
      </c>
      <c r="AB53" s="23">
        <f>VLOOKUP($C53,'Food Pairing Data'!$C$2:$S$188,12)</f>
        <v>0</v>
      </c>
      <c r="AC53" s="23">
        <f>VLOOKUP($C53,'Food Pairing Data'!$C$2:$S$188,13)</f>
        <v>0</v>
      </c>
      <c r="AD53" s="131">
        <f>VLOOKUP($C53,'Food Pairing Data'!$C$2:$S$188,14)</f>
        <v>0</v>
      </c>
      <c r="AE53" s="23">
        <f>VLOOKUP($C53,'Food Pairing Data'!$C$2:$S$188,15)</f>
        <v>0</v>
      </c>
      <c r="AF53" s="23">
        <f>VLOOKUP($C53,'Food Pairing Data'!$C$2:$S$188,16)</f>
        <v>0</v>
      </c>
      <c r="AG53" s="44">
        <f>VLOOKUP($C53,'Food Pairing Data'!$C$2:$S$188,17)</f>
        <v>0</v>
      </c>
      <c r="AH53" s="23" t="s">
        <v>459</v>
      </c>
      <c r="AI53" s="51" t="s">
        <v>380</v>
      </c>
    </row>
    <row r="54" spans="1:35" ht="14" hidden="1">
      <c r="A54" s="111">
        <f t="shared" si="1"/>
        <v>53</v>
      </c>
      <c r="B54" s="23" t="s">
        <v>245</v>
      </c>
      <c r="C54" s="23" t="s">
        <v>467</v>
      </c>
      <c r="D54" s="23" t="s">
        <v>380</v>
      </c>
      <c r="E54" s="22">
        <f>HLOOKUP('Output (Salad)'!$F$4,'Raw Data (Salad)'!$U$1:$BP$87,(A54+1),)</f>
        <v>1</v>
      </c>
      <c r="F54" s="23">
        <f>IF(D54='Output (Salad)'!$B$4,1,0)</f>
        <v>0</v>
      </c>
      <c r="G54" s="23">
        <f>IF(L54&lt;='Output (Salad)'!$C$4,(200-'Raw Data (Salad)'!L54),0)</f>
        <v>191.01</v>
      </c>
      <c r="H54" s="23">
        <v>4.5</v>
      </c>
      <c r="I54" s="23">
        <f>SUMPRODUCT(F54:H54,'Output (Salad)'!$B$5:$D$5)*E54</f>
        <v>153.25799999999998</v>
      </c>
      <c r="J54" s="89">
        <v>0</v>
      </c>
      <c r="K54" s="49">
        <f t="shared" si="0"/>
        <v>0</v>
      </c>
      <c r="L54" s="90">
        <v>8.99</v>
      </c>
      <c r="M54" s="23" t="s">
        <v>361</v>
      </c>
      <c r="N54" s="23" t="s">
        <v>468</v>
      </c>
      <c r="O54" s="23" t="s">
        <v>469</v>
      </c>
      <c r="P54" s="23" t="s">
        <v>470</v>
      </c>
      <c r="Q54" s="92">
        <v>13</v>
      </c>
      <c r="R54" s="23" t="s">
        <v>471</v>
      </c>
      <c r="S54" s="23" t="s">
        <v>472</v>
      </c>
      <c r="T54" s="23" t="s">
        <v>270</v>
      </c>
      <c r="U54" s="23">
        <f>VLOOKUP($C54,'Food Pairing Data'!$C$2:$S$188,5)</f>
        <v>0</v>
      </c>
      <c r="V54" s="23">
        <f>VLOOKUP($C54,'Food Pairing Data'!$C$2:$S$188,6)</f>
        <v>0</v>
      </c>
      <c r="W54" s="23">
        <f>VLOOKUP($C54,'Food Pairing Data'!$C$2:$S$188,7)</f>
        <v>0</v>
      </c>
      <c r="X54" s="23">
        <f>VLOOKUP($C54,'Food Pairing Data'!$C$2:$S$188,8)</f>
        <v>0</v>
      </c>
      <c r="Y54" s="23">
        <f>VLOOKUP($C54,'Food Pairing Data'!$C$2:$S$188,9)</f>
        <v>0</v>
      </c>
      <c r="Z54" s="23">
        <f>VLOOKUP($C54,'Food Pairing Data'!$C$2:$S$188,10)</f>
        <v>0</v>
      </c>
      <c r="AA54" s="23">
        <f>VLOOKUP($C54,'Food Pairing Data'!$C$2:$S$188,11)</f>
        <v>0</v>
      </c>
      <c r="AB54" s="23">
        <f>VLOOKUP($C54,'Food Pairing Data'!$C$2:$S$188,12)</f>
        <v>0</v>
      </c>
      <c r="AC54" s="23">
        <f>VLOOKUP($C54,'Food Pairing Data'!$C$2:$S$188,13)</f>
        <v>0</v>
      </c>
      <c r="AD54" s="131">
        <f>VLOOKUP($C54,'Food Pairing Data'!$C$2:$S$188,14)</f>
        <v>1</v>
      </c>
      <c r="AE54" s="23">
        <f>VLOOKUP($C54,'Food Pairing Data'!$C$2:$S$188,15)</f>
        <v>0</v>
      </c>
      <c r="AF54" s="23">
        <f>VLOOKUP($C54,'Food Pairing Data'!$C$2:$S$188,16)</f>
        <v>0</v>
      </c>
      <c r="AG54" s="44">
        <f>VLOOKUP($C54,'Food Pairing Data'!$C$2:$S$188,17)</f>
        <v>0</v>
      </c>
      <c r="AH54" s="23" t="s">
        <v>467</v>
      </c>
      <c r="AI54" s="51" t="s">
        <v>380</v>
      </c>
    </row>
    <row r="55" spans="1:35" ht="14" hidden="1">
      <c r="A55" s="111">
        <f t="shared" si="1"/>
        <v>54</v>
      </c>
      <c r="B55" s="23" t="s">
        <v>245</v>
      </c>
      <c r="C55" s="23" t="s">
        <v>474</v>
      </c>
      <c r="D55" s="23" t="s">
        <v>380</v>
      </c>
      <c r="E55" s="22">
        <f>HLOOKUP('Output (Salad)'!$F$4,'Raw Data (Salad)'!$U$1:$BP$87,(A55+1),)</f>
        <v>1</v>
      </c>
      <c r="F55" s="23">
        <f>IF(D55='Output (Salad)'!$B$4,1,0)</f>
        <v>0</v>
      </c>
      <c r="G55" s="23">
        <f>IF(L55&lt;='Output (Salad)'!$C$4,(200-'Raw Data (Salad)'!L55),0)</f>
        <v>191.01</v>
      </c>
      <c r="H55" s="23">
        <v>4.5</v>
      </c>
      <c r="I55" s="23">
        <f>SUMPRODUCT(F55:H55,'Output (Salad)'!$B$5:$D$5)*E55</f>
        <v>153.25799999999998</v>
      </c>
      <c r="J55" s="89">
        <v>0</v>
      </c>
      <c r="K55" s="49">
        <f t="shared" si="0"/>
        <v>0</v>
      </c>
      <c r="L55" s="90">
        <v>8.99</v>
      </c>
      <c r="M55" s="23" t="s">
        <v>438</v>
      </c>
      <c r="N55" s="23" t="s">
        <v>476</v>
      </c>
      <c r="O55" s="23" t="s">
        <v>477</v>
      </c>
      <c r="P55" s="23" t="s">
        <v>371</v>
      </c>
      <c r="Q55" s="92">
        <v>14</v>
      </c>
      <c r="R55" s="23" t="s">
        <v>464</v>
      </c>
      <c r="S55" s="23" t="s">
        <v>435</v>
      </c>
      <c r="T55" s="23" t="s">
        <v>270</v>
      </c>
      <c r="U55" s="23">
        <f>VLOOKUP($C55,'Food Pairing Data'!$C$2:$S$188,5)</f>
        <v>0</v>
      </c>
      <c r="V55" s="23">
        <f>VLOOKUP($C55,'Food Pairing Data'!$C$2:$S$188,6)</f>
        <v>0</v>
      </c>
      <c r="W55" s="23">
        <f>VLOOKUP($C55,'Food Pairing Data'!$C$2:$S$188,7)</f>
        <v>0</v>
      </c>
      <c r="X55" s="23">
        <f>VLOOKUP($C55,'Food Pairing Data'!$C$2:$S$188,8)</f>
        <v>0</v>
      </c>
      <c r="Y55" s="23">
        <f>VLOOKUP($C55,'Food Pairing Data'!$C$2:$S$188,9)</f>
        <v>0</v>
      </c>
      <c r="Z55" s="23">
        <f>VLOOKUP($C55,'Food Pairing Data'!$C$2:$S$188,10)</f>
        <v>0</v>
      </c>
      <c r="AA55" s="23">
        <f>VLOOKUP($C55,'Food Pairing Data'!$C$2:$S$188,11)</f>
        <v>0</v>
      </c>
      <c r="AB55" s="23">
        <f>VLOOKUP($C55,'Food Pairing Data'!$C$2:$S$188,12)</f>
        <v>0</v>
      </c>
      <c r="AC55" s="23">
        <f>VLOOKUP($C55,'Food Pairing Data'!$C$2:$S$188,13)</f>
        <v>0</v>
      </c>
      <c r="AD55" s="131">
        <f>VLOOKUP($C55,'Food Pairing Data'!$C$2:$S$188,14)</f>
        <v>1</v>
      </c>
      <c r="AE55" s="23">
        <f>VLOOKUP($C55,'Food Pairing Data'!$C$2:$S$188,15)</f>
        <v>0</v>
      </c>
      <c r="AF55" s="23">
        <f>VLOOKUP($C55,'Food Pairing Data'!$C$2:$S$188,16)</f>
        <v>0</v>
      </c>
      <c r="AG55" s="44">
        <f>VLOOKUP($C55,'Food Pairing Data'!$C$2:$S$188,17)</f>
        <v>0</v>
      </c>
      <c r="AH55" s="23" t="s">
        <v>474</v>
      </c>
      <c r="AI55" s="51" t="s">
        <v>380</v>
      </c>
    </row>
    <row r="56" spans="1:35" ht="14" hidden="1">
      <c r="A56" s="111">
        <f t="shared" si="1"/>
        <v>55</v>
      </c>
      <c r="B56" s="23" t="s">
        <v>181</v>
      </c>
      <c r="C56" s="23" t="s">
        <v>482</v>
      </c>
      <c r="D56" s="23" t="s">
        <v>380</v>
      </c>
      <c r="E56" s="22">
        <f>HLOOKUP('Output (Salad)'!$F$4,'Raw Data (Salad)'!$U$1:$BP$87,(A56+1),)</f>
        <v>1</v>
      </c>
      <c r="F56" s="23">
        <f>IF(D56='Output (Salad)'!$B$4,1,0)</f>
        <v>0</v>
      </c>
      <c r="G56" s="23">
        <f>IF(L56&lt;='Output (Salad)'!$C$4,(200-'Raw Data (Salad)'!L56),0)</f>
        <v>0</v>
      </c>
      <c r="H56" s="23">
        <v>4</v>
      </c>
      <c r="I56" s="23">
        <f>SUMPRODUCT(F56:H56,'Output (Salad)'!$B$5:$D$5)*E56</f>
        <v>0.4</v>
      </c>
      <c r="J56" s="89">
        <v>0</v>
      </c>
      <c r="K56" s="49">
        <f t="shared" si="0"/>
        <v>0</v>
      </c>
      <c r="L56" s="90">
        <v>36.99</v>
      </c>
      <c r="M56" s="23" t="s">
        <v>508</v>
      </c>
      <c r="N56" s="23" t="s">
        <v>509</v>
      </c>
      <c r="O56" s="23" t="s">
        <v>510</v>
      </c>
      <c r="P56" s="23" t="s">
        <v>511</v>
      </c>
      <c r="Q56" s="92">
        <v>0.14000000000000001</v>
      </c>
      <c r="R56" s="23" t="s">
        <v>143</v>
      </c>
      <c r="S56" s="23" t="s">
        <v>36</v>
      </c>
      <c r="T56" s="23" t="s">
        <v>512</v>
      </c>
      <c r="U56" s="23">
        <f>VLOOKUP($C56,'Food Pairing Data'!$C$2:$S$188,5)</f>
        <v>0</v>
      </c>
      <c r="V56" s="23">
        <f>VLOOKUP($C56,'Food Pairing Data'!$C$2:$S$188,6)</f>
        <v>0</v>
      </c>
      <c r="W56" s="23">
        <f>VLOOKUP($C56,'Food Pairing Data'!$C$2:$S$188,7)</f>
        <v>0</v>
      </c>
      <c r="X56" s="23">
        <f>VLOOKUP($C56,'Food Pairing Data'!$C$2:$S$188,8)</f>
        <v>0</v>
      </c>
      <c r="Y56" s="23">
        <f>VLOOKUP($C56,'Food Pairing Data'!$C$2:$S$188,9)</f>
        <v>0</v>
      </c>
      <c r="Z56" s="23">
        <f>VLOOKUP($C56,'Food Pairing Data'!$C$2:$S$188,10)</f>
        <v>0</v>
      </c>
      <c r="AA56" s="23">
        <f>VLOOKUP($C56,'Food Pairing Data'!$C$2:$S$188,11)</f>
        <v>0</v>
      </c>
      <c r="AB56" s="23">
        <f>VLOOKUP($C56,'Food Pairing Data'!$C$2:$S$188,12)</f>
        <v>0</v>
      </c>
      <c r="AC56" s="23">
        <f>VLOOKUP($C56,'Food Pairing Data'!$C$2:$S$188,13)</f>
        <v>0</v>
      </c>
      <c r="AD56" s="131">
        <f>VLOOKUP($C56,'Food Pairing Data'!$C$2:$S$188,14)</f>
        <v>1</v>
      </c>
      <c r="AE56" s="23">
        <f>VLOOKUP($C56,'Food Pairing Data'!$C$2:$S$188,15)</f>
        <v>0</v>
      </c>
      <c r="AF56" s="23">
        <f>VLOOKUP($C56,'Food Pairing Data'!$C$2:$S$188,16)</f>
        <v>0</v>
      </c>
      <c r="AG56" s="44">
        <f>VLOOKUP($C56,'Food Pairing Data'!$C$2:$S$188,17)</f>
        <v>0</v>
      </c>
      <c r="AH56" s="23" t="s">
        <v>482</v>
      </c>
      <c r="AI56" s="51" t="s">
        <v>380</v>
      </c>
    </row>
    <row r="57" spans="1:35" ht="14" hidden="1">
      <c r="A57" s="111">
        <f t="shared" si="1"/>
        <v>56</v>
      </c>
      <c r="B57" s="23" t="s">
        <v>23</v>
      </c>
      <c r="C57" s="23" t="s">
        <v>513</v>
      </c>
      <c r="D57" s="23" t="s">
        <v>380</v>
      </c>
      <c r="E57" s="22">
        <f>HLOOKUP('Output (Salad)'!$F$4,'Raw Data (Salad)'!$U$1:$BP$87,(A57+1),)</f>
        <v>1</v>
      </c>
      <c r="F57" s="23">
        <f>IF(D57='Output (Salad)'!$B$4,1,0)</f>
        <v>0</v>
      </c>
      <c r="G57" s="23">
        <f>IF(L57&lt;='Output (Salad)'!$C$4,(200-'Raw Data (Salad)'!L57),0)</f>
        <v>185.01</v>
      </c>
      <c r="H57" s="23">
        <v>4</v>
      </c>
      <c r="I57" s="23">
        <f>SUMPRODUCT(F57:H57,'Output (Salad)'!$B$5:$D$5)*E57</f>
        <v>148.40800000000002</v>
      </c>
      <c r="J57" s="89">
        <v>0</v>
      </c>
      <c r="K57" s="49">
        <f t="shared" si="0"/>
        <v>0</v>
      </c>
      <c r="L57" s="90">
        <v>14.99</v>
      </c>
      <c r="M57" s="23" t="s">
        <v>514</v>
      </c>
      <c r="N57" s="23" t="s">
        <v>515</v>
      </c>
      <c r="O57" s="23" t="s">
        <v>516</v>
      </c>
      <c r="P57" s="23" t="s">
        <v>517</v>
      </c>
      <c r="Q57" s="92">
        <v>0.105</v>
      </c>
      <c r="R57" s="23" t="s">
        <v>518</v>
      </c>
      <c r="S57" s="23" t="s">
        <v>98</v>
      </c>
      <c r="T57" s="23" t="s">
        <v>148</v>
      </c>
      <c r="U57" s="23">
        <f>VLOOKUP($C57,'Food Pairing Data'!$C$2:$S$188,5)</f>
        <v>0</v>
      </c>
      <c r="V57" s="23">
        <f>VLOOKUP($C57,'Food Pairing Data'!$C$2:$S$188,6)</f>
        <v>0</v>
      </c>
      <c r="W57" s="23">
        <f>VLOOKUP($C57,'Food Pairing Data'!$C$2:$S$188,7)</f>
        <v>0</v>
      </c>
      <c r="X57" s="23">
        <f>VLOOKUP($C57,'Food Pairing Data'!$C$2:$S$188,8)</f>
        <v>0</v>
      </c>
      <c r="Y57" s="23">
        <f>VLOOKUP($C57,'Food Pairing Data'!$C$2:$S$188,9)</f>
        <v>0</v>
      </c>
      <c r="Z57" s="23">
        <f>VLOOKUP($C57,'Food Pairing Data'!$C$2:$S$188,10)</f>
        <v>0</v>
      </c>
      <c r="AA57" s="23">
        <f>VLOOKUP($C57,'Food Pairing Data'!$C$2:$S$188,11)</f>
        <v>0</v>
      </c>
      <c r="AB57" s="23">
        <f>VLOOKUP($C57,'Food Pairing Data'!$C$2:$S$188,12)</f>
        <v>0</v>
      </c>
      <c r="AC57" s="23">
        <f>VLOOKUP($C57,'Food Pairing Data'!$C$2:$S$188,13)</f>
        <v>0</v>
      </c>
      <c r="AD57" s="131">
        <f>VLOOKUP($C57,'Food Pairing Data'!$C$2:$S$188,14)</f>
        <v>1</v>
      </c>
      <c r="AE57" s="23">
        <f>VLOOKUP($C57,'Food Pairing Data'!$C$2:$S$188,15)</f>
        <v>0</v>
      </c>
      <c r="AF57" s="23">
        <f>VLOOKUP($C57,'Food Pairing Data'!$C$2:$S$188,16)</f>
        <v>0</v>
      </c>
      <c r="AG57" s="44">
        <f>VLOOKUP($C57,'Food Pairing Data'!$C$2:$S$188,17)</f>
        <v>0</v>
      </c>
      <c r="AH57" s="23" t="s">
        <v>513</v>
      </c>
      <c r="AI57" s="51" t="s">
        <v>380</v>
      </c>
    </row>
    <row r="58" spans="1:35" ht="14" hidden="1">
      <c r="A58" s="111">
        <f t="shared" si="1"/>
        <v>57</v>
      </c>
      <c r="B58" s="23" t="s">
        <v>23</v>
      </c>
      <c r="C58" s="23" t="s">
        <v>519</v>
      </c>
      <c r="D58" s="23" t="s">
        <v>380</v>
      </c>
      <c r="E58" s="22">
        <f>HLOOKUP('Output (Salad)'!$F$4,'Raw Data (Salad)'!$U$1:$BP$87,(A58+1),)</f>
        <v>1</v>
      </c>
      <c r="F58" s="23">
        <f>IF(D58='Output (Salad)'!$B$4,1,0)</f>
        <v>0</v>
      </c>
      <c r="G58" s="23">
        <f>IF(L58&lt;='Output (Salad)'!$C$4,(200-'Raw Data (Salad)'!L58),0)</f>
        <v>188.01</v>
      </c>
      <c r="H58" s="23">
        <v>4</v>
      </c>
      <c r="I58" s="23">
        <f>SUMPRODUCT(F58:H58,'Output (Salad)'!$B$5:$D$5)*E58</f>
        <v>150.80799999999999</v>
      </c>
      <c r="J58" s="89">
        <v>0</v>
      </c>
      <c r="K58" s="49">
        <f t="shared" si="0"/>
        <v>0</v>
      </c>
      <c r="L58" s="90">
        <v>11.99</v>
      </c>
      <c r="M58" s="23" t="s">
        <v>508</v>
      </c>
      <c r="N58" s="23" t="s">
        <v>520</v>
      </c>
      <c r="O58" s="23" t="s">
        <v>521</v>
      </c>
      <c r="P58" s="23" t="s">
        <v>522</v>
      </c>
      <c r="Q58" s="92">
        <v>0.125</v>
      </c>
      <c r="R58" s="23" t="s">
        <v>523</v>
      </c>
      <c r="S58" s="23" t="s">
        <v>93</v>
      </c>
      <c r="T58" s="23" t="s">
        <v>512</v>
      </c>
      <c r="U58" s="23">
        <f>VLOOKUP($C58,'Food Pairing Data'!$C$2:$S$188,5)</f>
        <v>0</v>
      </c>
      <c r="V58" s="23">
        <f>VLOOKUP($C58,'Food Pairing Data'!$C$2:$S$188,6)</f>
        <v>0</v>
      </c>
      <c r="W58" s="23">
        <f>VLOOKUP($C58,'Food Pairing Data'!$C$2:$S$188,7)</f>
        <v>0</v>
      </c>
      <c r="X58" s="23">
        <f>VLOOKUP($C58,'Food Pairing Data'!$C$2:$S$188,8)</f>
        <v>0</v>
      </c>
      <c r="Y58" s="23">
        <f>VLOOKUP($C58,'Food Pairing Data'!$C$2:$S$188,9)</f>
        <v>0</v>
      </c>
      <c r="Z58" s="23">
        <f>VLOOKUP($C58,'Food Pairing Data'!$C$2:$S$188,10)</f>
        <v>0</v>
      </c>
      <c r="AA58" s="23">
        <f>VLOOKUP($C58,'Food Pairing Data'!$C$2:$S$188,11)</f>
        <v>0</v>
      </c>
      <c r="AB58" s="23">
        <f>VLOOKUP($C58,'Food Pairing Data'!$C$2:$S$188,12)</f>
        <v>0</v>
      </c>
      <c r="AC58" s="23">
        <f>VLOOKUP($C58,'Food Pairing Data'!$C$2:$S$188,13)</f>
        <v>0</v>
      </c>
      <c r="AD58" s="131">
        <f>VLOOKUP($C58,'Food Pairing Data'!$C$2:$S$188,14)</f>
        <v>1</v>
      </c>
      <c r="AE58" s="23">
        <f>VLOOKUP($C58,'Food Pairing Data'!$C$2:$S$188,15)</f>
        <v>0</v>
      </c>
      <c r="AF58" s="23">
        <f>VLOOKUP($C58,'Food Pairing Data'!$C$2:$S$188,16)</f>
        <v>0</v>
      </c>
      <c r="AG58" s="44">
        <f>VLOOKUP($C58,'Food Pairing Data'!$C$2:$S$188,17)</f>
        <v>0</v>
      </c>
      <c r="AH58" s="23" t="s">
        <v>519</v>
      </c>
      <c r="AI58" s="51" t="s">
        <v>380</v>
      </c>
    </row>
    <row r="59" spans="1:35" ht="14" hidden="1">
      <c r="A59" s="111">
        <f t="shared" si="1"/>
        <v>58</v>
      </c>
      <c r="B59" s="23" t="s">
        <v>23</v>
      </c>
      <c r="C59" s="23" t="s">
        <v>524</v>
      </c>
      <c r="D59" s="23" t="s">
        <v>380</v>
      </c>
      <c r="E59" s="22">
        <f>HLOOKUP('Output (Salad)'!$F$4,'Raw Data (Salad)'!$U$1:$BP$87,(A59+1),)</f>
        <v>0</v>
      </c>
      <c r="F59" s="23">
        <f>IF(D59='Output (Salad)'!$B$4,1,0)</f>
        <v>0</v>
      </c>
      <c r="G59" s="23">
        <f>IF(L59&lt;='Output (Salad)'!$C$4,(200-'Raw Data (Salad)'!L59),0)</f>
        <v>189.01</v>
      </c>
      <c r="H59" s="23">
        <v>4</v>
      </c>
      <c r="I59" s="23">
        <f>SUMPRODUCT(F59:H59,'Output (Salad)'!$B$5:$D$5)*E59</f>
        <v>0</v>
      </c>
      <c r="J59" s="89">
        <v>0</v>
      </c>
      <c r="K59" s="49">
        <f t="shared" si="0"/>
        <v>0</v>
      </c>
      <c r="L59" s="90">
        <v>10.99</v>
      </c>
      <c r="M59" s="23" t="s">
        <v>525</v>
      </c>
      <c r="N59" s="23" t="s">
        <v>526</v>
      </c>
      <c r="O59" s="23" t="s">
        <v>527</v>
      </c>
      <c r="P59" s="23" t="s">
        <v>528</v>
      </c>
      <c r="Q59" s="92">
        <v>0.115</v>
      </c>
      <c r="R59" s="23" t="s">
        <v>523</v>
      </c>
      <c r="S59" s="23" t="s">
        <v>529</v>
      </c>
      <c r="T59" s="23" t="s">
        <v>512</v>
      </c>
      <c r="U59" s="23">
        <f>VLOOKUP($C59,'Food Pairing Data'!$C$2:$S$188,5)</f>
        <v>0</v>
      </c>
      <c r="V59" s="23">
        <f>VLOOKUP($C59,'Food Pairing Data'!$C$2:$S$188,6)</f>
        <v>0</v>
      </c>
      <c r="W59" s="23">
        <f>VLOOKUP($C59,'Food Pairing Data'!$C$2:$S$188,7)</f>
        <v>0</v>
      </c>
      <c r="X59" s="23">
        <f>VLOOKUP($C59,'Food Pairing Data'!$C$2:$S$188,8)</f>
        <v>1</v>
      </c>
      <c r="Y59" s="23">
        <f>VLOOKUP($C59,'Food Pairing Data'!$C$2:$S$188,9)</f>
        <v>0</v>
      </c>
      <c r="Z59" s="23">
        <f>VLOOKUP($C59,'Food Pairing Data'!$C$2:$S$188,10)</f>
        <v>1</v>
      </c>
      <c r="AA59" s="23">
        <f>VLOOKUP($C59,'Food Pairing Data'!$C$2:$S$188,11)</f>
        <v>0</v>
      </c>
      <c r="AB59" s="23">
        <f>VLOOKUP($C59,'Food Pairing Data'!$C$2:$S$188,12)</f>
        <v>0</v>
      </c>
      <c r="AC59" s="23">
        <f>VLOOKUP($C59,'Food Pairing Data'!$C$2:$S$188,13)</f>
        <v>0</v>
      </c>
      <c r="AD59" s="131">
        <f>VLOOKUP($C59,'Food Pairing Data'!$C$2:$S$188,14)</f>
        <v>0</v>
      </c>
      <c r="AE59" s="23">
        <f>VLOOKUP($C59,'Food Pairing Data'!$C$2:$S$188,15)</f>
        <v>0</v>
      </c>
      <c r="AF59" s="23">
        <f>VLOOKUP($C59,'Food Pairing Data'!$C$2:$S$188,16)</f>
        <v>0</v>
      </c>
      <c r="AG59" s="44">
        <f>VLOOKUP($C59,'Food Pairing Data'!$C$2:$S$188,17)</f>
        <v>0</v>
      </c>
      <c r="AH59" s="23" t="s">
        <v>524</v>
      </c>
      <c r="AI59" s="51" t="s">
        <v>380</v>
      </c>
    </row>
    <row r="60" spans="1:35" ht="14" hidden="1">
      <c r="A60" s="111">
        <f t="shared" si="1"/>
        <v>59</v>
      </c>
      <c r="B60" s="23" t="s">
        <v>245</v>
      </c>
      <c r="C60" s="23" t="s">
        <v>530</v>
      </c>
      <c r="D60" s="23" t="s">
        <v>380</v>
      </c>
      <c r="E60" s="22">
        <f>HLOOKUP('Output (Salad)'!$F$4,'Raw Data (Salad)'!$U$1:$BP$87,(A60+1),)</f>
        <v>0</v>
      </c>
      <c r="F60" s="23">
        <f>IF(D60='Output (Salad)'!$B$4,1,0)</f>
        <v>0</v>
      </c>
      <c r="G60" s="23">
        <f>IF(L60&lt;='Output (Salad)'!$C$4,(200-'Raw Data (Salad)'!L60),0)</f>
        <v>190.01</v>
      </c>
      <c r="H60" s="23">
        <v>4</v>
      </c>
      <c r="I60" s="23">
        <f>SUMPRODUCT(F60:H60,'Output (Salad)'!$B$5:$D$5)*E60</f>
        <v>0</v>
      </c>
      <c r="J60" s="89">
        <v>0</v>
      </c>
      <c r="K60" s="49">
        <f t="shared" si="0"/>
        <v>0</v>
      </c>
      <c r="L60" s="90">
        <v>9.99</v>
      </c>
      <c r="M60" s="23" t="s">
        <v>531</v>
      </c>
      <c r="N60" s="23" t="s">
        <v>532</v>
      </c>
      <c r="O60" s="23" t="s">
        <v>533</v>
      </c>
      <c r="P60" s="23" t="s">
        <v>534</v>
      </c>
      <c r="Q60" s="92">
        <v>0.125</v>
      </c>
      <c r="R60" s="23" t="s">
        <v>535</v>
      </c>
      <c r="S60" s="23" t="s">
        <v>536</v>
      </c>
      <c r="T60" s="23" t="s">
        <v>512</v>
      </c>
      <c r="U60" s="23">
        <v>0</v>
      </c>
      <c r="V60" s="23">
        <v>0</v>
      </c>
      <c r="W60" s="23">
        <v>1</v>
      </c>
      <c r="X60" s="23">
        <v>0</v>
      </c>
      <c r="Y60" s="23">
        <v>0</v>
      </c>
      <c r="Z60" s="23">
        <v>0</v>
      </c>
      <c r="AA60" s="23">
        <v>0</v>
      </c>
      <c r="AB60" s="23">
        <v>0</v>
      </c>
      <c r="AC60" s="23">
        <v>0</v>
      </c>
      <c r="AD60" s="131">
        <v>0</v>
      </c>
      <c r="AE60" s="23">
        <v>1</v>
      </c>
      <c r="AF60" s="23">
        <v>0</v>
      </c>
      <c r="AG60" s="44">
        <v>0</v>
      </c>
      <c r="AH60" s="23" t="s">
        <v>530</v>
      </c>
      <c r="AI60" s="51" t="s">
        <v>380</v>
      </c>
    </row>
    <row r="61" spans="1:35" ht="14" hidden="1">
      <c r="A61" s="111">
        <f t="shared" si="1"/>
        <v>60</v>
      </c>
      <c r="B61" s="23" t="s">
        <v>245</v>
      </c>
      <c r="C61" s="23" t="s">
        <v>537</v>
      </c>
      <c r="D61" s="23" t="s">
        <v>380</v>
      </c>
      <c r="E61" s="22">
        <f>HLOOKUP('Output (Salad)'!$F$4,'Raw Data (Salad)'!$U$1:$BP$87,(A61+1),)</f>
        <v>1</v>
      </c>
      <c r="F61" s="23">
        <f>IF(D61='Output (Salad)'!$B$4,1,0)</f>
        <v>0</v>
      </c>
      <c r="G61" s="23">
        <f>IF(L61&lt;='Output (Salad)'!$C$4,(200-'Raw Data (Salad)'!L61),0)</f>
        <v>190.01</v>
      </c>
      <c r="H61" s="23">
        <v>4</v>
      </c>
      <c r="I61" s="23">
        <f>SUMPRODUCT(F61:H61,'Output (Salad)'!$B$5:$D$5)*E61</f>
        <v>152.40800000000002</v>
      </c>
      <c r="J61" s="89">
        <v>0</v>
      </c>
      <c r="K61" s="49">
        <f t="shared" si="0"/>
        <v>0</v>
      </c>
      <c r="L61" s="90">
        <v>9.99</v>
      </c>
      <c r="M61" s="23" t="s">
        <v>538</v>
      </c>
      <c r="N61" s="23" t="s">
        <v>539</v>
      </c>
      <c r="O61" s="23" t="s">
        <v>299</v>
      </c>
      <c r="P61" s="23" t="s">
        <v>540</v>
      </c>
      <c r="Q61" s="92">
        <v>0.13500000000000001</v>
      </c>
      <c r="R61" s="23" t="s">
        <v>75</v>
      </c>
      <c r="S61" s="23" t="s">
        <v>152</v>
      </c>
      <c r="T61" s="23" t="s">
        <v>512</v>
      </c>
      <c r="U61" s="23">
        <f>VLOOKUP($C61,'Food Pairing Data'!$C$2:$S$188,5)</f>
        <v>0</v>
      </c>
      <c r="V61" s="23">
        <f>VLOOKUP($C61,'Food Pairing Data'!$C$2:$S$188,6)</f>
        <v>0</v>
      </c>
      <c r="W61" s="23">
        <f>VLOOKUP($C61,'Food Pairing Data'!$C$2:$S$188,7)</f>
        <v>0</v>
      </c>
      <c r="X61" s="23">
        <f>VLOOKUP($C61,'Food Pairing Data'!$C$2:$S$188,8)</f>
        <v>0</v>
      </c>
      <c r="Y61" s="23">
        <f>VLOOKUP($C61,'Food Pairing Data'!$C$2:$S$188,9)</f>
        <v>0</v>
      </c>
      <c r="Z61" s="23">
        <f>VLOOKUP($C61,'Food Pairing Data'!$C$2:$S$188,10)</f>
        <v>0</v>
      </c>
      <c r="AA61" s="23">
        <f>VLOOKUP($C61,'Food Pairing Data'!$C$2:$S$188,11)</f>
        <v>0</v>
      </c>
      <c r="AB61" s="23">
        <f>VLOOKUP($C61,'Food Pairing Data'!$C$2:$S$188,12)</f>
        <v>0</v>
      </c>
      <c r="AC61" s="23">
        <f>VLOOKUP($C61,'Food Pairing Data'!$C$2:$S$188,13)</f>
        <v>0</v>
      </c>
      <c r="AD61" s="131">
        <f>VLOOKUP($C61,'Food Pairing Data'!$C$2:$S$188,14)</f>
        <v>1</v>
      </c>
      <c r="AE61" s="23">
        <f>VLOOKUP($C61,'Food Pairing Data'!$C$2:$S$188,15)</f>
        <v>0</v>
      </c>
      <c r="AF61" s="23">
        <f>VLOOKUP($C61,'Food Pairing Data'!$C$2:$S$188,16)</f>
        <v>0</v>
      </c>
      <c r="AG61" s="44">
        <f>VLOOKUP($C61,'Food Pairing Data'!$C$2:$S$188,17)</f>
        <v>0</v>
      </c>
      <c r="AH61" s="23" t="s">
        <v>537</v>
      </c>
      <c r="AI61" s="51" t="s">
        <v>380</v>
      </c>
    </row>
    <row r="62" spans="1:35" ht="14" hidden="1">
      <c r="A62" s="111">
        <f t="shared" si="1"/>
        <v>61</v>
      </c>
      <c r="B62" s="23" t="s">
        <v>23</v>
      </c>
      <c r="C62" s="23" t="s">
        <v>541</v>
      </c>
      <c r="D62" s="23" t="s">
        <v>380</v>
      </c>
      <c r="E62" s="22">
        <f>HLOOKUP('Output (Salad)'!$F$4,'Raw Data (Salad)'!$U$1:$BP$87,(A62+1),)</f>
        <v>0</v>
      </c>
      <c r="F62" s="23">
        <f>IF(D62='Output (Salad)'!$B$4,1,0)</f>
        <v>0</v>
      </c>
      <c r="G62" s="23">
        <f>IF(L62&lt;='Output (Salad)'!$C$4,(200-'Raw Data (Salad)'!L62),0)</f>
        <v>180.01</v>
      </c>
      <c r="H62" s="23">
        <v>3.5</v>
      </c>
      <c r="I62" s="23">
        <f>SUMPRODUCT(F62:H62,'Output (Salad)'!$B$5:$D$5)*E62</f>
        <v>0</v>
      </c>
      <c r="J62" s="89">
        <v>0</v>
      </c>
      <c r="K62" s="49">
        <f t="shared" si="0"/>
        <v>0</v>
      </c>
      <c r="L62" s="90">
        <v>19.989999999999998</v>
      </c>
      <c r="M62" s="23" t="s">
        <v>542</v>
      </c>
      <c r="N62" s="23" t="s">
        <v>543</v>
      </c>
      <c r="O62" s="23" t="s">
        <v>544</v>
      </c>
      <c r="P62" s="23" t="s">
        <v>540</v>
      </c>
      <c r="Q62" s="92">
        <v>0.09</v>
      </c>
      <c r="R62" s="23" t="s">
        <v>75</v>
      </c>
      <c r="S62" s="23" t="s">
        <v>150</v>
      </c>
      <c r="T62" s="23" t="s">
        <v>512</v>
      </c>
      <c r="U62" s="23">
        <f>VLOOKUP($C62,'Food Pairing Data'!$C$2:$S$188,5)</f>
        <v>0</v>
      </c>
      <c r="V62" s="23">
        <f>VLOOKUP($C62,'Food Pairing Data'!$C$2:$S$188,6)</f>
        <v>0</v>
      </c>
      <c r="W62" s="23">
        <f>VLOOKUP($C62,'Food Pairing Data'!$C$2:$S$188,7)</f>
        <v>0</v>
      </c>
      <c r="X62" s="23">
        <f>VLOOKUP($C62,'Food Pairing Data'!$C$2:$S$188,8)</f>
        <v>1</v>
      </c>
      <c r="Y62" s="23">
        <f>VLOOKUP($C62,'Food Pairing Data'!$C$2:$S$188,9)</f>
        <v>0</v>
      </c>
      <c r="Z62" s="23">
        <f>VLOOKUP($C62,'Food Pairing Data'!$C$2:$S$188,10)</f>
        <v>1</v>
      </c>
      <c r="AA62" s="23">
        <f>VLOOKUP($C62,'Food Pairing Data'!$C$2:$S$188,11)</f>
        <v>0</v>
      </c>
      <c r="AB62" s="23">
        <f>VLOOKUP($C62,'Food Pairing Data'!$C$2:$S$188,12)</f>
        <v>0</v>
      </c>
      <c r="AC62" s="23">
        <f>VLOOKUP($C62,'Food Pairing Data'!$C$2:$S$188,13)</f>
        <v>0</v>
      </c>
      <c r="AD62" s="131">
        <f>VLOOKUP($C62,'Food Pairing Data'!$C$2:$S$188,14)</f>
        <v>0</v>
      </c>
      <c r="AE62" s="23">
        <f>VLOOKUP($C62,'Food Pairing Data'!$C$2:$S$188,15)</f>
        <v>0</v>
      </c>
      <c r="AF62" s="23">
        <f>VLOOKUP($C62,'Food Pairing Data'!$C$2:$S$188,16)</f>
        <v>0</v>
      </c>
      <c r="AG62" s="44">
        <f>VLOOKUP($C62,'Food Pairing Data'!$C$2:$S$188,17)</f>
        <v>0</v>
      </c>
      <c r="AH62" s="23" t="s">
        <v>541</v>
      </c>
      <c r="AI62" s="51" t="s">
        <v>380</v>
      </c>
    </row>
    <row r="63" spans="1:35" ht="14" hidden="1">
      <c r="A63" s="111">
        <f t="shared" si="1"/>
        <v>62</v>
      </c>
      <c r="B63" s="23" t="s">
        <v>23</v>
      </c>
      <c r="C63" s="23" t="s">
        <v>545</v>
      </c>
      <c r="D63" s="23" t="s">
        <v>380</v>
      </c>
      <c r="E63" s="22">
        <f>HLOOKUP('Output (Salad)'!$F$4,'Raw Data (Salad)'!$U$1:$BP$87,(A63+1),)</f>
        <v>1</v>
      </c>
      <c r="F63" s="23">
        <f>IF(D63='Output (Salad)'!$B$4,1,0)</f>
        <v>0</v>
      </c>
      <c r="G63" s="23">
        <f>IF(L63&lt;='Output (Salad)'!$C$4,(200-'Raw Data (Salad)'!L63),0)</f>
        <v>180.01</v>
      </c>
      <c r="H63" s="23">
        <v>3.5</v>
      </c>
      <c r="I63" s="23">
        <f>SUMPRODUCT(F63:H63,'Output (Salad)'!$B$5:$D$5)*E63</f>
        <v>144.358</v>
      </c>
      <c r="J63" s="89">
        <v>0</v>
      </c>
      <c r="K63" s="49">
        <f t="shared" si="0"/>
        <v>0</v>
      </c>
      <c r="L63" s="90">
        <v>19.989999999999998</v>
      </c>
      <c r="M63" s="23" t="s">
        <v>546</v>
      </c>
      <c r="N63" s="23" t="s">
        <v>547</v>
      </c>
      <c r="O63" s="23" t="s">
        <v>548</v>
      </c>
      <c r="P63" s="23" t="s">
        <v>167</v>
      </c>
      <c r="Q63" s="92">
        <v>0.13</v>
      </c>
      <c r="R63" s="23" t="s">
        <v>523</v>
      </c>
      <c r="S63" s="23" t="s">
        <v>150</v>
      </c>
      <c r="T63" s="23" t="s">
        <v>512</v>
      </c>
      <c r="U63" s="23">
        <f>VLOOKUP($C63,'Food Pairing Data'!$C$2:$S$188,5)</f>
        <v>0</v>
      </c>
      <c r="V63" s="23">
        <f>VLOOKUP($C63,'Food Pairing Data'!$C$2:$S$188,6)</f>
        <v>0</v>
      </c>
      <c r="W63" s="23">
        <f>VLOOKUP($C63,'Food Pairing Data'!$C$2:$S$188,7)</f>
        <v>0</v>
      </c>
      <c r="X63" s="23">
        <f>VLOOKUP($C63,'Food Pairing Data'!$C$2:$S$188,8)</f>
        <v>0</v>
      </c>
      <c r="Y63" s="23">
        <f>VLOOKUP($C63,'Food Pairing Data'!$C$2:$S$188,9)</f>
        <v>0</v>
      </c>
      <c r="Z63" s="23">
        <f>VLOOKUP($C63,'Food Pairing Data'!$C$2:$S$188,10)</f>
        <v>0</v>
      </c>
      <c r="AA63" s="23">
        <f>VLOOKUP($C63,'Food Pairing Data'!$C$2:$S$188,11)</f>
        <v>0</v>
      </c>
      <c r="AB63" s="23">
        <f>VLOOKUP($C63,'Food Pairing Data'!$C$2:$S$188,12)</f>
        <v>0</v>
      </c>
      <c r="AC63" s="23">
        <f>VLOOKUP($C63,'Food Pairing Data'!$C$2:$S$188,13)</f>
        <v>0</v>
      </c>
      <c r="AD63" s="131">
        <f>VLOOKUP($C63,'Food Pairing Data'!$C$2:$S$188,14)</f>
        <v>1</v>
      </c>
      <c r="AE63" s="23">
        <f>VLOOKUP($C63,'Food Pairing Data'!$C$2:$S$188,15)</f>
        <v>0</v>
      </c>
      <c r="AF63" s="23">
        <f>VLOOKUP($C63,'Food Pairing Data'!$C$2:$S$188,16)</f>
        <v>0</v>
      </c>
      <c r="AG63" s="44">
        <f>VLOOKUP($C63,'Food Pairing Data'!$C$2:$S$188,17)</f>
        <v>0</v>
      </c>
      <c r="AH63" s="23" t="s">
        <v>545</v>
      </c>
      <c r="AI63" s="51" t="s">
        <v>380</v>
      </c>
    </row>
    <row r="64" spans="1:35" ht="14" hidden="1">
      <c r="A64" s="111">
        <f t="shared" si="1"/>
        <v>63</v>
      </c>
      <c r="B64" s="23" t="s">
        <v>23</v>
      </c>
      <c r="C64" s="23" t="s">
        <v>549</v>
      </c>
      <c r="D64" s="23" t="s">
        <v>380</v>
      </c>
      <c r="E64" s="22">
        <f>HLOOKUP('Output (Salad)'!$F$4,'Raw Data (Salad)'!$U$1:$BP$87,(A64+1),)</f>
        <v>0</v>
      </c>
      <c r="F64" s="23">
        <f>IF(D64='Output (Salad)'!$B$4,1,0)</f>
        <v>0</v>
      </c>
      <c r="G64" s="23">
        <f>IF(L64&lt;='Output (Salad)'!$C$4,(200-'Raw Data (Salad)'!L64),0)</f>
        <v>183.01</v>
      </c>
      <c r="H64" s="23">
        <v>3.5</v>
      </c>
      <c r="I64" s="23">
        <f>SUMPRODUCT(F64:H64,'Output (Salad)'!$B$5:$D$5)*E64</f>
        <v>0</v>
      </c>
      <c r="J64" s="89">
        <v>0</v>
      </c>
      <c r="K64" s="49">
        <f t="shared" si="0"/>
        <v>0</v>
      </c>
      <c r="L64" s="90">
        <v>16.989999999999998</v>
      </c>
      <c r="M64" s="23" t="s">
        <v>550</v>
      </c>
      <c r="N64" s="23" t="s">
        <v>551</v>
      </c>
      <c r="O64" s="23" t="s">
        <v>552</v>
      </c>
      <c r="P64" s="23" t="s">
        <v>300</v>
      </c>
      <c r="Q64" s="92">
        <v>0.13</v>
      </c>
      <c r="R64" s="23" t="s">
        <v>523</v>
      </c>
      <c r="S64" s="23" t="s">
        <v>529</v>
      </c>
      <c r="T64" s="23" t="s">
        <v>553</v>
      </c>
      <c r="U64" s="23">
        <f>VLOOKUP($C64,'Food Pairing Data'!$C$2:$S$188,5)</f>
        <v>0</v>
      </c>
      <c r="V64" s="23">
        <f>VLOOKUP($C64,'Food Pairing Data'!$C$2:$S$188,6)</f>
        <v>0</v>
      </c>
      <c r="W64" s="23">
        <f>VLOOKUP($C64,'Food Pairing Data'!$C$2:$S$188,7)</f>
        <v>1</v>
      </c>
      <c r="X64" s="23">
        <f>VLOOKUP($C64,'Food Pairing Data'!$C$2:$S$188,8)</f>
        <v>1</v>
      </c>
      <c r="Y64" s="23">
        <f>VLOOKUP($C64,'Food Pairing Data'!$C$2:$S$188,9)</f>
        <v>0</v>
      </c>
      <c r="Z64" s="23">
        <f>VLOOKUP($C64,'Food Pairing Data'!$C$2:$S$188,10)</f>
        <v>0</v>
      </c>
      <c r="AA64" s="23">
        <f>VLOOKUP($C64,'Food Pairing Data'!$C$2:$S$188,11)</f>
        <v>0</v>
      </c>
      <c r="AB64" s="23">
        <f>VLOOKUP($C64,'Food Pairing Data'!$C$2:$S$188,12)</f>
        <v>0</v>
      </c>
      <c r="AC64" s="23">
        <f>VLOOKUP($C64,'Food Pairing Data'!$C$2:$S$188,13)</f>
        <v>0</v>
      </c>
      <c r="AD64" s="131">
        <f>VLOOKUP($C64,'Food Pairing Data'!$C$2:$S$188,14)</f>
        <v>0</v>
      </c>
      <c r="AE64" s="23">
        <f>VLOOKUP($C64,'Food Pairing Data'!$C$2:$S$188,15)</f>
        <v>0</v>
      </c>
      <c r="AF64" s="23">
        <f>VLOOKUP($C64,'Food Pairing Data'!$C$2:$S$188,16)</f>
        <v>0</v>
      </c>
      <c r="AG64" s="44">
        <f>VLOOKUP($C64,'Food Pairing Data'!$C$2:$S$188,17)</f>
        <v>0</v>
      </c>
      <c r="AH64" s="23" t="s">
        <v>549</v>
      </c>
      <c r="AI64" s="51" t="s">
        <v>380</v>
      </c>
    </row>
    <row r="65" spans="1:35" ht="14" hidden="1">
      <c r="A65" s="111">
        <f t="shared" si="1"/>
        <v>64</v>
      </c>
      <c r="B65" s="23" t="s">
        <v>23</v>
      </c>
      <c r="C65" s="23" t="s">
        <v>554</v>
      </c>
      <c r="D65" s="23" t="s">
        <v>380</v>
      </c>
      <c r="E65" s="22">
        <f>HLOOKUP('Output (Salad)'!$F$4,'Raw Data (Salad)'!$U$1:$BP$87,(A65+1),)</f>
        <v>0</v>
      </c>
      <c r="F65" s="23">
        <f>IF(D65='Output (Salad)'!$B$4,1,0)</f>
        <v>0</v>
      </c>
      <c r="G65" s="23">
        <f>IF(L65&lt;='Output (Salad)'!$C$4,(200-'Raw Data (Salad)'!L65),0)</f>
        <v>189.01</v>
      </c>
      <c r="H65" s="23">
        <v>3</v>
      </c>
      <c r="I65" s="23">
        <f>SUMPRODUCT(F65:H65,'Output (Salad)'!$B$5:$D$5)*E65</f>
        <v>0</v>
      </c>
      <c r="J65" s="89">
        <v>0</v>
      </c>
      <c r="K65" s="49">
        <f t="shared" si="0"/>
        <v>0</v>
      </c>
      <c r="L65" s="90">
        <v>10.99</v>
      </c>
      <c r="M65" s="23" t="s">
        <v>164</v>
      </c>
      <c r="N65" s="23" t="s">
        <v>555</v>
      </c>
      <c r="O65" s="23" t="s">
        <v>556</v>
      </c>
      <c r="P65" s="23" t="s">
        <v>557</v>
      </c>
      <c r="Q65" s="92">
        <v>0.125</v>
      </c>
      <c r="R65" s="23" t="s">
        <v>518</v>
      </c>
      <c r="S65" s="23" t="s">
        <v>558</v>
      </c>
      <c r="T65" s="23" t="s">
        <v>148</v>
      </c>
      <c r="U65" s="23">
        <f>VLOOKUP($C65,'Food Pairing Data'!$C$2:$S$188,5)</f>
        <v>0</v>
      </c>
      <c r="V65" s="23">
        <f>VLOOKUP($C65,'Food Pairing Data'!$C$2:$S$188,6)</f>
        <v>0</v>
      </c>
      <c r="W65" s="23">
        <f>VLOOKUP($C65,'Food Pairing Data'!$C$2:$S$188,7)</f>
        <v>1</v>
      </c>
      <c r="X65" s="23">
        <f>VLOOKUP($C65,'Food Pairing Data'!$C$2:$S$188,8)</f>
        <v>1</v>
      </c>
      <c r="Y65" s="23">
        <f>VLOOKUP($C65,'Food Pairing Data'!$C$2:$S$188,9)</f>
        <v>0</v>
      </c>
      <c r="Z65" s="23">
        <f>VLOOKUP($C65,'Food Pairing Data'!$C$2:$S$188,10)</f>
        <v>0</v>
      </c>
      <c r="AA65" s="23">
        <f>VLOOKUP($C65,'Food Pairing Data'!$C$2:$S$188,11)</f>
        <v>0</v>
      </c>
      <c r="AB65" s="23">
        <f>VLOOKUP($C65,'Food Pairing Data'!$C$2:$S$188,12)</f>
        <v>0</v>
      </c>
      <c r="AC65" s="23">
        <f>VLOOKUP($C65,'Food Pairing Data'!$C$2:$S$188,13)</f>
        <v>0</v>
      </c>
      <c r="AD65" s="131">
        <f>VLOOKUP($C65,'Food Pairing Data'!$C$2:$S$188,14)</f>
        <v>0</v>
      </c>
      <c r="AE65" s="23">
        <f>VLOOKUP($C65,'Food Pairing Data'!$C$2:$S$188,15)</f>
        <v>0</v>
      </c>
      <c r="AF65" s="23">
        <f>VLOOKUP($C65,'Food Pairing Data'!$C$2:$S$188,16)</f>
        <v>0</v>
      </c>
      <c r="AG65" s="44">
        <f>VLOOKUP($C65,'Food Pairing Data'!$C$2:$S$188,17)</f>
        <v>0</v>
      </c>
      <c r="AH65" s="23" t="s">
        <v>554</v>
      </c>
      <c r="AI65" s="51" t="s">
        <v>380</v>
      </c>
    </row>
    <row r="66" spans="1:35" ht="14" hidden="1">
      <c r="A66" s="111">
        <f t="shared" si="1"/>
        <v>65</v>
      </c>
      <c r="B66" s="23" t="s">
        <v>23</v>
      </c>
      <c r="C66" s="23" t="s">
        <v>559</v>
      </c>
      <c r="D66" s="23" t="s">
        <v>380</v>
      </c>
      <c r="E66" s="22">
        <f>HLOOKUP('Output (Salad)'!$F$4,'Raw Data (Salad)'!$U$1:$BP$87,(A66+1),)</f>
        <v>1</v>
      </c>
      <c r="F66" s="23">
        <f>IF(D66='Output (Salad)'!$B$4,1,0)</f>
        <v>0</v>
      </c>
      <c r="G66" s="23">
        <f>IF(L66&lt;='Output (Salad)'!$C$4,(200-'Raw Data (Salad)'!L66),0)</f>
        <v>189.01</v>
      </c>
      <c r="H66" s="23">
        <v>3</v>
      </c>
      <c r="I66" s="23">
        <f>SUMPRODUCT(F66:H66,'Output (Salad)'!$B$5:$D$5)*E66</f>
        <v>151.50800000000001</v>
      </c>
      <c r="J66" s="89">
        <v>0</v>
      </c>
      <c r="K66" s="49">
        <f t="shared" si="0"/>
        <v>0</v>
      </c>
      <c r="L66" s="90">
        <v>10.99</v>
      </c>
      <c r="M66" s="23" t="s">
        <v>531</v>
      </c>
      <c r="N66" s="23" t="s">
        <v>560</v>
      </c>
      <c r="O66" s="23" t="s">
        <v>533</v>
      </c>
      <c r="P66" s="23" t="s">
        <v>561</v>
      </c>
      <c r="Q66" s="92">
        <v>0.13500000000000001</v>
      </c>
      <c r="R66" s="23" t="s">
        <v>87</v>
      </c>
      <c r="S66" s="23" t="s">
        <v>156</v>
      </c>
      <c r="T66" s="23" t="s">
        <v>562</v>
      </c>
      <c r="U66" s="23">
        <f>VLOOKUP($C66,'Food Pairing Data'!$C$2:$S$188,5)</f>
        <v>0</v>
      </c>
      <c r="V66" s="23">
        <f>VLOOKUP($C66,'Food Pairing Data'!$C$2:$S$188,6)</f>
        <v>0</v>
      </c>
      <c r="W66" s="23">
        <f>VLOOKUP($C66,'Food Pairing Data'!$C$2:$S$188,7)</f>
        <v>0</v>
      </c>
      <c r="X66" s="23">
        <f>VLOOKUP($C66,'Food Pairing Data'!$C$2:$S$188,8)</f>
        <v>0</v>
      </c>
      <c r="Y66" s="23">
        <f>VLOOKUP($C66,'Food Pairing Data'!$C$2:$S$188,9)</f>
        <v>0</v>
      </c>
      <c r="Z66" s="23">
        <f>VLOOKUP($C66,'Food Pairing Data'!$C$2:$S$188,10)</f>
        <v>0</v>
      </c>
      <c r="AA66" s="23">
        <f>VLOOKUP($C66,'Food Pairing Data'!$C$2:$S$188,11)</f>
        <v>0</v>
      </c>
      <c r="AB66" s="23">
        <f>VLOOKUP($C66,'Food Pairing Data'!$C$2:$S$188,12)</f>
        <v>0</v>
      </c>
      <c r="AC66" s="23">
        <f>VLOOKUP($C66,'Food Pairing Data'!$C$2:$S$188,13)</f>
        <v>0</v>
      </c>
      <c r="AD66" s="131">
        <f>VLOOKUP($C66,'Food Pairing Data'!$C$2:$S$188,14)</f>
        <v>1</v>
      </c>
      <c r="AE66" s="23">
        <f>VLOOKUP($C66,'Food Pairing Data'!$C$2:$S$188,15)</f>
        <v>0</v>
      </c>
      <c r="AF66" s="23">
        <f>VLOOKUP($C66,'Food Pairing Data'!$C$2:$S$188,16)</f>
        <v>0</v>
      </c>
      <c r="AG66" s="44">
        <f>VLOOKUP($C66,'Food Pairing Data'!$C$2:$S$188,17)</f>
        <v>0</v>
      </c>
      <c r="AH66" s="23" t="s">
        <v>559</v>
      </c>
      <c r="AI66" s="51" t="s">
        <v>380</v>
      </c>
    </row>
    <row r="67" spans="1:35" ht="14" hidden="1">
      <c r="A67" s="111">
        <f t="shared" si="1"/>
        <v>66</v>
      </c>
      <c r="B67" s="23" t="s">
        <v>245</v>
      </c>
      <c r="C67" s="23" t="s">
        <v>563</v>
      </c>
      <c r="D67" s="23" t="s">
        <v>380</v>
      </c>
      <c r="E67" s="22">
        <f>HLOOKUP('Output (Salad)'!$F$4,'Raw Data (Salad)'!$U$1:$BP$87,(A67+1),)</f>
        <v>0</v>
      </c>
      <c r="F67" s="23">
        <f>IF(D67='Output (Salad)'!$B$4,1,0)</f>
        <v>0</v>
      </c>
      <c r="G67" s="23">
        <f>IF(L67&lt;='Output (Salad)'!$C$4,(200-'Raw Data (Salad)'!L67),0)</f>
        <v>190.01</v>
      </c>
      <c r="H67" s="23">
        <v>3</v>
      </c>
      <c r="I67" s="23">
        <f>SUMPRODUCT(F67:H67,'Output (Salad)'!$B$5:$D$5)*E67</f>
        <v>0</v>
      </c>
      <c r="J67" s="89">
        <v>0</v>
      </c>
      <c r="K67" s="49">
        <f t="shared" ref="K67:K87" si="2">J67</f>
        <v>0</v>
      </c>
      <c r="L67" s="90">
        <v>9.99</v>
      </c>
      <c r="M67" s="23" t="s">
        <v>164</v>
      </c>
      <c r="N67" s="23" t="s">
        <v>564</v>
      </c>
      <c r="O67" s="23" t="s">
        <v>565</v>
      </c>
      <c r="P67" s="23" t="s">
        <v>566</v>
      </c>
      <c r="Q67" s="92">
        <v>0.115</v>
      </c>
      <c r="R67" s="23" t="s">
        <v>36</v>
      </c>
      <c r="S67" s="23" t="s">
        <v>90</v>
      </c>
      <c r="T67" s="23" t="s">
        <v>147</v>
      </c>
      <c r="U67" s="23">
        <f>VLOOKUP($C67,'Food Pairing Data'!$C$2:$S$188,5)</f>
        <v>0</v>
      </c>
      <c r="V67" s="23">
        <f>VLOOKUP($C67,'Food Pairing Data'!$C$2:$S$188,6)</f>
        <v>0</v>
      </c>
      <c r="W67" s="23">
        <f>VLOOKUP($C67,'Food Pairing Data'!$C$2:$S$188,7)</f>
        <v>1</v>
      </c>
      <c r="X67" s="23">
        <f>VLOOKUP($C67,'Food Pairing Data'!$C$2:$S$188,8)</f>
        <v>1</v>
      </c>
      <c r="Y67" s="23">
        <f>VLOOKUP($C67,'Food Pairing Data'!$C$2:$S$188,9)</f>
        <v>0</v>
      </c>
      <c r="Z67" s="23">
        <f>VLOOKUP($C67,'Food Pairing Data'!$C$2:$S$188,10)</f>
        <v>0</v>
      </c>
      <c r="AA67" s="23">
        <f>VLOOKUP($C67,'Food Pairing Data'!$C$2:$S$188,11)</f>
        <v>0</v>
      </c>
      <c r="AB67" s="23">
        <f>VLOOKUP($C67,'Food Pairing Data'!$C$2:$S$188,12)</f>
        <v>0</v>
      </c>
      <c r="AC67" s="23">
        <f>VLOOKUP($C67,'Food Pairing Data'!$C$2:$S$188,13)</f>
        <v>0</v>
      </c>
      <c r="AD67" s="131">
        <f>VLOOKUP($C67,'Food Pairing Data'!$C$2:$S$188,14)</f>
        <v>0</v>
      </c>
      <c r="AE67" s="23">
        <f>VLOOKUP($C67,'Food Pairing Data'!$C$2:$S$188,15)</f>
        <v>0</v>
      </c>
      <c r="AF67" s="23">
        <f>VLOOKUP($C67,'Food Pairing Data'!$C$2:$S$188,16)</f>
        <v>0</v>
      </c>
      <c r="AG67" s="44">
        <f>VLOOKUP($C67,'Food Pairing Data'!$C$2:$S$188,17)</f>
        <v>0</v>
      </c>
      <c r="AH67" s="23" t="s">
        <v>563</v>
      </c>
      <c r="AI67" s="51" t="s">
        <v>380</v>
      </c>
    </row>
    <row r="68" spans="1:35" ht="14" hidden="1">
      <c r="A68" s="111">
        <f t="shared" ref="A68:A87" si="3">A67+1</f>
        <v>67</v>
      </c>
      <c r="B68" s="23" t="s">
        <v>245</v>
      </c>
      <c r="C68" s="23" t="s">
        <v>567</v>
      </c>
      <c r="D68" s="23" t="s">
        <v>380</v>
      </c>
      <c r="E68" s="22">
        <f>HLOOKUP('Output (Salad)'!$F$4,'Raw Data (Salad)'!$U$1:$BP$87,(A68+1),)</f>
        <v>1</v>
      </c>
      <c r="F68" s="23">
        <f>IF(D68='Output (Salad)'!$B$4,1,0)</f>
        <v>0</v>
      </c>
      <c r="G68" s="23">
        <f>IF(L68&lt;='Output (Salad)'!$C$4,(200-'Raw Data (Salad)'!L68),0)</f>
        <v>193.01</v>
      </c>
      <c r="H68" s="23">
        <v>3</v>
      </c>
      <c r="I68" s="23">
        <f>SUMPRODUCT(F68:H68,'Output (Salad)'!$B$5:$D$5)*E68</f>
        <v>154.70800000000003</v>
      </c>
      <c r="J68" s="89">
        <v>0</v>
      </c>
      <c r="K68" s="49">
        <f t="shared" si="2"/>
        <v>0</v>
      </c>
      <c r="L68" s="90">
        <v>6.99</v>
      </c>
      <c r="M68" s="23" t="s">
        <v>296</v>
      </c>
      <c r="N68" s="23" t="s">
        <v>568</v>
      </c>
      <c r="O68" s="23" t="s">
        <v>569</v>
      </c>
      <c r="P68" s="23" t="s">
        <v>570</v>
      </c>
      <c r="Q68" s="92">
        <v>9.5000000000000001E-2</v>
      </c>
      <c r="R68" s="23" t="s">
        <v>75</v>
      </c>
      <c r="S68" s="23" t="s">
        <v>92</v>
      </c>
      <c r="T68" s="23" t="s">
        <v>141</v>
      </c>
      <c r="U68" s="23">
        <f>VLOOKUP($C68,'Food Pairing Data'!$C$2:$S$188,5)</f>
        <v>0</v>
      </c>
      <c r="V68" s="23">
        <f>VLOOKUP($C68,'Food Pairing Data'!$C$2:$S$188,6)</f>
        <v>0</v>
      </c>
      <c r="W68" s="23">
        <f>VLOOKUP($C68,'Food Pairing Data'!$C$2:$S$188,7)</f>
        <v>0</v>
      </c>
      <c r="X68" s="23">
        <f>VLOOKUP($C68,'Food Pairing Data'!$C$2:$S$188,8)</f>
        <v>0</v>
      </c>
      <c r="Y68" s="23">
        <f>VLOOKUP($C68,'Food Pairing Data'!$C$2:$S$188,9)</f>
        <v>0</v>
      </c>
      <c r="Z68" s="23">
        <f>VLOOKUP($C68,'Food Pairing Data'!$C$2:$S$188,10)</f>
        <v>0</v>
      </c>
      <c r="AA68" s="23">
        <f>VLOOKUP($C68,'Food Pairing Data'!$C$2:$S$188,11)</f>
        <v>0</v>
      </c>
      <c r="AB68" s="23">
        <f>VLOOKUP($C68,'Food Pairing Data'!$C$2:$S$188,12)</f>
        <v>0</v>
      </c>
      <c r="AC68" s="23">
        <f>VLOOKUP($C68,'Food Pairing Data'!$C$2:$S$188,13)</f>
        <v>0</v>
      </c>
      <c r="AD68" s="131">
        <f>VLOOKUP($C68,'Food Pairing Data'!$C$2:$S$188,14)</f>
        <v>1</v>
      </c>
      <c r="AE68" s="23">
        <f>VLOOKUP($C68,'Food Pairing Data'!$C$2:$S$188,15)</f>
        <v>0</v>
      </c>
      <c r="AF68" s="23">
        <f>VLOOKUP($C68,'Food Pairing Data'!$C$2:$S$188,16)</f>
        <v>0</v>
      </c>
      <c r="AG68" s="44">
        <f>VLOOKUP($C68,'Food Pairing Data'!$C$2:$S$188,17)</f>
        <v>0</v>
      </c>
      <c r="AH68" s="23" t="s">
        <v>567</v>
      </c>
      <c r="AI68" s="51" t="s">
        <v>380</v>
      </c>
    </row>
    <row r="69" spans="1:35" ht="14" hidden="1">
      <c r="A69" s="111">
        <f t="shared" si="3"/>
        <v>68</v>
      </c>
      <c r="B69" s="23" t="s">
        <v>23</v>
      </c>
      <c r="C69" s="23" t="s">
        <v>571</v>
      </c>
      <c r="D69" s="23" t="s">
        <v>380</v>
      </c>
      <c r="E69" s="22">
        <f>HLOOKUP('Output (Salad)'!$F$4,'Raw Data (Salad)'!$U$1:$BP$87,(A69+1),)</f>
        <v>1</v>
      </c>
      <c r="F69" s="23">
        <f>IF(D69='Output (Salad)'!$B$4,1,0)</f>
        <v>0</v>
      </c>
      <c r="G69" s="23">
        <f>IF(L69&lt;='Output (Salad)'!$C$4,(200-'Raw Data (Salad)'!L69),0)</f>
        <v>186.01</v>
      </c>
      <c r="H69" s="23">
        <v>2.5</v>
      </c>
      <c r="I69" s="23">
        <f>SUMPRODUCT(F69:H69,'Output (Salad)'!$B$5:$D$5)*E69</f>
        <v>149.05799999999999</v>
      </c>
      <c r="J69" s="89">
        <v>0</v>
      </c>
      <c r="K69" s="49">
        <f t="shared" si="2"/>
        <v>0</v>
      </c>
      <c r="L69" s="90">
        <v>13.99</v>
      </c>
      <c r="M69" s="23" t="s">
        <v>546</v>
      </c>
      <c r="N69" s="23" t="s">
        <v>547</v>
      </c>
      <c r="O69" s="23" t="s">
        <v>533</v>
      </c>
      <c r="P69" s="23" t="s">
        <v>297</v>
      </c>
      <c r="Q69" s="92">
        <v>0.13500000000000001</v>
      </c>
      <c r="R69" s="23" t="s">
        <v>61</v>
      </c>
      <c r="S69" s="23" t="s">
        <v>142</v>
      </c>
      <c r="T69" s="23" t="s">
        <v>102</v>
      </c>
      <c r="U69" s="23">
        <f>VLOOKUP($C69,'Food Pairing Data'!$C$2:$S$188,5)</f>
        <v>0</v>
      </c>
      <c r="V69" s="23">
        <f>VLOOKUP($C69,'Food Pairing Data'!$C$2:$S$188,6)</f>
        <v>0</v>
      </c>
      <c r="W69" s="23">
        <f>VLOOKUP($C69,'Food Pairing Data'!$C$2:$S$188,7)</f>
        <v>0</v>
      </c>
      <c r="X69" s="23">
        <f>VLOOKUP($C69,'Food Pairing Data'!$C$2:$S$188,8)</f>
        <v>0</v>
      </c>
      <c r="Y69" s="23">
        <f>VLOOKUP($C69,'Food Pairing Data'!$C$2:$S$188,9)</f>
        <v>0</v>
      </c>
      <c r="Z69" s="23">
        <f>VLOOKUP($C69,'Food Pairing Data'!$C$2:$S$188,10)</f>
        <v>0</v>
      </c>
      <c r="AA69" s="23">
        <f>VLOOKUP($C69,'Food Pairing Data'!$C$2:$S$188,11)</f>
        <v>0</v>
      </c>
      <c r="AB69" s="23">
        <f>VLOOKUP($C69,'Food Pairing Data'!$C$2:$S$188,12)</f>
        <v>0</v>
      </c>
      <c r="AC69" s="23">
        <f>VLOOKUP($C69,'Food Pairing Data'!$C$2:$S$188,13)</f>
        <v>0</v>
      </c>
      <c r="AD69" s="131">
        <f>VLOOKUP($C69,'Food Pairing Data'!$C$2:$S$188,14)</f>
        <v>1</v>
      </c>
      <c r="AE69" s="23">
        <f>VLOOKUP($C69,'Food Pairing Data'!$C$2:$S$188,15)</f>
        <v>0</v>
      </c>
      <c r="AF69" s="23">
        <f>VLOOKUP($C69,'Food Pairing Data'!$C$2:$S$188,16)</f>
        <v>0</v>
      </c>
      <c r="AG69" s="44">
        <f>VLOOKUP($C69,'Food Pairing Data'!$C$2:$S$188,17)</f>
        <v>0</v>
      </c>
      <c r="AH69" s="23" t="s">
        <v>571</v>
      </c>
      <c r="AI69" s="51" t="s">
        <v>380</v>
      </c>
    </row>
    <row r="70" spans="1:35" ht="14" hidden="1">
      <c r="A70" s="111">
        <f t="shared" si="3"/>
        <v>69</v>
      </c>
      <c r="B70" s="23" t="s">
        <v>23</v>
      </c>
      <c r="C70" s="23" t="s">
        <v>572</v>
      </c>
      <c r="D70" s="23" t="s">
        <v>573</v>
      </c>
      <c r="E70" s="22">
        <f>HLOOKUP('Output (Salad)'!$F$4,'Raw Data (Salad)'!$U$1:$BP$87,(A70+1),)</f>
        <v>1</v>
      </c>
      <c r="F70" s="23">
        <f>IF(D70='Output (Salad)'!$B$4,1,0)</f>
        <v>0</v>
      </c>
      <c r="G70" s="23">
        <f>IF(L70&lt;='Output (Salad)'!$C$4,(200-'Raw Data (Salad)'!L70),0)</f>
        <v>180.01</v>
      </c>
      <c r="H70" s="23">
        <v>5</v>
      </c>
      <c r="I70" s="23">
        <f>SUMPRODUCT(F70:H70,'Output (Salad)'!$B$5:$D$5)*E70</f>
        <v>144.50800000000001</v>
      </c>
      <c r="J70" s="89">
        <v>0</v>
      </c>
      <c r="K70" s="49">
        <f t="shared" si="2"/>
        <v>0</v>
      </c>
      <c r="L70" s="90">
        <v>19.989999999999998</v>
      </c>
      <c r="M70" s="23" t="s">
        <v>574</v>
      </c>
      <c r="N70" s="23" t="s">
        <v>575</v>
      </c>
      <c r="O70" s="23" t="s">
        <v>416</v>
      </c>
      <c r="P70" s="23" t="s">
        <v>417</v>
      </c>
      <c r="Q70" s="92">
        <v>0.115</v>
      </c>
      <c r="R70" s="23" t="s">
        <v>56</v>
      </c>
      <c r="S70" s="23" t="s">
        <v>418</v>
      </c>
      <c r="T70" s="23" t="s">
        <v>148</v>
      </c>
      <c r="U70" s="23">
        <f>VLOOKUP($C70,'Food Pairing Data'!$C$2:$S$188,5)</f>
        <v>0</v>
      </c>
      <c r="V70" s="23">
        <f>VLOOKUP($C70,'Food Pairing Data'!$C$2:$S$188,6)</f>
        <v>0</v>
      </c>
      <c r="W70" s="23">
        <f>VLOOKUP($C70,'Food Pairing Data'!$C$2:$S$188,7)</f>
        <v>0</v>
      </c>
      <c r="X70" s="23">
        <f>VLOOKUP($C70,'Food Pairing Data'!$C$2:$S$188,8)</f>
        <v>0</v>
      </c>
      <c r="Y70" s="23">
        <f>VLOOKUP($C70,'Food Pairing Data'!$C$2:$S$188,9)</f>
        <v>0</v>
      </c>
      <c r="Z70" s="23">
        <f>VLOOKUP($C70,'Food Pairing Data'!$C$2:$S$188,10)</f>
        <v>0</v>
      </c>
      <c r="AA70" s="23">
        <f>VLOOKUP($C70,'Food Pairing Data'!$C$2:$S$188,11)</f>
        <v>0</v>
      </c>
      <c r="AB70" s="23">
        <f>VLOOKUP($C70,'Food Pairing Data'!$C$2:$S$188,12)</f>
        <v>0</v>
      </c>
      <c r="AC70" s="23">
        <f>VLOOKUP($C70,'Food Pairing Data'!$C$2:$S$188,13)</f>
        <v>0</v>
      </c>
      <c r="AD70" s="131">
        <f>VLOOKUP($C70,'Food Pairing Data'!$C$2:$S$188,14)</f>
        <v>1</v>
      </c>
      <c r="AE70" s="23">
        <f>VLOOKUP($C70,'Food Pairing Data'!$C$2:$S$188,15)</f>
        <v>0</v>
      </c>
      <c r="AF70" s="23">
        <f>VLOOKUP($C70,'Food Pairing Data'!$C$2:$S$188,16)</f>
        <v>0</v>
      </c>
      <c r="AG70" s="44">
        <f>VLOOKUP($C70,'Food Pairing Data'!$C$2:$S$188,17)</f>
        <v>0</v>
      </c>
      <c r="AH70" s="23" t="s">
        <v>572</v>
      </c>
      <c r="AI70" s="51" t="s">
        <v>573</v>
      </c>
    </row>
    <row r="71" spans="1:35" ht="14" hidden="1">
      <c r="A71" s="111">
        <f t="shared" si="3"/>
        <v>70</v>
      </c>
      <c r="B71" s="23" t="s">
        <v>23</v>
      </c>
      <c r="C71" s="23" t="s">
        <v>419</v>
      </c>
      <c r="D71" s="23" t="s">
        <v>573</v>
      </c>
      <c r="E71" s="22">
        <f>HLOOKUP('Output (Salad)'!$F$4,'Raw Data (Salad)'!$U$1:$BP$87,(A71+1),)</f>
        <v>0</v>
      </c>
      <c r="F71" s="23">
        <f>IF(D71='Output (Salad)'!$B$4,1,0)</f>
        <v>0</v>
      </c>
      <c r="G71" s="23">
        <f>IF(L71&lt;='Output (Salad)'!$C$4,(200-'Raw Data (Salad)'!L71),0)</f>
        <v>181.01</v>
      </c>
      <c r="H71" s="23">
        <v>5</v>
      </c>
      <c r="I71" s="23">
        <f>SUMPRODUCT(F71:H71,'Output (Salad)'!$B$5:$D$5)*E71</f>
        <v>0</v>
      </c>
      <c r="J71" s="89">
        <v>0</v>
      </c>
      <c r="K71" s="49">
        <f t="shared" si="2"/>
        <v>0</v>
      </c>
      <c r="L71" s="90">
        <v>18.989999999999998</v>
      </c>
      <c r="M71" s="23" t="s">
        <v>525</v>
      </c>
      <c r="N71" s="23" t="s">
        <v>580</v>
      </c>
      <c r="O71" s="23" t="s">
        <v>421</v>
      </c>
      <c r="P71" s="23" t="s">
        <v>422</v>
      </c>
      <c r="Q71" s="92">
        <v>0.14000000000000001</v>
      </c>
      <c r="R71" s="23" t="s">
        <v>523</v>
      </c>
      <c r="S71" s="23" t="s">
        <v>558</v>
      </c>
      <c r="T71" s="23" t="s">
        <v>102</v>
      </c>
      <c r="U71" s="23">
        <f>VLOOKUP($C71,'Food Pairing Data'!$C$2:$S$188,5)</f>
        <v>0</v>
      </c>
      <c r="V71" s="23">
        <f>VLOOKUP($C71,'Food Pairing Data'!$C$2:$S$188,6)</f>
        <v>0</v>
      </c>
      <c r="W71" s="23">
        <f>VLOOKUP($C71,'Food Pairing Data'!$C$2:$S$188,7)</f>
        <v>0</v>
      </c>
      <c r="X71" s="23">
        <f>VLOOKUP($C71,'Food Pairing Data'!$C$2:$S$188,8)</f>
        <v>1</v>
      </c>
      <c r="Y71" s="23">
        <f>VLOOKUP($C71,'Food Pairing Data'!$C$2:$S$188,9)</f>
        <v>0</v>
      </c>
      <c r="Z71" s="23">
        <f>VLOOKUP($C71,'Food Pairing Data'!$C$2:$S$188,10)</f>
        <v>1</v>
      </c>
      <c r="AA71" s="23">
        <f>VLOOKUP($C71,'Food Pairing Data'!$C$2:$S$188,11)</f>
        <v>0</v>
      </c>
      <c r="AB71" s="23">
        <f>VLOOKUP($C71,'Food Pairing Data'!$C$2:$S$188,12)</f>
        <v>0</v>
      </c>
      <c r="AC71" s="23">
        <f>VLOOKUP($C71,'Food Pairing Data'!$C$2:$S$188,13)</f>
        <v>0</v>
      </c>
      <c r="AD71" s="131">
        <f>VLOOKUP($C71,'Food Pairing Data'!$C$2:$S$188,14)</f>
        <v>0</v>
      </c>
      <c r="AE71" s="23">
        <f>VLOOKUP($C71,'Food Pairing Data'!$C$2:$S$188,15)</f>
        <v>0</v>
      </c>
      <c r="AF71" s="23">
        <f>VLOOKUP($C71,'Food Pairing Data'!$C$2:$S$188,16)</f>
        <v>0</v>
      </c>
      <c r="AG71" s="44">
        <f>VLOOKUP($C71,'Food Pairing Data'!$C$2:$S$188,17)</f>
        <v>0</v>
      </c>
      <c r="AH71" s="23" t="s">
        <v>419</v>
      </c>
      <c r="AI71" s="51" t="s">
        <v>573</v>
      </c>
    </row>
    <row r="72" spans="1:35" ht="14" hidden="1">
      <c r="A72" s="111">
        <f t="shared" si="3"/>
        <v>71</v>
      </c>
      <c r="B72" s="23" t="s">
        <v>23</v>
      </c>
      <c r="C72" s="23" t="s">
        <v>423</v>
      </c>
      <c r="D72" s="23" t="s">
        <v>573</v>
      </c>
      <c r="E72" s="22">
        <f>HLOOKUP('Output (Salad)'!$F$4,'Raw Data (Salad)'!$U$1:$BP$87,(A72+1),)</f>
        <v>0</v>
      </c>
      <c r="F72" s="23">
        <f>IF(D72='Output (Salad)'!$B$4,1,0)</f>
        <v>0</v>
      </c>
      <c r="G72" s="23">
        <f>IF(L72&lt;='Output (Salad)'!$C$4,(200-'Raw Data (Salad)'!L72),0)</f>
        <v>185.01</v>
      </c>
      <c r="H72" s="23">
        <v>4.5</v>
      </c>
      <c r="I72" s="23">
        <f>SUMPRODUCT(F72:H72,'Output (Salad)'!$B$5:$D$5)*E72</f>
        <v>0</v>
      </c>
      <c r="J72" s="89">
        <v>0</v>
      </c>
      <c r="K72" s="49">
        <f t="shared" si="2"/>
        <v>0</v>
      </c>
      <c r="L72" s="90">
        <v>14.99</v>
      </c>
      <c r="M72" s="23" t="s">
        <v>164</v>
      </c>
      <c r="N72" s="23" t="s">
        <v>424</v>
      </c>
      <c r="O72" s="23" t="s">
        <v>425</v>
      </c>
      <c r="P72" s="23" t="s">
        <v>540</v>
      </c>
      <c r="Q72" s="92">
        <v>0.13</v>
      </c>
      <c r="R72" s="23" t="s">
        <v>56</v>
      </c>
      <c r="S72" s="23" t="s">
        <v>518</v>
      </c>
      <c r="T72" s="23" t="s">
        <v>149</v>
      </c>
      <c r="U72" s="23">
        <f>VLOOKUP($C72,'Food Pairing Data'!$C$2:$S$188,5)</f>
        <v>0</v>
      </c>
      <c r="V72" s="23">
        <f>VLOOKUP($C72,'Food Pairing Data'!$C$2:$S$188,6)</f>
        <v>0</v>
      </c>
      <c r="W72" s="23">
        <f>VLOOKUP($C72,'Food Pairing Data'!$C$2:$S$188,7)</f>
        <v>1</v>
      </c>
      <c r="X72" s="23">
        <f>VLOOKUP($C72,'Food Pairing Data'!$C$2:$S$188,8)</f>
        <v>1</v>
      </c>
      <c r="Y72" s="23">
        <f>VLOOKUP($C72,'Food Pairing Data'!$C$2:$S$188,9)</f>
        <v>0</v>
      </c>
      <c r="Z72" s="23">
        <f>VLOOKUP($C72,'Food Pairing Data'!$C$2:$S$188,10)</f>
        <v>0</v>
      </c>
      <c r="AA72" s="23">
        <f>VLOOKUP($C72,'Food Pairing Data'!$C$2:$S$188,11)</f>
        <v>0</v>
      </c>
      <c r="AB72" s="23">
        <f>VLOOKUP($C72,'Food Pairing Data'!$C$2:$S$188,12)</f>
        <v>0</v>
      </c>
      <c r="AC72" s="23">
        <f>VLOOKUP($C72,'Food Pairing Data'!$C$2:$S$188,13)</f>
        <v>0</v>
      </c>
      <c r="AD72" s="131">
        <f>VLOOKUP($C72,'Food Pairing Data'!$C$2:$S$188,14)</f>
        <v>0</v>
      </c>
      <c r="AE72" s="23">
        <f>VLOOKUP($C72,'Food Pairing Data'!$C$2:$S$188,15)</f>
        <v>0</v>
      </c>
      <c r="AF72" s="23">
        <f>VLOOKUP($C72,'Food Pairing Data'!$C$2:$S$188,16)</f>
        <v>0</v>
      </c>
      <c r="AG72" s="44">
        <f>VLOOKUP($C72,'Food Pairing Data'!$C$2:$S$188,17)</f>
        <v>0</v>
      </c>
      <c r="AH72" s="23" t="s">
        <v>423</v>
      </c>
      <c r="AI72" s="51" t="s">
        <v>573</v>
      </c>
    </row>
    <row r="73" spans="1:35" ht="14" hidden="1">
      <c r="A73" s="111">
        <f t="shared" si="3"/>
        <v>72</v>
      </c>
      <c r="B73" s="23" t="s">
        <v>23</v>
      </c>
      <c r="C73" s="23" t="s">
        <v>426</v>
      </c>
      <c r="D73" s="23" t="s">
        <v>573</v>
      </c>
      <c r="E73" s="22">
        <f>HLOOKUP('Output (Salad)'!$F$4,'Raw Data (Salad)'!$U$1:$BP$87,(A73+1),)</f>
        <v>0</v>
      </c>
      <c r="F73" s="23">
        <f>IF(D73='Output (Salad)'!$B$4,1,0)</f>
        <v>0</v>
      </c>
      <c r="G73" s="23">
        <f>IF(L73&lt;='Output (Salad)'!$C$4,(200-'Raw Data (Salad)'!L73),0)</f>
        <v>183.01</v>
      </c>
      <c r="H73" s="23">
        <v>4</v>
      </c>
      <c r="I73" s="23">
        <f>SUMPRODUCT(F73:H73,'Output (Salad)'!$B$5:$D$5)*E73</f>
        <v>0</v>
      </c>
      <c r="J73" s="89">
        <v>0</v>
      </c>
      <c r="K73" s="49">
        <f t="shared" si="2"/>
        <v>0</v>
      </c>
      <c r="L73" s="90">
        <v>16.989999999999998</v>
      </c>
      <c r="M73" s="23" t="s">
        <v>525</v>
      </c>
      <c r="N73" s="23" t="s">
        <v>427</v>
      </c>
      <c r="O73" s="23" t="s">
        <v>428</v>
      </c>
      <c r="P73" s="23" t="s">
        <v>429</v>
      </c>
      <c r="Q73" s="92">
        <v>0.14000000000000001</v>
      </c>
      <c r="R73" s="23" t="s">
        <v>63</v>
      </c>
      <c r="S73" s="23" t="s">
        <v>56</v>
      </c>
      <c r="T73" s="23" t="s">
        <v>553</v>
      </c>
      <c r="U73" s="23">
        <f>VLOOKUP($C73,'Food Pairing Data'!$C$2:$S$188,5)</f>
        <v>0</v>
      </c>
      <c r="V73" s="23">
        <f>VLOOKUP($C73,'Food Pairing Data'!$C$2:$S$188,6)</f>
        <v>0</v>
      </c>
      <c r="W73" s="23">
        <f>VLOOKUP($C73,'Food Pairing Data'!$C$2:$S$188,7)</f>
        <v>0</v>
      </c>
      <c r="X73" s="23">
        <f>VLOOKUP($C73,'Food Pairing Data'!$C$2:$S$188,8)</f>
        <v>1</v>
      </c>
      <c r="Y73" s="23">
        <f>VLOOKUP($C73,'Food Pairing Data'!$C$2:$S$188,9)</f>
        <v>0</v>
      </c>
      <c r="Z73" s="23">
        <f>VLOOKUP($C73,'Food Pairing Data'!$C$2:$S$188,10)</f>
        <v>1</v>
      </c>
      <c r="AA73" s="23">
        <f>VLOOKUP($C73,'Food Pairing Data'!$C$2:$S$188,11)</f>
        <v>0</v>
      </c>
      <c r="AB73" s="23">
        <f>VLOOKUP($C73,'Food Pairing Data'!$C$2:$S$188,12)</f>
        <v>0</v>
      </c>
      <c r="AC73" s="23">
        <f>VLOOKUP($C73,'Food Pairing Data'!$C$2:$S$188,13)</f>
        <v>0</v>
      </c>
      <c r="AD73" s="131">
        <f>VLOOKUP($C73,'Food Pairing Data'!$C$2:$S$188,14)</f>
        <v>0</v>
      </c>
      <c r="AE73" s="23">
        <f>VLOOKUP($C73,'Food Pairing Data'!$C$2:$S$188,15)</f>
        <v>0</v>
      </c>
      <c r="AF73" s="23">
        <f>VLOOKUP($C73,'Food Pairing Data'!$C$2:$S$188,16)</f>
        <v>0</v>
      </c>
      <c r="AG73" s="44">
        <f>VLOOKUP($C73,'Food Pairing Data'!$C$2:$S$188,17)</f>
        <v>0</v>
      </c>
      <c r="AH73" s="23" t="s">
        <v>426</v>
      </c>
      <c r="AI73" s="51" t="s">
        <v>573</v>
      </c>
    </row>
    <row r="74" spans="1:35" ht="14" hidden="1">
      <c r="A74" s="111">
        <f t="shared" si="3"/>
        <v>73</v>
      </c>
      <c r="B74" s="23" t="s">
        <v>245</v>
      </c>
      <c r="C74" s="23" t="s">
        <v>601</v>
      </c>
      <c r="D74" s="23" t="s">
        <v>573</v>
      </c>
      <c r="E74" s="22">
        <f>HLOOKUP('Output (Salad)'!$F$4,'Raw Data (Salad)'!$U$1:$BP$87,(A74+1),)</f>
        <v>1</v>
      </c>
      <c r="F74" s="23">
        <f>IF(D74='Output (Salad)'!$B$4,1,0)</f>
        <v>0</v>
      </c>
      <c r="G74" s="23">
        <f>IF(L74&lt;='Output (Salad)'!$C$4,(200-'Raw Data (Salad)'!L74),0)</f>
        <v>190.01</v>
      </c>
      <c r="H74" s="23">
        <v>4</v>
      </c>
      <c r="I74" s="23">
        <f>SUMPRODUCT(F74:H74,'Output (Salad)'!$B$5:$D$5)*E74</f>
        <v>152.40800000000002</v>
      </c>
      <c r="J74" s="89">
        <v>0</v>
      </c>
      <c r="K74" s="49">
        <f t="shared" si="2"/>
        <v>0</v>
      </c>
      <c r="L74" s="90">
        <v>9.99</v>
      </c>
      <c r="M74" s="23" t="s">
        <v>525</v>
      </c>
      <c r="N74" s="23" t="s">
        <v>602</v>
      </c>
      <c r="O74" s="23" t="s">
        <v>603</v>
      </c>
      <c r="P74" s="23" t="s">
        <v>604</v>
      </c>
      <c r="Q74" s="92">
        <v>0.12</v>
      </c>
      <c r="R74" s="23" t="s">
        <v>518</v>
      </c>
      <c r="S74" s="23" t="s">
        <v>90</v>
      </c>
      <c r="T74" s="23" t="s">
        <v>102</v>
      </c>
      <c r="U74" s="23">
        <f>VLOOKUP($C74,'Food Pairing Data'!$C$2:$S$188,5)</f>
        <v>0</v>
      </c>
      <c r="V74" s="23">
        <f>VLOOKUP($C74,'Food Pairing Data'!$C$2:$S$188,6)</f>
        <v>0</v>
      </c>
      <c r="W74" s="23">
        <f>VLOOKUP($C74,'Food Pairing Data'!$C$2:$S$188,7)</f>
        <v>0</v>
      </c>
      <c r="X74" s="23">
        <f>VLOOKUP($C74,'Food Pairing Data'!$C$2:$S$188,8)</f>
        <v>0</v>
      </c>
      <c r="Y74" s="23">
        <f>VLOOKUP($C74,'Food Pairing Data'!$C$2:$S$188,9)</f>
        <v>0</v>
      </c>
      <c r="Z74" s="23">
        <f>VLOOKUP($C74,'Food Pairing Data'!$C$2:$S$188,10)</f>
        <v>0</v>
      </c>
      <c r="AA74" s="23">
        <f>VLOOKUP($C74,'Food Pairing Data'!$C$2:$S$188,11)</f>
        <v>0</v>
      </c>
      <c r="AB74" s="23">
        <f>VLOOKUP($C74,'Food Pairing Data'!$C$2:$S$188,12)</f>
        <v>0</v>
      </c>
      <c r="AC74" s="23">
        <f>VLOOKUP($C74,'Food Pairing Data'!$C$2:$S$188,13)</f>
        <v>0</v>
      </c>
      <c r="AD74" s="131">
        <f>VLOOKUP($C74,'Food Pairing Data'!$C$2:$S$188,14)</f>
        <v>1</v>
      </c>
      <c r="AE74" s="23">
        <f>VLOOKUP($C74,'Food Pairing Data'!$C$2:$S$188,15)</f>
        <v>0</v>
      </c>
      <c r="AF74" s="23">
        <f>VLOOKUP($C74,'Food Pairing Data'!$C$2:$S$188,16)</f>
        <v>0</v>
      </c>
      <c r="AG74" s="44">
        <f>VLOOKUP($C74,'Food Pairing Data'!$C$2:$S$188,17)</f>
        <v>0</v>
      </c>
      <c r="AH74" s="23" t="s">
        <v>601</v>
      </c>
      <c r="AI74" s="51" t="s">
        <v>573</v>
      </c>
    </row>
    <row r="75" spans="1:35" ht="14" hidden="1">
      <c r="A75" s="111">
        <f t="shared" si="3"/>
        <v>74</v>
      </c>
      <c r="B75" s="23" t="s">
        <v>161</v>
      </c>
      <c r="C75" s="23" t="s">
        <v>605</v>
      </c>
      <c r="D75" s="23" t="s">
        <v>606</v>
      </c>
      <c r="E75" s="22">
        <f>HLOOKUP('Output (Salad)'!$F$4,'Raw Data (Salad)'!$U$1:$BP$87,(A75+1),)</f>
        <v>1</v>
      </c>
      <c r="F75" s="23">
        <f>IF(D75='Output (Salad)'!$B$4,1,0)</f>
        <v>0</v>
      </c>
      <c r="G75" s="23">
        <f>IF(L75&lt;='Output (Salad)'!$C$4,(200-'Raw Data (Salad)'!L75),0)</f>
        <v>0</v>
      </c>
      <c r="H75" s="23">
        <v>5</v>
      </c>
      <c r="I75" s="23">
        <f>SUMPRODUCT(F75:H75,'Output (Salad)'!$B$5:$D$5)*E75</f>
        <v>0.5</v>
      </c>
      <c r="J75" s="89">
        <v>0</v>
      </c>
      <c r="K75" s="49">
        <f t="shared" si="2"/>
        <v>0</v>
      </c>
      <c r="L75" s="90">
        <v>54.99</v>
      </c>
      <c r="M75" s="23" t="s">
        <v>525</v>
      </c>
      <c r="N75" s="23" t="s">
        <v>607</v>
      </c>
      <c r="O75" s="23" t="s">
        <v>608</v>
      </c>
      <c r="P75" s="23" t="s">
        <v>540</v>
      </c>
      <c r="Q75" s="92">
        <v>0.125</v>
      </c>
      <c r="R75" s="23" t="s">
        <v>74</v>
      </c>
      <c r="S75" s="23" t="s">
        <v>86</v>
      </c>
      <c r="T75" s="23" t="s">
        <v>104</v>
      </c>
      <c r="U75" s="23">
        <f>VLOOKUP($C75,'Food Pairing Data'!$C$2:$S$188,5)</f>
        <v>0</v>
      </c>
      <c r="V75" s="23">
        <f>VLOOKUP($C75,'Food Pairing Data'!$C$2:$S$188,6)</f>
        <v>0</v>
      </c>
      <c r="W75" s="23">
        <f>VLOOKUP($C75,'Food Pairing Data'!$C$2:$S$188,7)</f>
        <v>0</v>
      </c>
      <c r="X75" s="23">
        <f>VLOOKUP($C75,'Food Pairing Data'!$C$2:$S$188,8)</f>
        <v>0</v>
      </c>
      <c r="Y75" s="23">
        <f>VLOOKUP($C75,'Food Pairing Data'!$C$2:$S$188,9)</f>
        <v>0</v>
      </c>
      <c r="Z75" s="23">
        <f>VLOOKUP($C75,'Food Pairing Data'!$C$2:$S$188,10)</f>
        <v>0</v>
      </c>
      <c r="AA75" s="23">
        <f>VLOOKUP($C75,'Food Pairing Data'!$C$2:$S$188,11)</f>
        <v>0</v>
      </c>
      <c r="AB75" s="23">
        <f>VLOOKUP($C75,'Food Pairing Data'!$C$2:$S$188,12)</f>
        <v>0</v>
      </c>
      <c r="AC75" s="23">
        <f>VLOOKUP($C75,'Food Pairing Data'!$C$2:$S$188,13)</f>
        <v>0</v>
      </c>
      <c r="AD75" s="131">
        <f>VLOOKUP($C75,'Food Pairing Data'!$C$2:$S$188,14)</f>
        <v>1</v>
      </c>
      <c r="AE75" s="23">
        <f>VLOOKUP($C75,'Food Pairing Data'!$C$2:$S$188,15)</f>
        <v>0</v>
      </c>
      <c r="AF75" s="23">
        <f>VLOOKUP($C75,'Food Pairing Data'!$C$2:$S$188,16)</f>
        <v>0</v>
      </c>
      <c r="AG75" s="44">
        <f>VLOOKUP($C75,'Food Pairing Data'!$C$2:$S$188,17)</f>
        <v>0</v>
      </c>
      <c r="AH75" s="23" t="s">
        <v>605</v>
      </c>
      <c r="AI75" s="51" t="s">
        <v>606</v>
      </c>
    </row>
    <row r="76" spans="1:35" ht="14" hidden="1">
      <c r="A76" s="111">
        <f t="shared" si="3"/>
        <v>75</v>
      </c>
      <c r="B76" s="23" t="s">
        <v>181</v>
      </c>
      <c r="C76" s="23" t="s">
        <v>609</v>
      </c>
      <c r="D76" s="23" t="s">
        <v>606</v>
      </c>
      <c r="E76" s="22">
        <f>HLOOKUP('Output (Salad)'!$F$4,'Raw Data (Salad)'!$U$1:$BP$87,(A76+1),)</f>
        <v>0</v>
      </c>
      <c r="F76" s="23">
        <f>IF(D76='Output (Salad)'!$B$4,1,0)</f>
        <v>0</v>
      </c>
      <c r="G76" s="23">
        <f>IF(L76&lt;='Output (Salad)'!$C$4,(200-'Raw Data (Salad)'!L76),0)</f>
        <v>0</v>
      </c>
      <c r="H76" s="23">
        <v>5</v>
      </c>
      <c r="I76" s="23">
        <f>SUMPRODUCT(F76:H76,'Output (Salad)'!$B$5:$D$5)*E76</f>
        <v>0</v>
      </c>
      <c r="J76" s="89">
        <v>0</v>
      </c>
      <c r="K76" s="49">
        <f t="shared" si="2"/>
        <v>0</v>
      </c>
      <c r="L76" s="90">
        <v>37.99</v>
      </c>
      <c r="M76" s="23" t="s">
        <v>525</v>
      </c>
      <c r="N76" s="23" t="s">
        <v>610</v>
      </c>
      <c r="O76" s="23" t="s">
        <v>611</v>
      </c>
      <c r="P76" s="23" t="s">
        <v>612</v>
      </c>
      <c r="Q76" s="92">
        <v>0.12</v>
      </c>
      <c r="R76" s="23" t="s">
        <v>518</v>
      </c>
      <c r="S76" s="23" t="s">
        <v>74</v>
      </c>
      <c r="T76" s="23" t="s">
        <v>53</v>
      </c>
      <c r="U76" s="23">
        <f>VLOOKUP($C76,'Food Pairing Data'!$C$2:$S$188,5)</f>
        <v>0</v>
      </c>
      <c r="V76" s="23">
        <f>VLOOKUP($C76,'Food Pairing Data'!$C$2:$S$188,6)</f>
        <v>0</v>
      </c>
      <c r="W76" s="23">
        <f>VLOOKUP($C76,'Food Pairing Data'!$C$2:$S$188,7)</f>
        <v>0</v>
      </c>
      <c r="X76" s="23">
        <f>VLOOKUP($C76,'Food Pairing Data'!$C$2:$S$188,8)</f>
        <v>1</v>
      </c>
      <c r="Y76" s="23">
        <f>VLOOKUP($C76,'Food Pairing Data'!$C$2:$S$188,9)</f>
        <v>0</v>
      </c>
      <c r="Z76" s="23">
        <f>VLOOKUP($C76,'Food Pairing Data'!$C$2:$S$188,10)</f>
        <v>1</v>
      </c>
      <c r="AA76" s="23">
        <f>VLOOKUP($C76,'Food Pairing Data'!$C$2:$S$188,11)</f>
        <v>0</v>
      </c>
      <c r="AB76" s="23">
        <f>VLOOKUP($C76,'Food Pairing Data'!$C$2:$S$188,12)</f>
        <v>0</v>
      </c>
      <c r="AC76" s="23">
        <f>VLOOKUP($C76,'Food Pairing Data'!$C$2:$S$188,13)</f>
        <v>0</v>
      </c>
      <c r="AD76" s="131">
        <f>VLOOKUP($C76,'Food Pairing Data'!$C$2:$S$188,14)</f>
        <v>0</v>
      </c>
      <c r="AE76" s="23">
        <f>VLOOKUP($C76,'Food Pairing Data'!$C$2:$S$188,15)</f>
        <v>0</v>
      </c>
      <c r="AF76" s="23">
        <f>VLOOKUP($C76,'Food Pairing Data'!$C$2:$S$188,16)</f>
        <v>0</v>
      </c>
      <c r="AG76" s="44">
        <f>VLOOKUP($C76,'Food Pairing Data'!$C$2:$S$188,17)</f>
        <v>0</v>
      </c>
      <c r="AH76" s="23" t="s">
        <v>609</v>
      </c>
      <c r="AI76" s="51" t="s">
        <v>606</v>
      </c>
    </row>
    <row r="77" spans="1:35" ht="14" hidden="1">
      <c r="A77" s="111">
        <f t="shared" si="3"/>
        <v>76</v>
      </c>
      <c r="B77" s="23" t="s">
        <v>23</v>
      </c>
      <c r="C77" s="23" t="s">
        <v>572</v>
      </c>
      <c r="D77" s="23" t="s">
        <v>606</v>
      </c>
      <c r="E77" s="22">
        <f>HLOOKUP('Output (Salad)'!$F$4,'Raw Data (Salad)'!$U$1:$BP$87,(A77+1),)</f>
        <v>1</v>
      </c>
      <c r="F77" s="23">
        <f>IF(D77='Output (Salad)'!$B$4,1,0)</f>
        <v>0</v>
      </c>
      <c r="G77" s="23">
        <f>IF(L77&lt;='Output (Salad)'!$C$4,(200-'Raw Data (Salad)'!L77),0)</f>
        <v>180.01</v>
      </c>
      <c r="H77" s="23">
        <v>5</v>
      </c>
      <c r="I77" s="23">
        <f>SUMPRODUCT(F77:H77,'Output (Salad)'!$B$5:$D$5)*E77</f>
        <v>144.50800000000001</v>
      </c>
      <c r="J77" s="89">
        <v>0</v>
      </c>
      <c r="K77" s="49">
        <f t="shared" si="2"/>
        <v>0</v>
      </c>
      <c r="L77" s="90">
        <v>19.989999999999998</v>
      </c>
      <c r="M77" s="23" t="s">
        <v>574</v>
      </c>
      <c r="N77" s="23" t="s">
        <v>575</v>
      </c>
      <c r="O77" s="23" t="s">
        <v>416</v>
      </c>
      <c r="P77" s="23" t="s">
        <v>417</v>
      </c>
      <c r="Q77" s="92">
        <v>0.115</v>
      </c>
      <c r="R77" s="23" t="s">
        <v>56</v>
      </c>
      <c r="S77" s="23" t="s">
        <v>78</v>
      </c>
      <c r="T77" s="23" t="s">
        <v>148</v>
      </c>
      <c r="U77" s="23">
        <f>VLOOKUP($C77,'Food Pairing Data'!$C$2:$S$188,5)</f>
        <v>0</v>
      </c>
      <c r="V77" s="23">
        <f>VLOOKUP($C77,'Food Pairing Data'!$C$2:$S$188,6)</f>
        <v>0</v>
      </c>
      <c r="W77" s="23">
        <f>VLOOKUP($C77,'Food Pairing Data'!$C$2:$S$188,7)</f>
        <v>0</v>
      </c>
      <c r="X77" s="23">
        <f>VLOOKUP($C77,'Food Pairing Data'!$C$2:$S$188,8)</f>
        <v>0</v>
      </c>
      <c r="Y77" s="23">
        <f>VLOOKUP($C77,'Food Pairing Data'!$C$2:$S$188,9)</f>
        <v>0</v>
      </c>
      <c r="Z77" s="23">
        <f>VLOOKUP($C77,'Food Pairing Data'!$C$2:$S$188,10)</f>
        <v>0</v>
      </c>
      <c r="AA77" s="23">
        <f>VLOOKUP($C77,'Food Pairing Data'!$C$2:$S$188,11)</f>
        <v>0</v>
      </c>
      <c r="AB77" s="23">
        <f>VLOOKUP($C77,'Food Pairing Data'!$C$2:$S$188,12)</f>
        <v>0</v>
      </c>
      <c r="AC77" s="23">
        <f>VLOOKUP($C77,'Food Pairing Data'!$C$2:$S$188,13)</f>
        <v>0</v>
      </c>
      <c r="AD77" s="131">
        <f>VLOOKUP($C77,'Food Pairing Data'!$C$2:$S$188,14)</f>
        <v>1</v>
      </c>
      <c r="AE77" s="23">
        <f>VLOOKUP($C77,'Food Pairing Data'!$C$2:$S$188,15)</f>
        <v>0</v>
      </c>
      <c r="AF77" s="23">
        <f>VLOOKUP($C77,'Food Pairing Data'!$C$2:$S$188,16)</f>
        <v>0</v>
      </c>
      <c r="AG77" s="44">
        <f>VLOOKUP($C77,'Food Pairing Data'!$C$2:$S$188,17)</f>
        <v>0</v>
      </c>
      <c r="AH77" s="23" t="s">
        <v>572</v>
      </c>
      <c r="AI77" s="51" t="s">
        <v>606</v>
      </c>
    </row>
    <row r="78" spans="1:35" ht="14" hidden="1">
      <c r="A78" s="111">
        <f t="shared" si="3"/>
        <v>77</v>
      </c>
      <c r="B78" s="23" t="s">
        <v>245</v>
      </c>
      <c r="C78" s="23" t="s">
        <v>613</v>
      </c>
      <c r="D78" s="23" t="s">
        <v>606</v>
      </c>
      <c r="E78" s="22">
        <f>HLOOKUP('Output (Salad)'!$F$4,'Raw Data (Salad)'!$U$1:$BP$87,(A78+1),)</f>
        <v>1</v>
      </c>
      <c r="F78" s="23">
        <f>IF(D78='Output (Salad)'!$B$4,1,0)</f>
        <v>0</v>
      </c>
      <c r="G78" s="23">
        <f>IF(L78&lt;='Output (Salad)'!$C$4,(200-'Raw Data (Salad)'!L78),0)</f>
        <v>191.01</v>
      </c>
      <c r="H78" s="23">
        <v>4.5</v>
      </c>
      <c r="I78" s="23">
        <f>SUMPRODUCT(F78:H78,'Output (Salad)'!$B$5:$D$5)*E78</f>
        <v>153.25799999999998</v>
      </c>
      <c r="J78" s="89">
        <v>0</v>
      </c>
      <c r="K78" s="49">
        <f t="shared" si="2"/>
        <v>0</v>
      </c>
      <c r="L78" s="90">
        <v>8.99</v>
      </c>
      <c r="M78" s="23" t="s">
        <v>525</v>
      </c>
      <c r="N78" s="23" t="s">
        <v>602</v>
      </c>
      <c r="O78" s="23" t="s">
        <v>614</v>
      </c>
      <c r="P78" s="23" t="s">
        <v>615</v>
      </c>
      <c r="Q78" s="92">
        <v>0.11</v>
      </c>
      <c r="R78" s="23" t="s">
        <v>168</v>
      </c>
      <c r="S78" s="23" t="s">
        <v>616</v>
      </c>
      <c r="T78" s="23" t="s">
        <v>147</v>
      </c>
      <c r="U78" s="23">
        <f>VLOOKUP($C78,'Food Pairing Data'!$C$2:$S$188,5)</f>
        <v>0</v>
      </c>
      <c r="V78" s="23">
        <f>VLOOKUP($C78,'Food Pairing Data'!$C$2:$S$188,6)</f>
        <v>0</v>
      </c>
      <c r="W78" s="23">
        <f>VLOOKUP($C78,'Food Pairing Data'!$C$2:$S$188,7)</f>
        <v>0</v>
      </c>
      <c r="X78" s="23">
        <f>VLOOKUP($C78,'Food Pairing Data'!$C$2:$S$188,8)</f>
        <v>0</v>
      </c>
      <c r="Y78" s="23">
        <f>VLOOKUP($C78,'Food Pairing Data'!$C$2:$S$188,9)</f>
        <v>0</v>
      </c>
      <c r="Z78" s="23">
        <f>VLOOKUP($C78,'Food Pairing Data'!$C$2:$S$188,10)</f>
        <v>0</v>
      </c>
      <c r="AA78" s="23">
        <f>VLOOKUP($C78,'Food Pairing Data'!$C$2:$S$188,11)</f>
        <v>0</v>
      </c>
      <c r="AB78" s="23">
        <f>VLOOKUP($C78,'Food Pairing Data'!$C$2:$S$188,12)</f>
        <v>0</v>
      </c>
      <c r="AC78" s="23">
        <f>VLOOKUP($C78,'Food Pairing Data'!$C$2:$S$188,13)</f>
        <v>0</v>
      </c>
      <c r="AD78" s="131">
        <f>VLOOKUP($C78,'Food Pairing Data'!$C$2:$S$188,14)</f>
        <v>1</v>
      </c>
      <c r="AE78" s="23">
        <f>VLOOKUP($C78,'Food Pairing Data'!$C$2:$S$188,15)</f>
        <v>0</v>
      </c>
      <c r="AF78" s="23">
        <f>VLOOKUP($C78,'Food Pairing Data'!$C$2:$S$188,16)</f>
        <v>0</v>
      </c>
      <c r="AG78" s="44">
        <f>VLOOKUP($C78,'Food Pairing Data'!$C$2:$S$188,17)</f>
        <v>0</v>
      </c>
      <c r="AH78" s="23" t="s">
        <v>613</v>
      </c>
      <c r="AI78" s="51" t="s">
        <v>606</v>
      </c>
    </row>
    <row r="79" spans="1:35" ht="14" hidden="1">
      <c r="A79" s="111">
        <f t="shared" si="3"/>
        <v>78</v>
      </c>
      <c r="B79" s="23" t="s">
        <v>161</v>
      </c>
      <c r="C79" s="23" t="s">
        <v>617</v>
      </c>
      <c r="D79" s="23" t="s">
        <v>606</v>
      </c>
      <c r="E79" s="22">
        <f>HLOOKUP('Output (Salad)'!$F$4,'Raw Data (Salad)'!$U$1:$BP$87,(A79+1),)</f>
        <v>0</v>
      </c>
      <c r="F79" s="23">
        <f>IF(D79='Output (Salad)'!$B$4,1,0)</f>
        <v>0</v>
      </c>
      <c r="G79" s="23">
        <f>IF(L79&lt;='Output (Salad)'!$C$4,(200-'Raw Data (Salad)'!L79),0)</f>
        <v>0</v>
      </c>
      <c r="H79" s="23">
        <v>4</v>
      </c>
      <c r="I79" s="23">
        <f>SUMPRODUCT(F79:H79,'Output (Salad)'!$B$5:$D$5)*E79</f>
        <v>0</v>
      </c>
      <c r="J79" s="89">
        <v>0</v>
      </c>
      <c r="K79" s="49">
        <f t="shared" si="2"/>
        <v>0</v>
      </c>
      <c r="L79" s="90">
        <v>57.99</v>
      </c>
      <c r="M79" s="23" t="s">
        <v>525</v>
      </c>
      <c r="N79" s="23" t="s">
        <v>618</v>
      </c>
      <c r="O79" s="23" t="s">
        <v>619</v>
      </c>
      <c r="P79" s="23" t="s">
        <v>620</v>
      </c>
      <c r="Q79" s="92">
        <v>0.12</v>
      </c>
      <c r="R79" s="23" t="s">
        <v>75</v>
      </c>
      <c r="S79" s="23" t="s">
        <v>74</v>
      </c>
      <c r="T79" s="23" t="s">
        <v>148</v>
      </c>
      <c r="U79" s="23">
        <v>0</v>
      </c>
      <c r="V79" s="23">
        <v>0</v>
      </c>
      <c r="W79" s="23">
        <v>0</v>
      </c>
      <c r="X79" s="23">
        <v>1</v>
      </c>
      <c r="Y79" s="23">
        <v>1</v>
      </c>
      <c r="Z79" s="23">
        <v>0</v>
      </c>
      <c r="AA79" s="23">
        <v>0</v>
      </c>
      <c r="AB79" s="23">
        <v>0</v>
      </c>
      <c r="AC79" s="23">
        <v>0</v>
      </c>
      <c r="AD79" s="131">
        <v>0</v>
      </c>
      <c r="AE79" s="23">
        <v>0</v>
      </c>
      <c r="AF79" s="23">
        <v>0</v>
      </c>
      <c r="AG79" s="44">
        <v>0</v>
      </c>
      <c r="AH79" s="23" t="s">
        <v>617</v>
      </c>
      <c r="AI79" s="51" t="s">
        <v>606</v>
      </c>
    </row>
    <row r="80" spans="1:35" ht="14" hidden="1">
      <c r="A80" s="111">
        <f t="shared" si="3"/>
        <v>79</v>
      </c>
      <c r="B80" s="23" t="s">
        <v>23</v>
      </c>
      <c r="C80" s="23" t="s">
        <v>621</v>
      </c>
      <c r="D80" s="23" t="s">
        <v>606</v>
      </c>
      <c r="E80" s="22">
        <f>HLOOKUP('Output (Salad)'!$F$4,'Raw Data (Salad)'!$U$1:$BP$87,(A80+1),)</f>
        <v>0</v>
      </c>
      <c r="F80" s="23">
        <f>IF(D80='Output (Salad)'!$B$4,1,0)</f>
        <v>0</v>
      </c>
      <c r="G80" s="23">
        <f>IF(L80&lt;='Output (Salad)'!$C$4,(200-'Raw Data (Salad)'!L80),0)</f>
        <v>184.01</v>
      </c>
      <c r="H80" s="23">
        <v>4</v>
      </c>
      <c r="I80" s="23">
        <f>SUMPRODUCT(F80:H80,'Output (Salad)'!$B$5:$D$5)*E80</f>
        <v>0</v>
      </c>
      <c r="J80" s="89">
        <v>0</v>
      </c>
      <c r="K80" s="49">
        <f t="shared" si="2"/>
        <v>0</v>
      </c>
      <c r="L80" s="90">
        <v>15.99</v>
      </c>
      <c r="M80" s="23" t="s">
        <v>574</v>
      </c>
      <c r="N80" s="23"/>
      <c r="O80" s="23" t="s">
        <v>622</v>
      </c>
      <c r="P80" s="23" t="s">
        <v>623</v>
      </c>
      <c r="Q80" s="92">
        <v>0.115</v>
      </c>
      <c r="R80" s="23" t="s">
        <v>74</v>
      </c>
      <c r="S80" s="23" t="s">
        <v>624</v>
      </c>
      <c r="T80" s="23" t="s">
        <v>53</v>
      </c>
      <c r="U80" s="23">
        <f>VLOOKUP($C80,'Food Pairing Data'!$C$2:$S$188,5)</f>
        <v>0</v>
      </c>
      <c r="V80" s="23">
        <f>VLOOKUP($C80,'Food Pairing Data'!$C$2:$S$188,6)</f>
        <v>0</v>
      </c>
      <c r="W80" s="23">
        <f>VLOOKUP($C80,'Food Pairing Data'!$C$2:$S$188,7)</f>
        <v>1</v>
      </c>
      <c r="X80" s="23">
        <f>VLOOKUP($C80,'Food Pairing Data'!$C$2:$S$188,8)</f>
        <v>1</v>
      </c>
      <c r="Y80" s="23">
        <f>VLOOKUP($C80,'Food Pairing Data'!$C$2:$S$188,9)</f>
        <v>0</v>
      </c>
      <c r="Z80" s="23">
        <f>VLOOKUP($C80,'Food Pairing Data'!$C$2:$S$188,10)</f>
        <v>0</v>
      </c>
      <c r="AA80" s="23">
        <f>VLOOKUP($C80,'Food Pairing Data'!$C$2:$S$188,11)</f>
        <v>0</v>
      </c>
      <c r="AB80" s="23">
        <f>VLOOKUP($C80,'Food Pairing Data'!$C$2:$S$188,12)</f>
        <v>0</v>
      </c>
      <c r="AC80" s="23">
        <f>VLOOKUP($C80,'Food Pairing Data'!$C$2:$S$188,13)</f>
        <v>0</v>
      </c>
      <c r="AD80" s="131">
        <f>VLOOKUP($C80,'Food Pairing Data'!$C$2:$S$188,14)</f>
        <v>0</v>
      </c>
      <c r="AE80" s="23">
        <f>VLOOKUP($C80,'Food Pairing Data'!$C$2:$S$188,15)</f>
        <v>0</v>
      </c>
      <c r="AF80" s="23">
        <f>VLOOKUP($C80,'Food Pairing Data'!$C$2:$S$188,16)</f>
        <v>0</v>
      </c>
      <c r="AG80" s="44">
        <f>VLOOKUP($C80,'Food Pairing Data'!$C$2:$S$188,17)</f>
        <v>0</v>
      </c>
      <c r="AH80" s="23" t="s">
        <v>621</v>
      </c>
      <c r="AI80" s="51" t="s">
        <v>606</v>
      </c>
    </row>
    <row r="81" spans="1:35" ht="14" hidden="1">
      <c r="A81" s="111">
        <f t="shared" si="3"/>
        <v>80</v>
      </c>
      <c r="B81" s="23" t="s">
        <v>245</v>
      </c>
      <c r="C81" s="23" t="s">
        <v>601</v>
      </c>
      <c r="D81" s="23" t="s">
        <v>606</v>
      </c>
      <c r="E81" s="22">
        <f>HLOOKUP('Output (Salad)'!$F$4,'Raw Data (Salad)'!$U$1:$BP$87,(A81+1),)</f>
        <v>1</v>
      </c>
      <c r="F81" s="23">
        <f>IF(D81='Output (Salad)'!$B$4,1,0)</f>
        <v>0</v>
      </c>
      <c r="G81" s="23">
        <f>IF(L81&lt;='Output (Salad)'!$C$4,(200-'Raw Data (Salad)'!L81),0)</f>
        <v>190.01</v>
      </c>
      <c r="H81" s="23">
        <v>4</v>
      </c>
      <c r="I81" s="23">
        <f>SUMPRODUCT(F81:H81,'Output (Salad)'!$B$5:$D$5)*E81</f>
        <v>152.40800000000002</v>
      </c>
      <c r="J81" s="89">
        <v>0</v>
      </c>
      <c r="K81" s="49">
        <f t="shared" si="2"/>
        <v>0</v>
      </c>
      <c r="L81" s="90">
        <v>9.99</v>
      </c>
      <c r="M81" s="23" t="s">
        <v>525</v>
      </c>
      <c r="N81" s="23" t="s">
        <v>602</v>
      </c>
      <c r="O81" s="23" t="s">
        <v>603</v>
      </c>
      <c r="P81" s="23" t="s">
        <v>604</v>
      </c>
      <c r="Q81" s="92">
        <v>0.12</v>
      </c>
      <c r="R81" s="23" t="s">
        <v>518</v>
      </c>
      <c r="S81" s="23" t="s">
        <v>625</v>
      </c>
      <c r="T81" s="23" t="s">
        <v>512</v>
      </c>
      <c r="U81" s="23">
        <f>VLOOKUP($C81,'Food Pairing Data'!$C$2:$S$188,5)</f>
        <v>0</v>
      </c>
      <c r="V81" s="23">
        <f>VLOOKUP($C81,'Food Pairing Data'!$C$2:$S$188,6)</f>
        <v>0</v>
      </c>
      <c r="W81" s="23">
        <f>VLOOKUP($C81,'Food Pairing Data'!$C$2:$S$188,7)</f>
        <v>0</v>
      </c>
      <c r="X81" s="23">
        <f>VLOOKUP($C81,'Food Pairing Data'!$C$2:$S$188,8)</f>
        <v>0</v>
      </c>
      <c r="Y81" s="23">
        <f>VLOOKUP($C81,'Food Pairing Data'!$C$2:$S$188,9)</f>
        <v>0</v>
      </c>
      <c r="Z81" s="23">
        <f>VLOOKUP($C81,'Food Pairing Data'!$C$2:$S$188,10)</f>
        <v>0</v>
      </c>
      <c r="AA81" s="23">
        <f>VLOOKUP($C81,'Food Pairing Data'!$C$2:$S$188,11)</f>
        <v>0</v>
      </c>
      <c r="AB81" s="23">
        <f>VLOOKUP($C81,'Food Pairing Data'!$C$2:$S$188,12)</f>
        <v>0</v>
      </c>
      <c r="AC81" s="23">
        <f>VLOOKUP($C81,'Food Pairing Data'!$C$2:$S$188,13)</f>
        <v>0</v>
      </c>
      <c r="AD81" s="131">
        <f>VLOOKUP($C81,'Food Pairing Data'!$C$2:$S$188,14)</f>
        <v>1</v>
      </c>
      <c r="AE81" s="23">
        <f>VLOOKUP($C81,'Food Pairing Data'!$C$2:$S$188,15)</f>
        <v>0</v>
      </c>
      <c r="AF81" s="23">
        <f>VLOOKUP($C81,'Food Pairing Data'!$C$2:$S$188,16)</f>
        <v>0</v>
      </c>
      <c r="AG81" s="44">
        <f>VLOOKUP($C81,'Food Pairing Data'!$C$2:$S$188,17)</f>
        <v>0</v>
      </c>
      <c r="AH81" s="23" t="s">
        <v>601</v>
      </c>
      <c r="AI81" s="51" t="s">
        <v>606</v>
      </c>
    </row>
    <row r="82" spans="1:35" ht="14" hidden="1">
      <c r="A82" s="111">
        <f t="shared" si="3"/>
        <v>81</v>
      </c>
      <c r="B82" s="23" t="s">
        <v>23</v>
      </c>
      <c r="C82" s="23" t="s">
        <v>626</v>
      </c>
      <c r="D82" s="23" t="s">
        <v>606</v>
      </c>
      <c r="E82" s="22">
        <f>HLOOKUP('Output (Salad)'!$F$4,'Raw Data (Salad)'!$U$1:$BP$87,(A82+1),)</f>
        <v>1</v>
      </c>
      <c r="F82" s="23">
        <f>IF(D82='Output (Salad)'!$B$4,1,0)</f>
        <v>0</v>
      </c>
      <c r="G82" s="23">
        <f>IF(L82&lt;='Output (Salad)'!$C$4,(200-'Raw Data (Salad)'!L82),0)</f>
        <v>185.01</v>
      </c>
      <c r="H82" s="23">
        <v>3.5</v>
      </c>
      <c r="I82" s="23">
        <f>SUMPRODUCT(F82:H82,'Output (Salad)'!$B$5:$D$5)*E82</f>
        <v>148.358</v>
      </c>
      <c r="J82" s="89">
        <v>0</v>
      </c>
      <c r="K82" s="49">
        <f t="shared" si="2"/>
        <v>0</v>
      </c>
      <c r="L82" s="90">
        <v>14.99</v>
      </c>
      <c r="M82" s="23" t="s">
        <v>164</v>
      </c>
      <c r="N82" s="23" t="s">
        <v>627</v>
      </c>
      <c r="O82" s="23" t="s">
        <v>628</v>
      </c>
      <c r="P82" s="23" t="s">
        <v>300</v>
      </c>
      <c r="Q82" s="92">
        <v>0.05</v>
      </c>
      <c r="R82" s="23" t="s">
        <v>168</v>
      </c>
      <c r="S82" s="23" t="s">
        <v>85</v>
      </c>
      <c r="T82" s="23" t="s">
        <v>102</v>
      </c>
      <c r="U82" s="23">
        <v>0</v>
      </c>
      <c r="V82" s="23">
        <v>0</v>
      </c>
      <c r="W82" s="23">
        <v>0</v>
      </c>
      <c r="X82" s="23">
        <v>0</v>
      </c>
      <c r="Y82" s="23">
        <v>0</v>
      </c>
      <c r="Z82" s="23">
        <v>1</v>
      </c>
      <c r="AA82" s="23">
        <v>0</v>
      </c>
      <c r="AB82" s="23">
        <v>0</v>
      </c>
      <c r="AC82" s="23">
        <v>0</v>
      </c>
      <c r="AD82" s="131">
        <v>1</v>
      </c>
      <c r="AE82" s="23">
        <v>0</v>
      </c>
      <c r="AF82" s="23">
        <v>0</v>
      </c>
      <c r="AG82" s="44">
        <v>1</v>
      </c>
      <c r="AH82" s="23" t="s">
        <v>626</v>
      </c>
      <c r="AI82" s="51" t="s">
        <v>606</v>
      </c>
    </row>
    <row r="83" spans="1:35" ht="14" hidden="1">
      <c r="A83" s="111">
        <f t="shared" si="3"/>
        <v>82</v>
      </c>
      <c r="B83" s="23" t="s">
        <v>23</v>
      </c>
      <c r="C83" s="23" t="s">
        <v>629</v>
      </c>
      <c r="D83" s="23" t="s">
        <v>606</v>
      </c>
      <c r="E83" s="22">
        <f>HLOOKUP('Output (Salad)'!$F$4,'Raw Data (Salad)'!$U$1:$BP$87,(A83+1),)</f>
        <v>1</v>
      </c>
      <c r="F83" s="23">
        <f>IF(D83='Output (Salad)'!$B$4,1,0)</f>
        <v>0</v>
      </c>
      <c r="G83" s="23">
        <f>IF(L83&lt;='Output (Salad)'!$C$4,(200-'Raw Data (Salad)'!L83),0)</f>
        <v>187.01</v>
      </c>
      <c r="H83" s="23">
        <v>3.5</v>
      </c>
      <c r="I83" s="23">
        <f>SUMPRODUCT(F83:H83,'Output (Salad)'!$B$5:$D$5)*E83</f>
        <v>149.958</v>
      </c>
      <c r="J83" s="89">
        <v>0</v>
      </c>
      <c r="K83" s="49">
        <f t="shared" si="2"/>
        <v>0</v>
      </c>
      <c r="L83" s="90">
        <v>12.99</v>
      </c>
      <c r="M83" s="23" t="s">
        <v>164</v>
      </c>
      <c r="N83" s="23" t="s">
        <v>630</v>
      </c>
      <c r="O83" s="23" t="s">
        <v>631</v>
      </c>
      <c r="P83" s="23" t="s">
        <v>557</v>
      </c>
      <c r="Q83" s="92">
        <v>0.115</v>
      </c>
      <c r="R83" s="23" t="s">
        <v>68</v>
      </c>
      <c r="S83" s="23" t="s">
        <v>84</v>
      </c>
      <c r="T83" s="23" t="s">
        <v>104</v>
      </c>
      <c r="U83" s="23">
        <f>VLOOKUP($C83,'Food Pairing Data'!$C$2:$S$188,5)</f>
        <v>0</v>
      </c>
      <c r="V83" s="23">
        <f>VLOOKUP($C83,'Food Pairing Data'!$C$2:$S$188,6)</f>
        <v>0</v>
      </c>
      <c r="W83" s="23">
        <f>VLOOKUP($C83,'Food Pairing Data'!$C$2:$S$188,7)</f>
        <v>0</v>
      </c>
      <c r="X83" s="23">
        <f>VLOOKUP($C83,'Food Pairing Data'!$C$2:$S$188,8)</f>
        <v>0</v>
      </c>
      <c r="Y83" s="23">
        <f>VLOOKUP($C83,'Food Pairing Data'!$C$2:$S$188,9)</f>
        <v>0</v>
      </c>
      <c r="Z83" s="23">
        <f>VLOOKUP($C83,'Food Pairing Data'!$C$2:$S$188,10)</f>
        <v>0</v>
      </c>
      <c r="AA83" s="23">
        <f>VLOOKUP($C83,'Food Pairing Data'!$C$2:$S$188,11)</f>
        <v>0</v>
      </c>
      <c r="AB83" s="23">
        <f>VLOOKUP($C83,'Food Pairing Data'!$C$2:$S$188,12)</f>
        <v>0</v>
      </c>
      <c r="AC83" s="23">
        <f>VLOOKUP($C83,'Food Pairing Data'!$C$2:$S$188,13)</f>
        <v>0</v>
      </c>
      <c r="AD83" s="131">
        <f>VLOOKUP($C83,'Food Pairing Data'!$C$2:$S$188,14)</f>
        <v>1</v>
      </c>
      <c r="AE83" s="23">
        <f>VLOOKUP($C83,'Food Pairing Data'!$C$2:$S$188,15)</f>
        <v>0</v>
      </c>
      <c r="AF83" s="23">
        <f>VLOOKUP($C83,'Food Pairing Data'!$C$2:$S$188,16)</f>
        <v>0</v>
      </c>
      <c r="AG83" s="44">
        <f>VLOOKUP($C83,'Food Pairing Data'!$C$2:$S$188,17)</f>
        <v>0</v>
      </c>
      <c r="AH83" s="23" t="s">
        <v>629</v>
      </c>
      <c r="AI83" s="51" t="s">
        <v>606</v>
      </c>
    </row>
    <row r="84" spans="1:35" ht="14" hidden="1">
      <c r="A84" s="111">
        <f t="shared" si="3"/>
        <v>83</v>
      </c>
      <c r="B84" s="23" t="s">
        <v>23</v>
      </c>
      <c r="C84" s="23" t="s">
        <v>632</v>
      </c>
      <c r="D84" s="23" t="s">
        <v>295</v>
      </c>
      <c r="E84" s="22">
        <f>HLOOKUP('Output (Salad)'!$F$4,'Raw Data (Salad)'!$U$1:$BP$87,(A84+1),)</f>
        <v>1</v>
      </c>
      <c r="F84" s="23">
        <f>IF(D84='Output (Salad)'!$B$4,1,0)</f>
        <v>0</v>
      </c>
      <c r="G84" s="23">
        <f>IF(L84&lt;='Output (Salad)'!$C$4,(200-'Raw Data (Salad)'!L84),0)</f>
        <v>183.01</v>
      </c>
      <c r="H84" s="23">
        <v>5</v>
      </c>
      <c r="I84" s="23">
        <f>SUMPRODUCT(F84:H84,'Output (Salad)'!$B$5:$D$5)*E84</f>
        <v>146.90799999999999</v>
      </c>
      <c r="J84" s="89">
        <v>0</v>
      </c>
      <c r="K84" s="49">
        <f t="shared" si="2"/>
        <v>0</v>
      </c>
      <c r="L84" s="90">
        <v>16.989999999999998</v>
      </c>
      <c r="M84" s="23" t="s">
        <v>574</v>
      </c>
      <c r="N84" s="23" t="s">
        <v>633</v>
      </c>
      <c r="O84" s="23"/>
      <c r="P84" s="23" t="s">
        <v>540</v>
      </c>
      <c r="Q84" s="92">
        <v>0.15</v>
      </c>
      <c r="R84" s="23" t="s">
        <v>96</v>
      </c>
      <c r="S84" s="23" t="s">
        <v>97</v>
      </c>
      <c r="T84" s="23" t="s">
        <v>53</v>
      </c>
      <c r="U84" s="23">
        <f>VLOOKUP($C84,'Food Pairing Data'!$C$2:$S$188,5)</f>
        <v>0</v>
      </c>
      <c r="V84" s="23">
        <f>VLOOKUP($C84,'Food Pairing Data'!$C$2:$S$188,6)</f>
        <v>0</v>
      </c>
      <c r="W84" s="23">
        <f>VLOOKUP($C84,'Food Pairing Data'!$C$2:$S$188,7)</f>
        <v>0</v>
      </c>
      <c r="X84" s="23">
        <f>VLOOKUP($C84,'Food Pairing Data'!$C$2:$S$188,8)</f>
        <v>0</v>
      </c>
      <c r="Y84" s="23">
        <f>VLOOKUP($C84,'Food Pairing Data'!$C$2:$S$188,9)</f>
        <v>0</v>
      </c>
      <c r="Z84" s="23">
        <f>VLOOKUP($C84,'Food Pairing Data'!$C$2:$S$188,10)</f>
        <v>0</v>
      </c>
      <c r="AA84" s="23">
        <f>VLOOKUP($C84,'Food Pairing Data'!$C$2:$S$188,11)</f>
        <v>0</v>
      </c>
      <c r="AB84" s="23">
        <f>VLOOKUP($C84,'Food Pairing Data'!$C$2:$S$188,12)</f>
        <v>0</v>
      </c>
      <c r="AC84" s="23">
        <f>VLOOKUP($C84,'Food Pairing Data'!$C$2:$S$188,13)</f>
        <v>0</v>
      </c>
      <c r="AD84" s="131">
        <f>VLOOKUP($C84,'Food Pairing Data'!$C$2:$S$188,14)</f>
        <v>1</v>
      </c>
      <c r="AE84" s="23">
        <f>VLOOKUP($C84,'Food Pairing Data'!$C$2:$S$188,15)</f>
        <v>0</v>
      </c>
      <c r="AF84" s="23">
        <f>VLOOKUP($C84,'Food Pairing Data'!$C$2:$S$188,16)</f>
        <v>0</v>
      </c>
      <c r="AG84" s="44">
        <f>VLOOKUP($C84,'Food Pairing Data'!$C$2:$S$188,17)</f>
        <v>0</v>
      </c>
      <c r="AH84" s="23" t="s">
        <v>632</v>
      </c>
      <c r="AI84" s="51" t="s">
        <v>295</v>
      </c>
    </row>
    <row r="85" spans="1:35" ht="14" hidden="1">
      <c r="A85" s="111">
        <f t="shared" si="3"/>
        <v>84</v>
      </c>
      <c r="B85" s="23" t="s">
        <v>23</v>
      </c>
      <c r="C85" s="23" t="s">
        <v>634</v>
      </c>
      <c r="D85" s="23" t="s">
        <v>295</v>
      </c>
      <c r="E85" s="22">
        <f>HLOOKUP('Output (Salad)'!$F$4,'Raw Data (Salad)'!$U$1:$BP$87,(A85+1),)</f>
        <v>0</v>
      </c>
      <c r="F85" s="23">
        <f>IF(D85='Output (Salad)'!$B$4,1,0)</f>
        <v>0</v>
      </c>
      <c r="G85" s="23">
        <f>IF(L85&lt;='Output (Salad)'!$C$4,(200-'Raw Data (Salad)'!L85),0)</f>
        <v>183.01</v>
      </c>
      <c r="H85" s="23">
        <v>4.5</v>
      </c>
      <c r="I85" s="23">
        <f>SUMPRODUCT(F85:H85,'Output (Salad)'!$B$5:$D$5)*E85</f>
        <v>0</v>
      </c>
      <c r="J85" s="89">
        <v>0</v>
      </c>
      <c r="K85" s="49">
        <f t="shared" si="2"/>
        <v>0</v>
      </c>
      <c r="L85" s="90">
        <v>16.989999999999998</v>
      </c>
      <c r="M85" s="23" t="s">
        <v>635</v>
      </c>
      <c r="N85" s="23" t="s">
        <v>636</v>
      </c>
      <c r="O85" s="23"/>
      <c r="P85" s="23" t="s">
        <v>637</v>
      </c>
      <c r="Q85" s="92">
        <v>0.14599999999999999</v>
      </c>
      <c r="R85" s="23" t="s">
        <v>153</v>
      </c>
      <c r="S85" s="23" t="s">
        <v>91</v>
      </c>
      <c r="T85" s="23" t="s">
        <v>141</v>
      </c>
      <c r="U85" s="23">
        <f>VLOOKUP($C85,'Food Pairing Data'!$C$2:$S$188,5)</f>
        <v>0</v>
      </c>
      <c r="V85" s="23">
        <f>VLOOKUP($C85,'Food Pairing Data'!$C$2:$S$188,6)</f>
        <v>0</v>
      </c>
      <c r="W85" s="23">
        <f>VLOOKUP($C85,'Food Pairing Data'!$C$2:$S$188,7)</f>
        <v>0</v>
      </c>
      <c r="X85" s="23">
        <f>VLOOKUP($C85,'Food Pairing Data'!$C$2:$S$188,8)</f>
        <v>1</v>
      </c>
      <c r="Y85" s="23">
        <f>VLOOKUP($C85,'Food Pairing Data'!$C$2:$S$188,9)</f>
        <v>0</v>
      </c>
      <c r="Z85" s="23">
        <f>VLOOKUP($C85,'Food Pairing Data'!$C$2:$S$188,10)</f>
        <v>1</v>
      </c>
      <c r="AA85" s="23">
        <f>VLOOKUP($C85,'Food Pairing Data'!$C$2:$S$188,11)</f>
        <v>0</v>
      </c>
      <c r="AB85" s="23">
        <f>VLOOKUP($C85,'Food Pairing Data'!$C$2:$S$188,12)</f>
        <v>0</v>
      </c>
      <c r="AC85" s="23">
        <f>VLOOKUP($C85,'Food Pairing Data'!$C$2:$S$188,13)</f>
        <v>0</v>
      </c>
      <c r="AD85" s="131">
        <f>VLOOKUP($C85,'Food Pairing Data'!$C$2:$S$188,14)</f>
        <v>0</v>
      </c>
      <c r="AE85" s="23">
        <f>VLOOKUP($C85,'Food Pairing Data'!$C$2:$S$188,15)</f>
        <v>0</v>
      </c>
      <c r="AF85" s="23">
        <f>VLOOKUP($C85,'Food Pairing Data'!$C$2:$S$188,16)</f>
        <v>0</v>
      </c>
      <c r="AG85" s="44">
        <f>VLOOKUP($C85,'Food Pairing Data'!$C$2:$S$188,17)</f>
        <v>0</v>
      </c>
      <c r="AH85" s="23" t="s">
        <v>634</v>
      </c>
      <c r="AI85" s="51" t="s">
        <v>295</v>
      </c>
    </row>
    <row r="86" spans="1:35" ht="14">
      <c r="A86" s="111">
        <f t="shared" si="3"/>
        <v>85</v>
      </c>
      <c r="B86" s="23" t="s">
        <v>23</v>
      </c>
      <c r="C86" s="23" t="s">
        <v>638</v>
      </c>
      <c r="D86" s="23" t="s">
        <v>295</v>
      </c>
      <c r="E86" s="22">
        <f>HLOOKUP('Output (Salad)'!$F$4,'Raw Data (Salad)'!$U$1:$BP$87,(A86+1),)</f>
        <v>1</v>
      </c>
      <c r="F86" s="23">
        <f>IF(D86='Output (Salad)'!$B$4,1,0)</f>
        <v>0</v>
      </c>
      <c r="G86" s="23">
        <f>IF(L86&lt;='Output (Salad)'!$C$4,(200-'Raw Data (Salad)'!L86),0)</f>
        <v>185.01</v>
      </c>
      <c r="H86" s="23">
        <v>4.5</v>
      </c>
      <c r="I86" s="23">
        <f>SUMPRODUCT(F86:H86,'Output (Salad)'!$B$5:$D$5)*E86</f>
        <v>148.458</v>
      </c>
      <c r="J86" s="89">
        <v>0</v>
      </c>
      <c r="K86" s="49">
        <f t="shared" si="2"/>
        <v>0</v>
      </c>
      <c r="L86" s="90">
        <v>14.99</v>
      </c>
      <c r="M86" s="23" t="s">
        <v>574</v>
      </c>
      <c r="N86" s="23" t="s">
        <v>639</v>
      </c>
      <c r="O86" s="23" t="s">
        <v>640</v>
      </c>
      <c r="P86" s="23" t="s">
        <v>641</v>
      </c>
      <c r="Q86" s="92">
        <v>0.15</v>
      </c>
      <c r="R86" s="23" t="s">
        <v>96</v>
      </c>
      <c r="S86" s="23" t="s">
        <v>642</v>
      </c>
      <c r="T86" s="23" t="s">
        <v>643</v>
      </c>
      <c r="U86" s="23">
        <f>VLOOKUP($C86,'Food Pairing Data'!$C$2:$S$188,5)</f>
        <v>0</v>
      </c>
      <c r="V86" s="23">
        <f>VLOOKUP($C86,'Food Pairing Data'!$C$2:$S$188,6)</f>
        <v>0</v>
      </c>
      <c r="W86" s="23">
        <f>VLOOKUP($C86,'Food Pairing Data'!$C$2:$S$188,7)</f>
        <v>0</v>
      </c>
      <c r="X86" s="23">
        <f>VLOOKUP($C86,'Food Pairing Data'!$C$2:$S$188,8)</f>
        <v>0</v>
      </c>
      <c r="Y86" s="23">
        <f>VLOOKUP($C86,'Food Pairing Data'!$C$2:$S$188,9)</f>
        <v>0</v>
      </c>
      <c r="Z86" s="23">
        <f>VLOOKUP($C86,'Food Pairing Data'!$C$2:$S$188,10)</f>
        <v>0</v>
      </c>
      <c r="AA86" s="23">
        <f>VLOOKUP($C86,'Food Pairing Data'!$C$2:$S$188,11)</f>
        <v>0</v>
      </c>
      <c r="AB86" s="23">
        <f>VLOOKUP($C86,'Food Pairing Data'!$C$2:$S$188,12)</f>
        <v>0</v>
      </c>
      <c r="AC86" s="23">
        <f>VLOOKUP($C86,'Food Pairing Data'!$C$2:$S$188,13)</f>
        <v>0</v>
      </c>
      <c r="AD86" s="131">
        <f>VLOOKUP($C86,'Food Pairing Data'!$C$2:$S$188,14)</f>
        <v>1</v>
      </c>
      <c r="AE86" s="23">
        <f>VLOOKUP($C86,'Food Pairing Data'!$C$2:$S$188,15)</f>
        <v>0</v>
      </c>
      <c r="AF86" s="23">
        <f>VLOOKUP($C86,'Food Pairing Data'!$C$2:$S$188,16)</f>
        <v>0</v>
      </c>
      <c r="AG86" s="44">
        <f>VLOOKUP($C86,'Food Pairing Data'!$C$2:$S$188,17)</f>
        <v>0</v>
      </c>
      <c r="AH86" s="23" t="s">
        <v>638</v>
      </c>
      <c r="AI86" s="51" t="s">
        <v>295</v>
      </c>
    </row>
    <row r="87" spans="1:35" ht="15" thickBot="1">
      <c r="A87" s="112">
        <f t="shared" si="3"/>
        <v>86</v>
      </c>
      <c r="B87" s="62" t="s">
        <v>23</v>
      </c>
      <c r="C87" s="62" t="s">
        <v>491</v>
      </c>
      <c r="D87" s="62" t="s">
        <v>295</v>
      </c>
      <c r="E87" s="27">
        <f>HLOOKUP('Output (Salad)'!$F$4,'Raw Data (Salad)'!$U$1:$BP$87,(A87+1),)</f>
        <v>0</v>
      </c>
      <c r="F87" s="62">
        <f>IF(D87='Output (Salad)'!$B$4,1,0)</f>
        <v>0</v>
      </c>
      <c r="G87" s="62">
        <f>IF(L87&lt;='Output (Salad)'!$C$4,(200-'Raw Data (Salad)'!L87),0)</f>
        <v>180.01</v>
      </c>
      <c r="H87" s="62">
        <v>4</v>
      </c>
      <c r="I87" s="62">
        <f>SUMPRODUCT(F87:H87,'Output (Salad)'!$B$5:$D$5)*E87</f>
        <v>0</v>
      </c>
      <c r="J87" s="113">
        <v>0</v>
      </c>
      <c r="K87" s="114">
        <f t="shared" si="2"/>
        <v>0</v>
      </c>
      <c r="L87" s="115">
        <v>19.989999999999998</v>
      </c>
      <c r="M87" s="62" t="s">
        <v>296</v>
      </c>
      <c r="N87" s="62" t="s">
        <v>492</v>
      </c>
      <c r="O87" s="62" t="s">
        <v>493</v>
      </c>
      <c r="P87" s="62" t="s">
        <v>297</v>
      </c>
      <c r="Q87" s="116">
        <v>0.19</v>
      </c>
      <c r="R87" s="62" t="s">
        <v>69</v>
      </c>
      <c r="S87" s="62" t="s">
        <v>616</v>
      </c>
      <c r="T87" s="62" t="s">
        <v>147</v>
      </c>
      <c r="U87" s="62">
        <f>VLOOKUP($C87,'Food Pairing Data'!$C$2:$S$188,5)</f>
        <v>0</v>
      </c>
      <c r="V87" s="62">
        <f>VLOOKUP($C87,'Food Pairing Data'!$C$2:$S$188,6)</f>
        <v>0</v>
      </c>
      <c r="W87" s="62">
        <f>VLOOKUP($C87,'Food Pairing Data'!$C$2:$S$188,7)</f>
        <v>1</v>
      </c>
      <c r="X87" s="62">
        <f>VLOOKUP($C87,'Food Pairing Data'!$C$2:$S$188,8)</f>
        <v>1</v>
      </c>
      <c r="Y87" s="62">
        <f>VLOOKUP($C87,'Food Pairing Data'!$C$2:$S$188,9)</f>
        <v>0</v>
      </c>
      <c r="Z87" s="62">
        <f>VLOOKUP($C87,'Food Pairing Data'!$C$2:$S$188,10)</f>
        <v>0</v>
      </c>
      <c r="AA87" s="62">
        <f>VLOOKUP($C87,'Food Pairing Data'!$C$2:$S$188,11)</f>
        <v>0</v>
      </c>
      <c r="AB87" s="62">
        <f>VLOOKUP($C87,'Food Pairing Data'!$C$2:$S$188,12)</f>
        <v>0</v>
      </c>
      <c r="AC87" s="62">
        <f>VLOOKUP($C87,'Food Pairing Data'!$C$2:$S$188,13)</f>
        <v>0</v>
      </c>
      <c r="AD87" s="134">
        <f>VLOOKUP($C87,'Food Pairing Data'!$C$2:$S$188,14)</f>
        <v>0</v>
      </c>
      <c r="AE87" s="62">
        <f>VLOOKUP($C87,'Food Pairing Data'!$C$2:$S$188,15)</f>
        <v>0</v>
      </c>
      <c r="AF87" s="62">
        <f>VLOOKUP($C87,'Food Pairing Data'!$C$2:$S$188,16)</f>
        <v>0</v>
      </c>
      <c r="AG87" s="124">
        <f>VLOOKUP($C87,'Food Pairing Data'!$C$2:$S$188,17)</f>
        <v>0</v>
      </c>
      <c r="AH87" s="62" t="s">
        <v>491</v>
      </c>
      <c r="AI87" s="58" t="s">
        <v>295</v>
      </c>
    </row>
    <row r="88" spans="1:35" ht="14" thickBot="1">
      <c r="J88" s="72">
        <f>SUM(J2:J87)</f>
        <v>0.99999999999999989</v>
      </c>
      <c r="K88" s="31"/>
      <c r="U88" s="6">
        <f>SUM(U2:U87)</f>
        <v>3</v>
      </c>
      <c r="V88" s="6">
        <f t="shared" ref="V88:AG88" si="4">SUM(V2:V87)</f>
        <v>3</v>
      </c>
      <c r="W88" s="6">
        <f t="shared" si="4"/>
        <v>15</v>
      </c>
      <c r="X88" s="6">
        <f t="shared" si="4"/>
        <v>25</v>
      </c>
      <c r="Y88" s="6">
        <f t="shared" si="4"/>
        <v>1</v>
      </c>
      <c r="Z88" s="6">
        <f t="shared" si="4"/>
        <v>16</v>
      </c>
      <c r="AA88" s="6">
        <f t="shared" si="4"/>
        <v>0</v>
      </c>
      <c r="AB88" s="6">
        <f t="shared" si="4"/>
        <v>0</v>
      </c>
      <c r="AC88" s="6">
        <f t="shared" si="4"/>
        <v>0</v>
      </c>
      <c r="AD88" s="134">
        <f t="shared" si="4"/>
        <v>53</v>
      </c>
      <c r="AE88" s="6">
        <f t="shared" si="4"/>
        <v>1</v>
      </c>
      <c r="AF88" s="6">
        <f t="shared" si="4"/>
        <v>0</v>
      </c>
      <c r="AG88" s="6">
        <f t="shared" si="4"/>
        <v>1</v>
      </c>
    </row>
    <row r="89" spans="1:35" ht="14" thickBot="1">
      <c r="G89" s="118"/>
      <c r="H89" s="117" t="s">
        <v>303</v>
      </c>
      <c r="I89" s="32">
        <f>SUMPRODUCT(I2:I87,J2:J87)</f>
        <v>154.90799999999999</v>
      </c>
      <c r="J89" s="73" t="s">
        <v>302</v>
      </c>
    </row>
    <row r="90" spans="1:35" ht="15" thickBot="1">
      <c r="J90" s="74">
        <v>1</v>
      </c>
      <c r="K90" s="31"/>
      <c r="L90" s="20"/>
    </row>
    <row r="91" spans="1:35">
      <c r="D91" s="96" t="s">
        <v>716</v>
      </c>
      <c r="E91" s="97" t="s">
        <v>307</v>
      </c>
      <c r="F91" s="97" t="s">
        <v>308</v>
      </c>
      <c r="G91" s="98" t="s">
        <v>42</v>
      </c>
      <c r="H91" s="102" t="s">
        <v>9</v>
      </c>
      <c r="I91" s="101"/>
      <c r="J91" s="100"/>
    </row>
    <row r="92" spans="1:35" ht="14" thickBot="1">
      <c r="D92" s="53" t="s">
        <v>713</v>
      </c>
      <c r="E92" s="87">
        <f>'Output (Salad)'!B5</f>
        <v>0.1</v>
      </c>
      <c r="F92" s="87">
        <f>'Output (Salad)'!C5</f>
        <v>0.8</v>
      </c>
      <c r="G92" s="99">
        <f>'Output (Salad)'!D5</f>
        <v>0.1</v>
      </c>
      <c r="H92" s="103">
        <f>SUM(E92:G92)</f>
        <v>1</v>
      </c>
      <c r="I92" s="94" t="s">
        <v>302</v>
      </c>
      <c r="J92" s="95">
        <v>1</v>
      </c>
      <c r="L92" s="15"/>
    </row>
    <row r="93" spans="1:35" ht="14" thickBot="1"/>
    <row r="94" spans="1:35">
      <c r="C94" s="96" t="s">
        <v>304</v>
      </c>
      <c r="D94" s="119" t="s">
        <v>305</v>
      </c>
      <c r="E94" s="119" t="s">
        <v>44</v>
      </c>
      <c r="F94" s="119" t="s">
        <v>45</v>
      </c>
      <c r="G94" s="119" t="s">
        <v>46</v>
      </c>
      <c r="H94" s="119" t="s">
        <v>47</v>
      </c>
      <c r="I94" s="144" t="s">
        <v>1</v>
      </c>
      <c r="J94" s="145"/>
    </row>
    <row r="95" spans="1:35" ht="14" thickBot="1">
      <c r="C95" s="27" t="str">
        <f>VLOOKUP($J$88,$K$2:$AI$87,24,FALSE)</f>
        <v>Indaba Chardonnay</v>
      </c>
      <c r="D95" s="62" t="str">
        <f>VLOOKUP($J$88,$K$2:$AI$87,25,FALSE)</f>
        <v>White</v>
      </c>
      <c r="E95" s="120">
        <f>VLOOKUP($J$88,$K$2:$AI$87,2,FALSE)</f>
        <v>6.99</v>
      </c>
      <c r="F95" s="62" t="str">
        <f>VLOOKUP($J$88,$K$2:$AI$87,3,FALSE)</f>
        <v>South Africa</v>
      </c>
      <c r="G95" s="62" t="str">
        <f>VLOOKUP($J$88,$K$2:$AI$87,4,FALSE)</f>
        <v>Western Cape</v>
      </c>
      <c r="H95" s="62" t="str">
        <f>VLOOKUP($J$88,$K$2:$AI$87,5,FALSE)</f>
        <v>Chardonnay</v>
      </c>
      <c r="I95" s="142" t="str">
        <f>VLOOKUP($J$88,$K$2:$AI$87,10,FALSE)</f>
        <v>Chocolate</v>
      </c>
      <c r="J95" s="143"/>
    </row>
  </sheetData>
  <mergeCells count="2">
    <mergeCell ref="I95:J95"/>
    <mergeCell ref="I94:J94"/>
  </mergeCells>
  <phoneticPr fontId="4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11" enableFormatConditionsCalculation="0"/>
  <dimension ref="A1:J16"/>
  <sheetViews>
    <sheetView workbookViewId="0">
      <selection activeCell="H2" sqref="H2:J2"/>
    </sheetView>
  </sheetViews>
  <sheetFormatPr baseColWidth="10" defaultColWidth="10.7109375" defaultRowHeight="13"/>
  <cols>
    <col min="1" max="1" width="22.5703125" style="6" customWidth="1"/>
    <col min="2" max="2" width="13.28515625" style="6" customWidth="1"/>
    <col min="3" max="4" width="10.7109375" style="6"/>
    <col min="5" max="5" width="12.140625" style="6" customWidth="1"/>
    <col min="6" max="6" width="16" style="6" customWidth="1"/>
    <col min="7" max="7" width="10.42578125" style="6" customWidth="1"/>
    <col min="8" max="16384" width="10.7109375" style="6"/>
  </cols>
  <sheetData>
    <row r="1" spans="1:10" ht="14" thickBot="1"/>
    <row r="2" spans="1:10">
      <c r="A2" s="137" t="s">
        <v>716</v>
      </c>
      <c r="B2" s="75" t="s">
        <v>3</v>
      </c>
      <c r="C2" s="77" t="s">
        <v>4</v>
      </c>
      <c r="D2" s="77" t="s">
        <v>5</v>
      </c>
      <c r="E2" s="77" t="s">
        <v>6</v>
      </c>
      <c r="F2" s="55"/>
      <c r="H2" s="139" t="s">
        <v>106</v>
      </c>
      <c r="I2" s="140"/>
      <c r="J2" s="141"/>
    </row>
    <row r="3" spans="1:10" ht="14">
      <c r="A3" s="138"/>
      <c r="B3" s="76" t="s">
        <v>307</v>
      </c>
      <c r="C3" s="78" t="s">
        <v>308</v>
      </c>
      <c r="D3" s="78" t="s">
        <v>42</v>
      </c>
      <c r="E3" s="78" t="s">
        <v>43</v>
      </c>
      <c r="F3" s="56"/>
      <c r="H3" s="42">
        <v>1</v>
      </c>
      <c r="I3" s="43" t="s">
        <v>499</v>
      </c>
      <c r="J3" s="44"/>
    </row>
    <row r="4" spans="1:10" ht="14">
      <c r="A4" s="50" t="s">
        <v>7</v>
      </c>
      <c r="B4" s="63" t="s">
        <v>163</v>
      </c>
      <c r="C4" s="64">
        <v>100</v>
      </c>
      <c r="D4" s="65">
        <v>5</v>
      </c>
      <c r="E4" s="64">
        <v>3</v>
      </c>
      <c r="F4" s="66" t="str">
        <f>VLOOKUP(E4,H3:I15,2)</f>
        <v>Chicken/Duck</v>
      </c>
      <c r="H4" s="42">
        <f>H3+1</f>
        <v>2</v>
      </c>
      <c r="I4" s="43" t="s">
        <v>500</v>
      </c>
      <c r="J4" s="44"/>
    </row>
    <row r="5" spans="1:10" ht="15" thickBot="1">
      <c r="A5" s="57" t="s">
        <v>2</v>
      </c>
      <c r="B5" s="67">
        <v>0.1</v>
      </c>
      <c r="C5" s="68">
        <v>0.2</v>
      </c>
      <c r="D5" s="69">
        <v>0.7</v>
      </c>
      <c r="E5" s="70"/>
      <c r="F5" s="71"/>
      <c r="H5" s="42">
        <f t="shared" ref="H5:H15" si="0">H4+1</f>
        <v>3</v>
      </c>
      <c r="I5" s="43" t="s">
        <v>501</v>
      </c>
      <c r="J5" s="44"/>
    </row>
    <row r="6" spans="1:10" ht="14">
      <c r="D6" s="72">
        <f>SUM(B5:D5)</f>
        <v>1</v>
      </c>
      <c r="H6" s="42">
        <f t="shared" si="0"/>
        <v>4</v>
      </c>
      <c r="I6" s="43" t="s">
        <v>502</v>
      </c>
      <c r="J6" s="44"/>
    </row>
    <row r="7" spans="1:10" ht="15" thickBot="1">
      <c r="D7" s="73" t="s">
        <v>313</v>
      </c>
      <c r="H7" s="42">
        <f t="shared" si="0"/>
        <v>5</v>
      </c>
      <c r="I7" s="43" t="s">
        <v>503</v>
      </c>
      <c r="J7" s="44"/>
    </row>
    <row r="8" spans="1:10" ht="14">
      <c r="A8" s="135" t="s">
        <v>0</v>
      </c>
      <c r="B8" s="136"/>
      <c r="D8" s="74">
        <v>1</v>
      </c>
      <c r="H8" s="42">
        <f t="shared" si="0"/>
        <v>6</v>
      </c>
      <c r="I8" s="43" t="s">
        <v>504</v>
      </c>
      <c r="J8" s="44"/>
    </row>
    <row r="9" spans="1:10" ht="14">
      <c r="A9" s="50" t="s">
        <v>304</v>
      </c>
      <c r="B9" s="51" t="str">
        <f>'Raw Data (Entree)'!C99</f>
        <v>Astica Malbec</v>
      </c>
      <c r="H9" s="42">
        <f t="shared" si="0"/>
        <v>7</v>
      </c>
      <c r="I9" s="43" t="s">
        <v>505</v>
      </c>
      <c r="J9" s="44"/>
    </row>
    <row r="10" spans="1:10" ht="14">
      <c r="A10" s="50" t="s">
        <v>305</v>
      </c>
      <c r="B10" s="51" t="str">
        <f>'Raw Data (Entree)'!D99</f>
        <v>Red</v>
      </c>
      <c r="H10" s="42">
        <f t="shared" si="0"/>
        <v>8</v>
      </c>
      <c r="I10" s="43" t="s">
        <v>506</v>
      </c>
      <c r="J10" s="44"/>
    </row>
    <row r="11" spans="1:10" ht="14">
      <c r="A11" s="50" t="s">
        <v>44</v>
      </c>
      <c r="B11" s="52">
        <f>'Raw Data (Entree)'!E99</f>
        <v>8.99</v>
      </c>
      <c r="H11" s="42">
        <f t="shared" si="0"/>
        <v>9</v>
      </c>
      <c r="I11" s="43" t="s">
        <v>507</v>
      </c>
      <c r="J11" s="44"/>
    </row>
    <row r="12" spans="1:10" ht="14">
      <c r="A12" s="50" t="s">
        <v>45</v>
      </c>
      <c r="B12" s="51" t="str">
        <f>'Raw Data (Entree)'!F99</f>
        <v>Argentina</v>
      </c>
      <c r="H12" s="42">
        <f t="shared" si="0"/>
        <v>10</v>
      </c>
      <c r="I12" s="43" t="s">
        <v>669</v>
      </c>
      <c r="J12" s="44"/>
    </row>
    <row r="13" spans="1:10" ht="14">
      <c r="A13" s="50" t="s">
        <v>46</v>
      </c>
      <c r="B13" s="51" t="str">
        <f>'Raw Data (Entree)'!G99</f>
        <v>Cuyo</v>
      </c>
      <c r="H13" s="42">
        <f t="shared" si="0"/>
        <v>11</v>
      </c>
      <c r="I13" s="43" t="s">
        <v>670</v>
      </c>
      <c r="J13" s="44"/>
    </row>
    <row r="14" spans="1:10" ht="14">
      <c r="A14" s="50" t="s">
        <v>47</v>
      </c>
      <c r="B14" s="51" t="str">
        <f>'Raw Data (Entree)'!H99</f>
        <v>Malbec</v>
      </c>
      <c r="H14" s="42">
        <f t="shared" si="0"/>
        <v>12</v>
      </c>
      <c r="I14" s="43" t="s">
        <v>56</v>
      </c>
      <c r="J14" s="44"/>
    </row>
    <row r="15" spans="1:10" ht="15" thickBot="1">
      <c r="A15" s="53" t="s">
        <v>1</v>
      </c>
      <c r="B15" s="54" t="str">
        <f>'Raw Data (Entree)'!I99</f>
        <v>Seafood</v>
      </c>
      <c r="H15" s="42">
        <f t="shared" si="0"/>
        <v>13</v>
      </c>
      <c r="I15" s="43" t="s">
        <v>295</v>
      </c>
      <c r="J15" s="44"/>
    </row>
    <row r="16" spans="1:10">
      <c r="H16" s="8"/>
      <c r="I16" s="45"/>
      <c r="J16" s="46"/>
    </row>
  </sheetData>
  <mergeCells count="3">
    <mergeCell ref="A8:B8"/>
    <mergeCell ref="A2:A3"/>
    <mergeCell ref="H2:J2"/>
  </mergeCells>
  <phoneticPr fontId="4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12" enableFormatConditionsCalculation="0"/>
  <dimension ref="A1:BP99"/>
  <sheetViews>
    <sheetView workbookViewId="0">
      <selection activeCell="G11" sqref="G11"/>
    </sheetView>
  </sheetViews>
  <sheetFormatPr baseColWidth="10" defaultColWidth="7.5703125" defaultRowHeight="13"/>
  <cols>
    <col min="1" max="1" width="7.140625" style="6" customWidth="1"/>
    <col min="2" max="2" width="0.140625" style="6" customWidth="1"/>
    <col min="3" max="3" width="45.28515625" style="6" customWidth="1"/>
    <col min="4" max="5" width="10.85546875" style="6" customWidth="1"/>
    <col min="6" max="6" width="8.7109375" style="6" bestFit="1" customWidth="1"/>
    <col min="7" max="7" width="17.7109375" style="6" customWidth="1"/>
    <col min="8" max="8" width="10.5703125" style="6" bestFit="1" customWidth="1"/>
    <col min="9" max="9" width="17.7109375" style="6" bestFit="1" customWidth="1"/>
    <col min="10" max="12" width="9.7109375" style="6" customWidth="1"/>
    <col min="13" max="13" width="11.7109375" style="6" customWidth="1"/>
    <col min="14" max="14" width="11" style="6" customWidth="1"/>
    <col min="15" max="15" width="31.5703125" style="6" customWidth="1"/>
    <col min="16" max="16" width="21.85546875" style="6" customWidth="1"/>
    <col min="17" max="18" width="7.5703125" style="6"/>
    <col min="19" max="19" width="11.42578125" style="6" customWidth="1"/>
    <col min="20" max="20" width="12.28515625" style="6" customWidth="1"/>
    <col min="21" max="21" width="16.42578125" style="6" customWidth="1"/>
    <col min="22" max="22" width="8.28515625" style="6" bestFit="1" customWidth="1"/>
    <col min="23" max="16384" width="7.5703125" style="6"/>
  </cols>
  <sheetData>
    <row r="1" spans="1:68"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</row>
    <row r="2" spans="1:68" ht="15" thickBot="1">
      <c r="A2" s="13" t="s">
        <v>38</v>
      </c>
      <c r="B2" s="14" t="s">
        <v>39</v>
      </c>
      <c r="C2" s="14" t="s">
        <v>40</v>
      </c>
      <c r="D2" s="14" t="s">
        <v>41</v>
      </c>
      <c r="E2" s="14" t="s">
        <v>496</v>
      </c>
      <c r="F2" s="14" t="s">
        <v>311</v>
      </c>
      <c r="G2" s="14" t="s">
        <v>494</v>
      </c>
      <c r="H2" s="14" t="s">
        <v>42</v>
      </c>
      <c r="I2" s="14" t="s">
        <v>648</v>
      </c>
      <c r="J2" s="14" t="s">
        <v>43</v>
      </c>
      <c r="K2" s="14"/>
      <c r="L2" s="14" t="s">
        <v>44</v>
      </c>
      <c r="M2" s="14" t="s">
        <v>45</v>
      </c>
      <c r="N2" s="14" t="s">
        <v>46</v>
      </c>
      <c r="O2" s="14" t="s">
        <v>47</v>
      </c>
      <c r="P2" s="14" t="s">
        <v>48</v>
      </c>
      <c r="Q2" s="14" t="s">
        <v>49</v>
      </c>
      <c r="R2" s="14" t="s">
        <v>50</v>
      </c>
      <c r="S2" s="14" t="s">
        <v>51</v>
      </c>
      <c r="T2" s="14" t="s">
        <v>52</v>
      </c>
      <c r="U2" s="2" t="s">
        <v>499</v>
      </c>
      <c r="V2" s="2" t="s">
        <v>500</v>
      </c>
      <c r="W2" s="2" t="s">
        <v>501</v>
      </c>
      <c r="X2" s="2" t="s">
        <v>502</v>
      </c>
      <c r="Y2" s="2" t="s">
        <v>503</v>
      </c>
      <c r="Z2" s="2" t="s">
        <v>504</v>
      </c>
      <c r="AA2" s="2" t="s">
        <v>505</v>
      </c>
      <c r="AB2" s="2" t="s">
        <v>506</v>
      </c>
      <c r="AC2" s="2" t="s">
        <v>507</v>
      </c>
      <c r="AD2" s="2" t="s">
        <v>669</v>
      </c>
      <c r="AE2" s="2" t="s">
        <v>670</v>
      </c>
      <c r="AF2" s="2" t="s">
        <v>56</v>
      </c>
      <c r="AG2" s="2" t="s">
        <v>295</v>
      </c>
      <c r="AH2" s="1" t="s">
        <v>160</v>
      </c>
      <c r="AI2" s="14" t="s">
        <v>41</v>
      </c>
      <c r="AJ2" s="15"/>
      <c r="AK2" s="15"/>
      <c r="AL2" s="15"/>
      <c r="AM2" s="15"/>
      <c r="AN2" s="15"/>
      <c r="AO2" s="15"/>
      <c r="AP2" s="15"/>
      <c r="AQ2" s="15"/>
      <c r="AR2" s="15"/>
    </row>
    <row r="3" spans="1:68" ht="14">
      <c r="A3" s="6">
        <v>1</v>
      </c>
      <c r="B3" s="6" t="s">
        <v>161</v>
      </c>
      <c r="C3" s="6" t="s">
        <v>162</v>
      </c>
      <c r="D3" s="6" t="s">
        <v>163</v>
      </c>
      <c r="E3" s="16">
        <f>HLOOKUP('Output (Entree)'!$F$4,'Raw Data (Entree)'!$U$2:$AH$88,(A3+1),)</f>
        <v>0</v>
      </c>
      <c r="F3" s="17">
        <f>IF(D3='Output (Entree)'!$B$4,1,0)</f>
        <v>1</v>
      </c>
      <c r="G3" s="17">
        <f>IF(L3&lt;='Output (Entree)'!$C$4,(200-'Raw Data (Entree)'!L3),0)</f>
        <v>0</v>
      </c>
      <c r="H3" s="17">
        <v>5</v>
      </c>
      <c r="I3" s="18">
        <f>SUMPRODUCT(F3:H3,'Output (Entree)'!$B$5:$D$5)*E3</f>
        <v>0</v>
      </c>
      <c r="J3" s="19">
        <v>0</v>
      </c>
      <c r="K3" s="49">
        <f>J3</f>
        <v>0</v>
      </c>
      <c r="L3" s="20">
        <v>110</v>
      </c>
      <c r="M3" s="6" t="s">
        <v>164</v>
      </c>
      <c r="N3" s="6" t="s">
        <v>165</v>
      </c>
      <c r="O3" s="6" t="s">
        <v>166</v>
      </c>
      <c r="P3" s="6" t="s">
        <v>167</v>
      </c>
      <c r="Q3" s="21">
        <v>0.14499999999999999</v>
      </c>
      <c r="R3" s="6" t="s">
        <v>53</v>
      </c>
      <c r="S3" s="6" t="s">
        <v>89</v>
      </c>
      <c r="T3" s="6" t="s">
        <v>168</v>
      </c>
      <c r="U3" s="6">
        <f>VLOOKUP($C3,'Food Pairing Data'!$C$2:$S$188,5)</f>
        <v>0</v>
      </c>
      <c r="V3" s="6">
        <f>VLOOKUP($C3,'Food Pairing Data'!$C$2:$S$188,6)</f>
        <v>0</v>
      </c>
      <c r="W3" s="6">
        <f>VLOOKUP($C3,'Food Pairing Data'!$C$2:$S$188,7)</f>
        <v>0</v>
      </c>
      <c r="X3" s="6">
        <f>VLOOKUP($C3,'Food Pairing Data'!$C$2:$S$188,8)</f>
        <v>0</v>
      </c>
      <c r="Y3" s="6">
        <f>VLOOKUP($C3,'Food Pairing Data'!$C$2:$S$188,9)</f>
        <v>0</v>
      </c>
      <c r="Z3" s="6">
        <f>VLOOKUP($C3,'Food Pairing Data'!$C$2:$S$188,10)</f>
        <v>0</v>
      </c>
      <c r="AA3" s="6">
        <f>VLOOKUP($C3,'Food Pairing Data'!$C$2:$S$188,11)</f>
        <v>0</v>
      </c>
      <c r="AB3" s="6">
        <f>VLOOKUP($C3,'Food Pairing Data'!$C$2:$S$188,12)</f>
        <v>0</v>
      </c>
      <c r="AC3" s="6">
        <f>VLOOKUP($C3,'Food Pairing Data'!$C$2:$S$188,13)</f>
        <v>0</v>
      </c>
      <c r="AD3" s="6">
        <f>VLOOKUP($C3,'Food Pairing Data'!$C$2:$S$188,14)</f>
        <v>1</v>
      </c>
      <c r="AE3" s="6">
        <f>VLOOKUP($C3,'Food Pairing Data'!$C$2:$S$188,15)</f>
        <v>0</v>
      </c>
      <c r="AF3" s="6">
        <f>VLOOKUP($C3,'Food Pairing Data'!$C$2:$S$188,16)</f>
        <v>0</v>
      </c>
      <c r="AG3" s="6">
        <f>VLOOKUP($C3,'Food Pairing Data'!$C$2:$S$188,17)</f>
        <v>0</v>
      </c>
      <c r="AH3" s="6" t="s">
        <v>162</v>
      </c>
      <c r="AI3" s="6" t="s">
        <v>163</v>
      </c>
    </row>
    <row r="4" spans="1:68" ht="14">
      <c r="A4" s="6">
        <f>A3+1</f>
        <v>2</v>
      </c>
      <c r="B4" s="6" t="s">
        <v>161</v>
      </c>
      <c r="C4" s="6" t="s">
        <v>169</v>
      </c>
      <c r="D4" s="6" t="s">
        <v>163</v>
      </c>
      <c r="E4" s="22">
        <f>HLOOKUP('Output (Entree)'!$F$4,'Raw Data (Entree)'!$U$2:$BP$88,(A4+1),)</f>
        <v>0</v>
      </c>
      <c r="F4" s="23">
        <f>IF(D4='Output (Entree)'!$B$4,1,0)</f>
        <v>1</v>
      </c>
      <c r="G4" s="23">
        <f>IF(L4&lt;='Output (Entree)'!$C$4,(200-'Raw Data (Entree)'!L4),0)</f>
        <v>120.01</v>
      </c>
      <c r="H4" s="23">
        <v>5</v>
      </c>
      <c r="I4" s="24">
        <f>SUMPRODUCT(F4:H4,'Output (Entree)'!$B$5:$D$5)*E4</f>
        <v>0</v>
      </c>
      <c r="J4" s="25">
        <v>0</v>
      </c>
      <c r="K4" s="49">
        <f t="shared" ref="K4:K67" si="0">J4</f>
        <v>0</v>
      </c>
      <c r="L4" s="20">
        <v>79.989999999999995</v>
      </c>
      <c r="M4" s="6" t="s">
        <v>170</v>
      </c>
      <c r="N4" s="6" t="s">
        <v>171</v>
      </c>
      <c r="O4" s="6" t="s">
        <v>172</v>
      </c>
      <c r="P4" s="6" t="s">
        <v>173</v>
      </c>
      <c r="Q4" s="26" t="s">
        <v>174</v>
      </c>
      <c r="R4" s="6" t="s">
        <v>65</v>
      </c>
      <c r="S4" s="6" t="s">
        <v>91</v>
      </c>
      <c r="T4" s="6" t="s">
        <v>58</v>
      </c>
      <c r="U4" s="6">
        <f>VLOOKUP($C4,'Food Pairing Data'!$C$2:$S$188,5)</f>
        <v>0</v>
      </c>
      <c r="V4" s="6">
        <f>VLOOKUP($C4,'Food Pairing Data'!$C$2:$S$188,6)</f>
        <v>0</v>
      </c>
      <c r="W4" s="6">
        <f>VLOOKUP($C4,'Food Pairing Data'!$C$2:$S$188,7)</f>
        <v>0</v>
      </c>
      <c r="X4" s="6">
        <f>VLOOKUP($C4,'Food Pairing Data'!$C$2:$S$188,8)</f>
        <v>0</v>
      </c>
      <c r="Y4" s="6">
        <f>VLOOKUP($C4,'Food Pairing Data'!$C$2:$S$188,9)</f>
        <v>0</v>
      </c>
      <c r="Z4" s="6">
        <f>VLOOKUP($C4,'Food Pairing Data'!$C$2:$S$188,10)</f>
        <v>0</v>
      </c>
      <c r="AA4" s="6">
        <f>VLOOKUP($C4,'Food Pairing Data'!$C$2:$S$188,11)</f>
        <v>0</v>
      </c>
      <c r="AB4" s="6">
        <f>VLOOKUP($C4,'Food Pairing Data'!$C$2:$S$188,12)</f>
        <v>0</v>
      </c>
      <c r="AC4" s="6">
        <f>VLOOKUP($C4,'Food Pairing Data'!$C$2:$S$188,13)</f>
        <v>0</v>
      </c>
      <c r="AD4" s="6">
        <f>VLOOKUP($C4,'Food Pairing Data'!$C$2:$S$188,14)</f>
        <v>1</v>
      </c>
      <c r="AE4" s="6">
        <f>VLOOKUP($C4,'Food Pairing Data'!$C$2:$S$188,15)</f>
        <v>0</v>
      </c>
      <c r="AF4" s="6">
        <f>VLOOKUP($C4,'Food Pairing Data'!$C$2:$S$188,16)</f>
        <v>0</v>
      </c>
      <c r="AG4" s="6">
        <f>VLOOKUP($C4,'Food Pairing Data'!$C$2:$S$188,17)</f>
        <v>0</v>
      </c>
      <c r="AH4" s="6" t="s">
        <v>169</v>
      </c>
      <c r="AI4" s="6" t="s">
        <v>163</v>
      </c>
    </row>
    <row r="5" spans="1:68" ht="14">
      <c r="A5" s="6">
        <f t="shared" ref="A5:A68" si="1">A4+1</f>
        <v>3</v>
      </c>
      <c r="B5" s="6" t="s">
        <v>161</v>
      </c>
      <c r="C5" s="6" t="s">
        <v>175</v>
      </c>
      <c r="D5" s="6" t="s">
        <v>163</v>
      </c>
      <c r="E5" s="22">
        <f>HLOOKUP('Output (Entree)'!$F$4,'Raw Data (Entree)'!$U$2:$BP$88,(A5+1),)</f>
        <v>0</v>
      </c>
      <c r="F5" s="23">
        <f>IF(D5='Output (Entree)'!$B$4,1,0)</f>
        <v>1</v>
      </c>
      <c r="G5" s="23">
        <f>IF(L5&lt;='Output (Entree)'!$C$4,(200-'Raw Data (Entree)'!L5),0)</f>
        <v>150.01</v>
      </c>
      <c r="H5" s="23">
        <v>5</v>
      </c>
      <c r="I5" s="24">
        <f>SUMPRODUCT(F5:H5,'Output (Entree)'!$B$5:$D$5)*E5</f>
        <v>0</v>
      </c>
      <c r="J5" s="25">
        <v>0</v>
      </c>
      <c r="K5" s="49">
        <f t="shared" si="0"/>
        <v>0</v>
      </c>
      <c r="L5" s="20">
        <v>49.99</v>
      </c>
      <c r="M5" s="6" t="s">
        <v>176</v>
      </c>
      <c r="N5" s="6" t="s">
        <v>177</v>
      </c>
      <c r="O5" s="6" t="s">
        <v>178</v>
      </c>
      <c r="P5" s="6" t="s">
        <v>179</v>
      </c>
      <c r="Q5" s="26" t="s">
        <v>180</v>
      </c>
      <c r="R5" s="6" t="s">
        <v>55</v>
      </c>
      <c r="S5" s="6" t="s">
        <v>89</v>
      </c>
      <c r="T5" s="6" t="s">
        <v>58</v>
      </c>
      <c r="U5" s="6">
        <f>VLOOKUP($C5,'Food Pairing Data'!$C$2:$S$188,5)</f>
        <v>0</v>
      </c>
      <c r="V5" s="6">
        <f>VLOOKUP($C5,'Food Pairing Data'!$C$2:$S$188,6)</f>
        <v>0</v>
      </c>
      <c r="W5" s="6">
        <f>VLOOKUP($C5,'Food Pairing Data'!$C$2:$S$188,7)</f>
        <v>0</v>
      </c>
      <c r="X5" s="6">
        <f>VLOOKUP($C5,'Food Pairing Data'!$C$2:$S$188,8)</f>
        <v>1</v>
      </c>
      <c r="Y5" s="6">
        <f>VLOOKUP($C5,'Food Pairing Data'!$C$2:$S$188,9)</f>
        <v>0</v>
      </c>
      <c r="Z5" s="6">
        <f>VLOOKUP($C5,'Food Pairing Data'!$C$2:$S$188,10)</f>
        <v>1</v>
      </c>
      <c r="AA5" s="6">
        <f>VLOOKUP($C5,'Food Pairing Data'!$C$2:$S$188,11)</f>
        <v>0</v>
      </c>
      <c r="AB5" s="6">
        <f>VLOOKUP($C5,'Food Pairing Data'!$C$2:$S$188,12)</f>
        <v>0</v>
      </c>
      <c r="AC5" s="6">
        <f>VLOOKUP($C5,'Food Pairing Data'!$C$2:$S$188,13)</f>
        <v>0</v>
      </c>
      <c r="AD5" s="6">
        <f>VLOOKUP($C5,'Food Pairing Data'!$C$2:$S$188,14)</f>
        <v>0</v>
      </c>
      <c r="AE5" s="6">
        <f>VLOOKUP($C5,'Food Pairing Data'!$C$2:$S$188,15)</f>
        <v>0</v>
      </c>
      <c r="AF5" s="6">
        <f>VLOOKUP($C5,'Food Pairing Data'!$C$2:$S$188,16)</f>
        <v>0</v>
      </c>
      <c r="AG5" s="6">
        <f>VLOOKUP($C5,'Food Pairing Data'!$C$2:$S$188,17)</f>
        <v>0</v>
      </c>
      <c r="AH5" s="6" t="s">
        <v>175</v>
      </c>
      <c r="AI5" s="6" t="s">
        <v>163</v>
      </c>
    </row>
    <row r="6" spans="1:68" ht="14">
      <c r="A6" s="6">
        <f t="shared" si="1"/>
        <v>4</v>
      </c>
      <c r="B6" s="6" t="s">
        <v>181</v>
      </c>
      <c r="C6" s="6" t="s">
        <v>182</v>
      </c>
      <c r="D6" s="6" t="s">
        <v>163</v>
      </c>
      <c r="E6" s="22">
        <f>HLOOKUP('Output (Entree)'!$F$4,'Raw Data (Entree)'!$U$2:$BP$88,(A6+1),)</f>
        <v>0</v>
      </c>
      <c r="F6" s="23">
        <f>IF(D6='Output (Entree)'!$B$4,1,0)</f>
        <v>1</v>
      </c>
      <c r="G6" s="23">
        <f>IF(L6&lt;='Output (Entree)'!$C$4,(200-'Raw Data (Entree)'!L6),0)</f>
        <v>165.01</v>
      </c>
      <c r="H6" s="23">
        <v>5</v>
      </c>
      <c r="I6" s="24">
        <f>SUMPRODUCT(F6:H6,'Output (Entree)'!$B$5:$D$5)*E6</f>
        <v>0</v>
      </c>
      <c r="J6" s="25">
        <v>0</v>
      </c>
      <c r="K6" s="49">
        <f t="shared" si="0"/>
        <v>0</v>
      </c>
      <c r="L6" s="20">
        <v>34.99</v>
      </c>
      <c r="M6" s="6" t="s">
        <v>183</v>
      </c>
      <c r="N6" s="6" t="s">
        <v>184</v>
      </c>
      <c r="O6" s="6" t="s">
        <v>185</v>
      </c>
      <c r="P6" s="6" t="s">
        <v>186</v>
      </c>
      <c r="Q6" s="26" t="s">
        <v>180</v>
      </c>
      <c r="R6" s="6" t="s">
        <v>72</v>
      </c>
      <c r="S6" s="6" t="s">
        <v>64</v>
      </c>
      <c r="T6" s="6" t="s">
        <v>58</v>
      </c>
      <c r="U6" s="6">
        <f>VLOOKUP($C6,'Food Pairing Data'!$C$2:$S$188,5)</f>
        <v>0</v>
      </c>
      <c r="V6" s="6">
        <f>VLOOKUP($C6,'Food Pairing Data'!$C$2:$S$188,6)</f>
        <v>0</v>
      </c>
      <c r="W6" s="6">
        <f>VLOOKUP($C6,'Food Pairing Data'!$C$2:$S$188,7)</f>
        <v>0</v>
      </c>
      <c r="X6" s="6">
        <f>VLOOKUP($C6,'Food Pairing Data'!$C$2:$S$188,8)</f>
        <v>0</v>
      </c>
      <c r="Y6" s="6">
        <f>VLOOKUP($C6,'Food Pairing Data'!$C$2:$S$188,9)</f>
        <v>0</v>
      </c>
      <c r="Z6" s="6">
        <f>VLOOKUP($C6,'Food Pairing Data'!$C$2:$S$188,10)</f>
        <v>0</v>
      </c>
      <c r="AA6" s="6">
        <f>VLOOKUP($C6,'Food Pairing Data'!$C$2:$S$188,11)</f>
        <v>0</v>
      </c>
      <c r="AB6" s="6">
        <f>VLOOKUP($C6,'Food Pairing Data'!$C$2:$S$188,12)</f>
        <v>0</v>
      </c>
      <c r="AC6" s="6">
        <f>VLOOKUP($C6,'Food Pairing Data'!$C$2:$S$188,13)</f>
        <v>0</v>
      </c>
      <c r="AD6" s="6">
        <f>VLOOKUP($C6,'Food Pairing Data'!$C$2:$S$188,14)</f>
        <v>1</v>
      </c>
      <c r="AE6" s="6">
        <f>VLOOKUP($C6,'Food Pairing Data'!$C$2:$S$188,15)</f>
        <v>0</v>
      </c>
      <c r="AF6" s="6">
        <f>VLOOKUP($C6,'Food Pairing Data'!$C$2:$S$188,16)</f>
        <v>0</v>
      </c>
      <c r="AG6" s="6">
        <f>VLOOKUP($C6,'Food Pairing Data'!$C$2:$S$188,17)</f>
        <v>0</v>
      </c>
      <c r="AH6" s="6" t="s">
        <v>182</v>
      </c>
      <c r="AI6" s="6" t="s">
        <v>163</v>
      </c>
    </row>
    <row r="7" spans="1:68" ht="14">
      <c r="A7" s="6">
        <f t="shared" si="1"/>
        <v>5</v>
      </c>
      <c r="B7" s="6" t="s">
        <v>181</v>
      </c>
      <c r="C7" s="6" t="s">
        <v>11</v>
      </c>
      <c r="D7" s="6" t="s">
        <v>163</v>
      </c>
      <c r="E7" s="22">
        <f>HLOOKUP('Output (Entree)'!$F$4,'Raw Data (Entree)'!$U$2:$BP$88,(A7+1),)</f>
        <v>0</v>
      </c>
      <c r="F7" s="23">
        <f>IF(D7='Output (Entree)'!$B$4,1,0)</f>
        <v>1</v>
      </c>
      <c r="G7" s="23">
        <f>IF(L7&lt;='Output (Entree)'!$C$4,(200-'Raw Data (Entree)'!L7),0)</f>
        <v>170.01</v>
      </c>
      <c r="H7" s="23">
        <v>5</v>
      </c>
      <c r="I7" s="24">
        <f>SUMPRODUCT(F7:H7,'Output (Entree)'!$B$5:$D$5)*E7</f>
        <v>0</v>
      </c>
      <c r="J7" s="25">
        <v>0</v>
      </c>
      <c r="K7" s="49">
        <f t="shared" si="0"/>
        <v>0</v>
      </c>
      <c r="L7" s="20">
        <v>29.99</v>
      </c>
      <c r="M7" s="6" t="s">
        <v>176</v>
      </c>
      <c r="N7" s="6" t="s">
        <v>12</v>
      </c>
      <c r="O7" s="6" t="s">
        <v>13</v>
      </c>
      <c r="P7" s="6" t="s">
        <v>186</v>
      </c>
      <c r="Q7" s="26" t="s">
        <v>174</v>
      </c>
      <c r="R7" s="6" t="s">
        <v>14</v>
      </c>
      <c r="S7" s="6" t="s">
        <v>64</v>
      </c>
      <c r="T7" s="6" t="s">
        <v>58</v>
      </c>
      <c r="U7" s="6">
        <f>VLOOKUP($C7,'Food Pairing Data'!$C$2:$S$188,5)</f>
        <v>0</v>
      </c>
      <c r="V7" s="6">
        <f>VLOOKUP($C7,'Food Pairing Data'!$C$2:$S$188,6)</f>
        <v>0</v>
      </c>
      <c r="W7" s="6">
        <f>VLOOKUP($C7,'Food Pairing Data'!$C$2:$S$188,7)</f>
        <v>0</v>
      </c>
      <c r="X7" s="6">
        <f>VLOOKUP($C7,'Food Pairing Data'!$C$2:$S$188,8)</f>
        <v>1</v>
      </c>
      <c r="Y7" s="6">
        <f>VLOOKUP($C7,'Food Pairing Data'!$C$2:$S$188,9)</f>
        <v>0</v>
      </c>
      <c r="Z7" s="6">
        <f>VLOOKUP($C7,'Food Pairing Data'!$C$2:$S$188,10)</f>
        <v>1</v>
      </c>
      <c r="AA7" s="6">
        <f>VLOOKUP($C7,'Food Pairing Data'!$C$2:$S$188,11)</f>
        <v>0</v>
      </c>
      <c r="AB7" s="6">
        <f>VLOOKUP($C7,'Food Pairing Data'!$C$2:$S$188,12)</f>
        <v>0</v>
      </c>
      <c r="AC7" s="6">
        <f>VLOOKUP($C7,'Food Pairing Data'!$C$2:$S$188,13)</f>
        <v>0</v>
      </c>
      <c r="AD7" s="6">
        <f>VLOOKUP($C7,'Food Pairing Data'!$C$2:$S$188,14)</f>
        <v>0</v>
      </c>
      <c r="AE7" s="6">
        <f>VLOOKUP($C7,'Food Pairing Data'!$C$2:$S$188,15)</f>
        <v>0</v>
      </c>
      <c r="AF7" s="6">
        <f>VLOOKUP($C7,'Food Pairing Data'!$C$2:$S$188,16)</f>
        <v>0</v>
      </c>
      <c r="AG7" s="6">
        <f>VLOOKUP($C7,'Food Pairing Data'!$C$2:$S$188,17)</f>
        <v>0</v>
      </c>
      <c r="AH7" s="6" t="s">
        <v>11</v>
      </c>
      <c r="AI7" s="6" t="s">
        <v>163</v>
      </c>
    </row>
    <row r="8" spans="1:68" ht="14">
      <c r="A8" s="6">
        <f t="shared" si="1"/>
        <v>6</v>
      </c>
      <c r="B8" s="6" t="s">
        <v>181</v>
      </c>
      <c r="C8" s="6" t="s">
        <v>15</v>
      </c>
      <c r="D8" s="6" t="s">
        <v>163</v>
      </c>
      <c r="E8" s="22">
        <f>HLOOKUP('Output (Entree)'!$F$4,'Raw Data (Entree)'!$U$2:$BP$88,(A8+1),)</f>
        <v>0</v>
      </c>
      <c r="F8" s="23">
        <f>IF(D8='Output (Entree)'!$B$4,1,0)</f>
        <v>1</v>
      </c>
      <c r="G8" s="23">
        <f>IF(L8&lt;='Output (Entree)'!$C$4,(200-'Raw Data (Entree)'!L8),0)</f>
        <v>174.01</v>
      </c>
      <c r="H8" s="23">
        <v>5</v>
      </c>
      <c r="I8" s="24">
        <f>SUMPRODUCT(F8:H8,'Output (Entree)'!$B$5:$D$5)*E8</f>
        <v>0</v>
      </c>
      <c r="J8" s="25">
        <v>0</v>
      </c>
      <c r="K8" s="49">
        <f t="shared" si="0"/>
        <v>0</v>
      </c>
      <c r="L8" s="20">
        <v>25.99</v>
      </c>
      <c r="M8" s="6" t="s">
        <v>183</v>
      </c>
      <c r="N8" s="6" t="s">
        <v>184</v>
      </c>
      <c r="O8" s="6" t="s">
        <v>16</v>
      </c>
      <c r="P8" s="6" t="s">
        <v>173</v>
      </c>
      <c r="Q8" s="26" t="s">
        <v>180</v>
      </c>
      <c r="R8" s="6" t="s">
        <v>53</v>
      </c>
      <c r="S8" s="6" t="s">
        <v>154</v>
      </c>
      <c r="T8" s="6" t="s">
        <v>58</v>
      </c>
      <c r="U8" s="6">
        <f>VLOOKUP($C8,'Food Pairing Data'!$C$2:$S$188,5)</f>
        <v>0</v>
      </c>
      <c r="V8" s="6">
        <f>VLOOKUP($C8,'Food Pairing Data'!$C$2:$S$188,6)</f>
        <v>0</v>
      </c>
      <c r="W8" s="6">
        <f>VLOOKUP($C8,'Food Pairing Data'!$C$2:$S$188,7)</f>
        <v>0</v>
      </c>
      <c r="X8" s="6">
        <f>VLOOKUP($C8,'Food Pairing Data'!$C$2:$S$188,8)</f>
        <v>0</v>
      </c>
      <c r="Y8" s="6">
        <f>VLOOKUP($C8,'Food Pairing Data'!$C$2:$S$188,9)</f>
        <v>0</v>
      </c>
      <c r="Z8" s="6">
        <f>VLOOKUP($C8,'Food Pairing Data'!$C$2:$S$188,10)</f>
        <v>0</v>
      </c>
      <c r="AA8" s="6">
        <f>VLOOKUP($C8,'Food Pairing Data'!$C$2:$S$188,11)</f>
        <v>0</v>
      </c>
      <c r="AB8" s="6">
        <f>VLOOKUP($C8,'Food Pairing Data'!$C$2:$S$188,12)</f>
        <v>0</v>
      </c>
      <c r="AC8" s="6">
        <f>VLOOKUP($C8,'Food Pairing Data'!$C$2:$S$188,13)</f>
        <v>0</v>
      </c>
      <c r="AD8" s="6">
        <f>VLOOKUP($C8,'Food Pairing Data'!$C$2:$S$188,14)</f>
        <v>1</v>
      </c>
      <c r="AE8" s="6">
        <f>VLOOKUP($C8,'Food Pairing Data'!$C$2:$S$188,15)</f>
        <v>0</v>
      </c>
      <c r="AF8" s="6">
        <f>VLOOKUP($C8,'Food Pairing Data'!$C$2:$S$188,16)</f>
        <v>0</v>
      </c>
      <c r="AG8" s="6">
        <f>VLOOKUP($C8,'Food Pairing Data'!$C$2:$S$188,17)</f>
        <v>0</v>
      </c>
      <c r="AH8" s="6" t="s">
        <v>15</v>
      </c>
      <c r="AI8" s="6" t="s">
        <v>163</v>
      </c>
    </row>
    <row r="9" spans="1:68" ht="14">
      <c r="A9" s="6">
        <f t="shared" si="1"/>
        <v>7</v>
      </c>
      <c r="B9" s="6" t="s">
        <v>181</v>
      </c>
      <c r="C9" s="6" t="s">
        <v>17</v>
      </c>
      <c r="D9" s="6" t="s">
        <v>163</v>
      </c>
      <c r="E9" s="22">
        <f>HLOOKUP('Output (Entree)'!$F$4,'Raw Data (Entree)'!$U$2:$BP$88,(A9+1),)</f>
        <v>1</v>
      </c>
      <c r="F9" s="23">
        <f>IF(D9='Output (Entree)'!$B$4,1,0)</f>
        <v>1</v>
      </c>
      <c r="G9" s="23">
        <f>IF(L9&lt;='Output (Entree)'!$C$4,(200-'Raw Data (Entree)'!L9),0)</f>
        <v>177.01</v>
      </c>
      <c r="H9" s="23">
        <v>5</v>
      </c>
      <c r="I9" s="24">
        <f>SUMPRODUCT(F9:H9,'Output (Entree)'!$B$5:$D$5)*E9</f>
        <v>39.002000000000002</v>
      </c>
      <c r="J9" s="25">
        <v>0</v>
      </c>
      <c r="K9" s="49">
        <f t="shared" si="0"/>
        <v>0</v>
      </c>
      <c r="L9" s="20">
        <v>22.99</v>
      </c>
      <c r="M9" s="6" t="s">
        <v>18</v>
      </c>
      <c r="N9" s="6" t="s">
        <v>19</v>
      </c>
      <c r="O9" s="6" t="s">
        <v>20</v>
      </c>
      <c r="P9" s="6" t="s">
        <v>21</v>
      </c>
      <c r="Q9" s="26" t="s">
        <v>174</v>
      </c>
      <c r="R9" s="6" t="s">
        <v>53</v>
      </c>
      <c r="S9" s="6" t="s">
        <v>65</v>
      </c>
      <c r="T9" s="6" t="s">
        <v>22</v>
      </c>
      <c r="U9" s="6">
        <f>VLOOKUP($C9,'Food Pairing Data'!$C$2:$S$188,5)</f>
        <v>0</v>
      </c>
      <c r="V9" s="6">
        <f>VLOOKUP($C9,'Food Pairing Data'!$C$2:$S$188,6)</f>
        <v>0</v>
      </c>
      <c r="W9" s="6">
        <f>VLOOKUP($C9,'Food Pairing Data'!$C$2:$S$188,7)</f>
        <v>1</v>
      </c>
      <c r="X9" s="6">
        <f>VLOOKUP($C9,'Food Pairing Data'!$C$2:$S$188,8)</f>
        <v>1</v>
      </c>
      <c r="Y9" s="6">
        <f>VLOOKUP($C9,'Food Pairing Data'!$C$2:$S$188,9)</f>
        <v>0</v>
      </c>
      <c r="Z9" s="6">
        <f>VLOOKUP($C9,'Food Pairing Data'!$C$2:$S$188,10)</f>
        <v>0</v>
      </c>
      <c r="AA9" s="6">
        <f>VLOOKUP($C9,'Food Pairing Data'!$C$2:$S$188,11)</f>
        <v>0</v>
      </c>
      <c r="AB9" s="6">
        <f>VLOOKUP($C9,'Food Pairing Data'!$C$2:$S$188,12)</f>
        <v>0</v>
      </c>
      <c r="AC9" s="6">
        <f>VLOOKUP($C9,'Food Pairing Data'!$C$2:$S$188,13)</f>
        <v>0</v>
      </c>
      <c r="AD9" s="6">
        <f>VLOOKUP($C9,'Food Pairing Data'!$C$2:$S$188,14)</f>
        <v>0</v>
      </c>
      <c r="AE9" s="6">
        <f>VLOOKUP($C9,'Food Pairing Data'!$C$2:$S$188,15)</f>
        <v>0</v>
      </c>
      <c r="AF9" s="6">
        <f>VLOOKUP($C9,'Food Pairing Data'!$C$2:$S$188,16)</f>
        <v>0</v>
      </c>
      <c r="AG9" s="6">
        <f>VLOOKUP($C9,'Food Pairing Data'!$C$2:$S$188,17)</f>
        <v>0</v>
      </c>
      <c r="AH9" s="6" t="s">
        <v>17</v>
      </c>
      <c r="AI9" s="6" t="s">
        <v>163</v>
      </c>
    </row>
    <row r="10" spans="1:68" ht="14">
      <c r="A10" s="6">
        <f t="shared" si="1"/>
        <v>8</v>
      </c>
      <c r="B10" s="6" t="s">
        <v>23</v>
      </c>
      <c r="C10" s="6" t="s">
        <v>24</v>
      </c>
      <c r="D10" s="6" t="s">
        <v>163</v>
      </c>
      <c r="E10" s="22">
        <f>HLOOKUP('Output (Entree)'!$F$4,'Raw Data (Entree)'!$U$2:$BP$88,(A10+1),)</f>
        <v>0</v>
      </c>
      <c r="F10" s="23">
        <f>IF(D10='Output (Entree)'!$B$4,1,0)</f>
        <v>1</v>
      </c>
      <c r="G10" s="23">
        <f>IF(L10&lt;='Output (Entree)'!$C$4,(200-'Raw Data (Entree)'!L10),0)</f>
        <v>180.01</v>
      </c>
      <c r="H10" s="23">
        <v>5</v>
      </c>
      <c r="I10" s="24">
        <f>SUMPRODUCT(F10:H10,'Output (Entree)'!$B$5:$D$5)*E10</f>
        <v>0</v>
      </c>
      <c r="J10" s="25">
        <v>0</v>
      </c>
      <c r="K10" s="49">
        <f t="shared" si="0"/>
        <v>0</v>
      </c>
      <c r="L10" s="20">
        <v>19.989999999999998</v>
      </c>
      <c r="M10" s="6" t="s">
        <v>25</v>
      </c>
      <c r="N10" s="6" t="s">
        <v>26</v>
      </c>
      <c r="O10" s="6" t="s">
        <v>27</v>
      </c>
      <c r="P10" s="6" t="s">
        <v>21</v>
      </c>
      <c r="Q10" s="26" t="s">
        <v>28</v>
      </c>
      <c r="R10" s="6" t="s">
        <v>29</v>
      </c>
      <c r="S10" s="6" t="s">
        <v>29</v>
      </c>
      <c r="T10" s="6" t="s">
        <v>22</v>
      </c>
      <c r="U10" s="37">
        <v>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6" t="s">
        <v>24</v>
      </c>
      <c r="AI10" s="6" t="s">
        <v>163</v>
      </c>
    </row>
    <row r="11" spans="1:68" ht="14">
      <c r="A11" s="6">
        <f t="shared" si="1"/>
        <v>9</v>
      </c>
      <c r="B11" s="6" t="s">
        <v>23</v>
      </c>
      <c r="C11" s="6" t="s">
        <v>30</v>
      </c>
      <c r="D11" s="6" t="s">
        <v>163</v>
      </c>
      <c r="E11" s="22">
        <f>HLOOKUP('Output (Entree)'!$F$4,'Raw Data (Entree)'!$U$2:$BP$88,(A11+1),)</f>
        <v>0</v>
      </c>
      <c r="F11" s="23">
        <f>IF(D11='Output (Entree)'!$B$4,1,0)</f>
        <v>1</v>
      </c>
      <c r="G11" s="23">
        <f>IF(L11&lt;='Output (Entree)'!$C$4,(200-'Raw Data (Entree)'!L11),0)</f>
        <v>180.01</v>
      </c>
      <c r="H11" s="23">
        <v>5</v>
      </c>
      <c r="I11" s="24">
        <f>SUMPRODUCT(F11:H11,'Output (Entree)'!$B$5:$D$5)*E11</f>
        <v>0</v>
      </c>
      <c r="J11" s="25">
        <v>0</v>
      </c>
      <c r="K11" s="49">
        <f t="shared" si="0"/>
        <v>0</v>
      </c>
      <c r="L11" s="20">
        <v>19.989999999999998</v>
      </c>
      <c r="M11" s="6" t="s">
        <v>176</v>
      </c>
      <c r="N11" s="6" t="s">
        <v>31</v>
      </c>
      <c r="O11" s="6" t="s">
        <v>32</v>
      </c>
      <c r="P11" s="6" t="s">
        <v>33</v>
      </c>
      <c r="Q11" s="26" t="s">
        <v>34</v>
      </c>
      <c r="R11" s="6" t="s">
        <v>69</v>
      </c>
      <c r="S11" s="6" t="s">
        <v>57</v>
      </c>
      <c r="T11" s="6" t="s">
        <v>22</v>
      </c>
      <c r="U11" s="6">
        <f>VLOOKUP($C11,'Food Pairing Data'!$C$2:$S$188,5)</f>
        <v>0</v>
      </c>
      <c r="V11" s="6">
        <f>VLOOKUP($C11,'Food Pairing Data'!$C$2:$S$188,6)</f>
        <v>0</v>
      </c>
      <c r="W11" s="6">
        <f>VLOOKUP($C11,'Food Pairing Data'!$C$2:$S$188,7)</f>
        <v>0</v>
      </c>
      <c r="X11" s="6">
        <f>VLOOKUP($C11,'Food Pairing Data'!$C$2:$S$188,8)</f>
        <v>0</v>
      </c>
      <c r="Y11" s="6">
        <f>VLOOKUP($C11,'Food Pairing Data'!$C$2:$S$188,9)</f>
        <v>0</v>
      </c>
      <c r="Z11" s="6">
        <f>VLOOKUP($C11,'Food Pairing Data'!$C$2:$S$188,10)</f>
        <v>0</v>
      </c>
      <c r="AA11" s="6">
        <f>VLOOKUP($C11,'Food Pairing Data'!$C$2:$S$188,11)</f>
        <v>0</v>
      </c>
      <c r="AB11" s="6">
        <f>VLOOKUP($C11,'Food Pairing Data'!$C$2:$S$188,12)</f>
        <v>0</v>
      </c>
      <c r="AC11" s="6">
        <f>VLOOKUP($C11,'Food Pairing Data'!$C$2:$S$188,13)</f>
        <v>0</v>
      </c>
      <c r="AD11" s="6">
        <f>VLOOKUP($C11,'Food Pairing Data'!$C$2:$S$188,14)</f>
        <v>1</v>
      </c>
      <c r="AE11" s="6">
        <f>VLOOKUP($C11,'Food Pairing Data'!$C$2:$S$188,15)</f>
        <v>0</v>
      </c>
      <c r="AF11" s="6">
        <f>VLOOKUP($C11,'Food Pairing Data'!$C$2:$S$188,16)</f>
        <v>0</v>
      </c>
      <c r="AG11" s="6">
        <f>VLOOKUP($C11,'Food Pairing Data'!$C$2:$S$188,17)</f>
        <v>0</v>
      </c>
      <c r="AH11" s="6" t="s">
        <v>30</v>
      </c>
      <c r="AI11" s="6" t="s">
        <v>163</v>
      </c>
    </row>
    <row r="12" spans="1:68" ht="14">
      <c r="A12" s="6">
        <f t="shared" si="1"/>
        <v>10</v>
      </c>
      <c r="B12" s="6" t="s">
        <v>23</v>
      </c>
      <c r="C12" s="6" t="s">
        <v>234</v>
      </c>
      <c r="D12" s="6" t="s">
        <v>163</v>
      </c>
      <c r="E12" s="22">
        <f>HLOOKUP('Output (Entree)'!$F$4,'Raw Data (Entree)'!$U$2:$BP$88,(A12+1),)</f>
        <v>1</v>
      </c>
      <c r="F12" s="23">
        <f>IF(D12='Output (Entree)'!$B$4,1,0)</f>
        <v>1</v>
      </c>
      <c r="G12" s="23">
        <f>IF(L12&lt;='Output (Entree)'!$C$4,(200-'Raw Data (Entree)'!L12),0)</f>
        <v>181.01</v>
      </c>
      <c r="H12" s="23">
        <v>5</v>
      </c>
      <c r="I12" s="24">
        <f>SUMPRODUCT(F12:H12,'Output (Entree)'!$B$5:$D$5)*E12</f>
        <v>39.802</v>
      </c>
      <c r="J12" s="25">
        <v>0</v>
      </c>
      <c r="K12" s="49">
        <f t="shared" si="0"/>
        <v>0</v>
      </c>
      <c r="L12" s="20">
        <v>18.989999999999998</v>
      </c>
      <c r="M12" s="6" t="s">
        <v>176</v>
      </c>
      <c r="N12" s="6" t="s">
        <v>235</v>
      </c>
      <c r="O12" s="6" t="s">
        <v>236</v>
      </c>
      <c r="P12" s="6" t="s">
        <v>21</v>
      </c>
      <c r="Q12" s="26" t="s">
        <v>237</v>
      </c>
      <c r="R12" s="6" t="s">
        <v>53</v>
      </c>
      <c r="S12" s="6" t="s">
        <v>238</v>
      </c>
      <c r="T12" s="6" t="s">
        <v>239</v>
      </c>
      <c r="U12" s="6">
        <f>VLOOKUP($C12,'Food Pairing Data'!$C$2:$S$188,5)</f>
        <v>0</v>
      </c>
      <c r="V12" s="6">
        <f>VLOOKUP($C12,'Food Pairing Data'!$C$2:$S$188,6)</f>
        <v>0</v>
      </c>
      <c r="W12" s="6">
        <f>VLOOKUP($C12,'Food Pairing Data'!$C$2:$S$188,7)</f>
        <v>1</v>
      </c>
      <c r="X12" s="6">
        <f>VLOOKUP($C12,'Food Pairing Data'!$C$2:$S$188,8)</f>
        <v>0</v>
      </c>
      <c r="Y12" s="6">
        <f>VLOOKUP($C12,'Food Pairing Data'!$C$2:$S$188,9)</f>
        <v>0</v>
      </c>
      <c r="Z12" s="6">
        <f>VLOOKUP($C12,'Food Pairing Data'!$C$2:$S$188,10)</f>
        <v>0</v>
      </c>
      <c r="AA12" s="6">
        <f>VLOOKUP($C12,'Food Pairing Data'!$C$2:$S$188,11)</f>
        <v>0</v>
      </c>
      <c r="AB12" s="6">
        <f>VLOOKUP($C12,'Food Pairing Data'!$C$2:$S$188,12)</f>
        <v>0</v>
      </c>
      <c r="AC12" s="6">
        <f>VLOOKUP($C12,'Food Pairing Data'!$C$2:$S$188,13)</f>
        <v>0</v>
      </c>
      <c r="AD12" s="6">
        <f>VLOOKUP($C12,'Food Pairing Data'!$C$2:$S$188,14)</f>
        <v>0</v>
      </c>
      <c r="AE12" s="6">
        <f>VLOOKUP($C12,'Food Pairing Data'!$C$2:$S$188,15)</f>
        <v>0</v>
      </c>
      <c r="AF12" s="6">
        <f>VLOOKUP($C12,'Food Pairing Data'!$C$2:$S$188,16)</f>
        <v>0</v>
      </c>
      <c r="AG12" s="6">
        <f>VLOOKUP($C12,'Food Pairing Data'!$C$2:$S$188,17)</f>
        <v>0</v>
      </c>
      <c r="AH12" s="6" t="s">
        <v>234</v>
      </c>
      <c r="AI12" s="6" t="s">
        <v>163</v>
      </c>
    </row>
    <row r="13" spans="1:68" ht="14">
      <c r="A13" s="6">
        <f t="shared" si="1"/>
        <v>11</v>
      </c>
      <c r="B13" s="6" t="s">
        <v>23</v>
      </c>
      <c r="C13" s="6" t="s">
        <v>240</v>
      </c>
      <c r="D13" s="6" t="s">
        <v>163</v>
      </c>
      <c r="E13" s="22">
        <f>HLOOKUP('Output (Entree)'!$F$4,'Raw Data (Entree)'!$U$2:$BP$88,(A13+1),)</f>
        <v>0</v>
      </c>
      <c r="F13" s="23">
        <f>IF(D13='Output (Entree)'!$B$4,1,0)</f>
        <v>1</v>
      </c>
      <c r="G13" s="23">
        <f>IF(L13&lt;='Output (Entree)'!$C$4,(200-'Raw Data (Entree)'!L13),0)</f>
        <v>182.01</v>
      </c>
      <c r="H13" s="23">
        <v>5</v>
      </c>
      <c r="I13" s="24">
        <f>SUMPRODUCT(F13:H13,'Output (Entree)'!$B$5:$D$5)*E13</f>
        <v>0</v>
      </c>
      <c r="J13" s="25">
        <v>0</v>
      </c>
      <c r="K13" s="49">
        <f t="shared" si="0"/>
        <v>0</v>
      </c>
      <c r="L13" s="20">
        <v>17.989999999999998</v>
      </c>
      <c r="M13" s="6" t="s">
        <v>241</v>
      </c>
      <c r="N13" s="6" t="s">
        <v>242</v>
      </c>
      <c r="O13" s="6" t="s">
        <v>243</v>
      </c>
      <c r="P13" s="6" t="s">
        <v>173</v>
      </c>
      <c r="Q13" s="26" t="s">
        <v>174</v>
      </c>
      <c r="R13" s="6" t="s">
        <v>53</v>
      </c>
      <c r="S13" s="6" t="s">
        <v>64</v>
      </c>
      <c r="T13" s="6" t="s">
        <v>244</v>
      </c>
      <c r="U13" s="6">
        <f>VLOOKUP($C13,'Food Pairing Data'!$C$2:$S$188,5)</f>
        <v>0</v>
      </c>
      <c r="V13" s="6">
        <f>VLOOKUP($C13,'Food Pairing Data'!$C$2:$S$188,6)</f>
        <v>0</v>
      </c>
      <c r="W13" s="6">
        <f>VLOOKUP($C13,'Food Pairing Data'!$C$2:$S$188,7)</f>
        <v>0</v>
      </c>
      <c r="X13" s="6">
        <f>VLOOKUP($C13,'Food Pairing Data'!$C$2:$S$188,8)</f>
        <v>0</v>
      </c>
      <c r="Y13" s="6">
        <f>VLOOKUP($C13,'Food Pairing Data'!$C$2:$S$188,9)</f>
        <v>0</v>
      </c>
      <c r="Z13" s="6">
        <f>VLOOKUP($C13,'Food Pairing Data'!$C$2:$S$188,10)</f>
        <v>0</v>
      </c>
      <c r="AA13" s="6">
        <f>VLOOKUP($C13,'Food Pairing Data'!$C$2:$S$188,11)</f>
        <v>0</v>
      </c>
      <c r="AB13" s="6">
        <f>VLOOKUP($C13,'Food Pairing Data'!$C$2:$S$188,12)</f>
        <v>0</v>
      </c>
      <c r="AC13" s="6">
        <f>VLOOKUP($C13,'Food Pairing Data'!$C$2:$S$188,13)</f>
        <v>0</v>
      </c>
      <c r="AD13" s="6">
        <f>VLOOKUP($C13,'Food Pairing Data'!$C$2:$S$188,14)</f>
        <v>1</v>
      </c>
      <c r="AE13" s="6">
        <f>VLOOKUP($C13,'Food Pairing Data'!$C$2:$S$188,15)</f>
        <v>0</v>
      </c>
      <c r="AF13" s="6">
        <f>VLOOKUP($C13,'Food Pairing Data'!$C$2:$S$188,16)</f>
        <v>0</v>
      </c>
      <c r="AG13" s="6">
        <f>VLOOKUP($C13,'Food Pairing Data'!$C$2:$S$188,17)</f>
        <v>0</v>
      </c>
      <c r="AH13" s="6" t="s">
        <v>240</v>
      </c>
      <c r="AI13" s="6" t="s">
        <v>163</v>
      </c>
    </row>
    <row r="14" spans="1:68" ht="14">
      <c r="A14" s="6">
        <f t="shared" si="1"/>
        <v>12</v>
      </c>
      <c r="B14" s="6" t="s">
        <v>245</v>
      </c>
      <c r="C14" s="6" t="s">
        <v>246</v>
      </c>
      <c r="D14" s="6" t="s">
        <v>163</v>
      </c>
      <c r="E14" s="22">
        <f>HLOOKUP('Output (Entree)'!$F$4,'Raw Data (Entree)'!$U$2:$BP$88,(A14+1),)</f>
        <v>0</v>
      </c>
      <c r="F14" s="23">
        <f>IF(D14='Output (Entree)'!$B$4,1,0)</f>
        <v>1</v>
      </c>
      <c r="G14" s="23">
        <f>IF(L14&lt;='Output (Entree)'!$C$4,(200-'Raw Data (Entree)'!L14),0)</f>
        <v>191.01</v>
      </c>
      <c r="H14" s="23">
        <v>5</v>
      </c>
      <c r="I14" s="24">
        <f>SUMPRODUCT(F14:H14,'Output (Entree)'!$B$5:$D$5)*E14</f>
        <v>0</v>
      </c>
      <c r="J14" s="25">
        <v>0</v>
      </c>
      <c r="K14" s="49">
        <f t="shared" si="0"/>
        <v>0</v>
      </c>
      <c r="L14" s="20">
        <v>8.99</v>
      </c>
      <c r="M14" s="6" t="s">
        <v>170</v>
      </c>
      <c r="N14" s="6" t="s">
        <v>247</v>
      </c>
      <c r="O14" s="6" t="s">
        <v>248</v>
      </c>
      <c r="P14" s="6" t="s">
        <v>249</v>
      </c>
      <c r="Q14" s="26" t="s">
        <v>174</v>
      </c>
      <c r="R14" s="6" t="s">
        <v>65</v>
      </c>
      <c r="S14" s="6" t="s">
        <v>53</v>
      </c>
      <c r="T14" s="6" t="s">
        <v>58</v>
      </c>
      <c r="U14" s="6">
        <v>1</v>
      </c>
      <c r="V14" s="6">
        <v>1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 t="s">
        <v>246</v>
      </c>
      <c r="AI14" s="6" t="s">
        <v>163</v>
      </c>
    </row>
    <row r="15" spans="1:68" ht="14">
      <c r="A15" s="6">
        <f t="shared" si="1"/>
        <v>13</v>
      </c>
      <c r="B15" s="6" t="s">
        <v>245</v>
      </c>
      <c r="C15" s="6" t="s">
        <v>250</v>
      </c>
      <c r="D15" s="6" t="s">
        <v>163</v>
      </c>
      <c r="E15" s="22">
        <f>HLOOKUP('Output (Entree)'!$F$4,'Raw Data (Entree)'!$U$2:$BP$88,(A15+1),)</f>
        <v>0</v>
      </c>
      <c r="F15" s="23">
        <f>IF(D15='Output (Entree)'!$B$4,1,0)</f>
        <v>1</v>
      </c>
      <c r="G15" s="23">
        <f>IF(L15&lt;='Output (Entree)'!$C$4,(200-'Raw Data (Entree)'!L15),0)</f>
        <v>191.01</v>
      </c>
      <c r="H15" s="23">
        <v>5</v>
      </c>
      <c r="I15" s="24">
        <f>SUMPRODUCT(F15:H15,'Output (Entree)'!$B$5:$D$5)*E15</f>
        <v>0</v>
      </c>
      <c r="J15" s="25">
        <v>0</v>
      </c>
      <c r="K15" s="49">
        <f t="shared" si="0"/>
        <v>0</v>
      </c>
      <c r="L15" s="20">
        <v>8.99</v>
      </c>
      <c r="M15" s="6" t="s">
        <v>251</v>
      </c>
      <c r="N15" s="6" t="s">
        <v>252</v>
      </c>
      <c r="O15" s="6" t="s">
        <v>109</v>
      </c>
      <c r="P15" s="6" t="s">
        <v>110</v>
      </c>
      <c r="Q15" s="26" t="s">
        <v>34</v>
      </c>
      <c r="R15" s="6" t="s">
        <v>58</v>
      </c>
      <c r="S15" s="6" t="s">
        <v>53</v>
      </c>
      <c r="T15" s="6" t="s">
        <v>239</v>
      </c>
      <c r="U15" s="6">
        <f>VLOOKUP($C15,'Food Pairing Data'!$C$2:$S$188,5)</f>
        <v>0</v>
      </c>
      <c r="V15" s="6">
        <f>VLOOKUP($C15,'Food Pairing Data'!$C$2:$S$188,6)</f>
        <v>0</v>
      </c>
      <c r="W15" s="6">
        <f>VLOOKUP($C15,'Food Pairing Data'!$C$2:$S$188,7)</f>
        <v>0</v>
      </c>
      <c r="X15" s="6">
        <f>VLOOKUP($C15,'Food Pairing Data'!$C$2:$S$188,8)</f>
        <v>0</v>
      </c>
      <c r="Y15" s="6">
        <f>VLOOKUP($C15,'Food Pairing Data'!$C$2:$S$188,9)</f>
        <v>0</v>
      </c>
      <c r="Z15" s="6">
        <f>VLOOKUP($C15,'Food Pairing Data'!$C$2:$S$188,10)</f>
        <v>0</v>
      </c>
      <c r="AA15" s="6">
        <f>VLOOKUP($C15,'Food Pairing Data'!$C$2:$S$188,11)</f>
        <v>0</v>
      </c>
      <c r="AB15" s="6">
        <f>VLOOKUP($C15,'Food Pairing Data'!$C$2:$S$188,12)</f>
        <v>0</v>
      </c>
      <c r="AC15" s="6">
        <f>VLOOKUP($C15,'Food Pairing Data'!$C$2:$S$188,13)</f>
        <v>0</v>
      </c>
      <c r="AD15" s="6">
        <f>VLOOKUP($C15,'Food Pairing Data'!$C$2:$S$188,14)</f>
        <v>1</v>
      </c>
      <c r="AE15" s="6">
        <f>VLOOKUP($C15,'Food Pairing Data'!$C$2:$S$188,15)</f>
        <v>0</v>
      </c>
      <c r="AF15" s="6">
        <f>VLOOKUP($C15,'Food Pairing Data'!$C$2:$S$188,16)</f>
        <v>0</v>
      </c>
      <c r="AG15" s="6">
        <f>VLOOKUP($C15,'Food Pairing Data'!$C$2:$S$188,17)</f>
        <v>0</v>
      </c>
      <c r="AH15" s="6" t="s">
        <v>250</v>
      </c>
      <c r="AI15" s="6" t="s">
        <v>163</v>
      </c>
    </row>
    <row r="16" spans="1:68" ht="14">
      <c r="A16" s="6">
        <f t="shared" si="1"/>
        <v>14</v>
      </c>
      <c r="B16" s="6" t="s">
        <v>161</v>
      </c>
      <c r="C16" s="6" t="s">
        <v>259</v>
      </c>
      <c r="D16" s="6" t="s">
        <v>163</v>
      </c>
      <c r="E16" s="22">
        <f>HLOOKUP('Output (Entree)'!$F$4,'Raw Data (Entree)'!$U$2:$BP$88,(A16+1),)</f>
        <v>0</v>
      </c>
      <c r="F16" s="23">
        <f>IF(D16='Output (Entree)'!$B$4,1,0)</f>
        <v>1</v>
      </c>
      <c r="G16" s="23">
        <f>IF(L16&lt;='Output (Entree)'!$C$4,(200-'Raw Data (Entree)'!L16),0)</f>
        <v>135.01</v>
      </c>
      <c r="H16" s="23">
        <v>4.5</v>
      </c>
      <c r="I16" s="24">
        <f>SUMPRODUCT(F16:H16,'Output (Entree)'!$B$5:$D$5)*E16</f>
        <v>0</v>
      </c>
      <c r="J16" s="25">
        <v>0</v>
      </c>
      <c r="K16" s="49">
        <f t="shared" si="0"/>
        <v>0</v>
      </c>
      <c r="L16" s="20">
        <v>64.989999999999995</v>
      </c>
      <c r="M16" s="6" t="s">
        <v>111</v>
      </c>
      <c r="N16" s="6" t="s">
        <v>112</v>
      </c>
      <c r="O16" s="6" t="s">
        <v>113</v>
      </c>
      <c r="P16" s="6" t="s">
        <v>114</v>
      </c>
      <c r="Q16" s="26" t="s">
        <v>174</v>
      </c>
      <c r="R16" s="6" t="s">
        <v>53</v>
      </c>
      <c r="S16" s="6" t="s">
        <v>64</v>
      </c>
      <c r="T16" s="6" t="s">
        <v>58</v>
      </c>
      <c r="U16" s="6">
        <f>VLOOKUP($C16,'Food Pairing Data'!$C$2:$S$188,5)</f>
        <v>0</v>
      </c>
      <c r="V16" s="6">
        <f>VLOOKUP($C16,'Food Pairing Data'!$C$2:$S$188,6)</f>
        <v>0</v>
      </c>
      <c r="W16" s="6">
        <f>VLOOKUP($C16,'Food Pairing Data'!$C$2:$S$188,7)</f>
        <v>0</v>
      </c>
      <c r="X16" s="6">
        <f>VLOOKUP($C16,'Food Pairing Data'!$C$2:$S$188,8)</f>
        <v>1</v>
      </c>
      <c r="Y16" s="6">
        <f>VLOOKUP($C16,'Food Pairing Data'!$C$2:$S$188,9)</f>
        <v>0</v>
      </c>
      <c r="Z16" s="6">
        <f>VLOOKUP($C16,'Food Pairing Data'!$C$2:$S$188,10)</f>
        <v>1</v>
      </c>
      <c r="AA16" s="6">
        <f>VLOOKUP($C16,'Food Pairing Data'!$C$2:$S$188,11)</f>
        <v>0</v>
      </c>
      <c r="AB16" s="6">
        <f>VLOOKUP($C16,'Food Pairing Data'!$C$2:$S$188,12)</f>
        <v>0</v>
      </c>
      <c r="AC16" s="6">
        <f>VLOOKUP($C16,'Food Pairing Data'!$C$2:$S$188,13)</f>
        <v>0</v>
      </c>
      <c r="AD16" s="6">
        <f>VLOOKUP($C16,'Food Pairing Data'!$C$2:$S$188,14)</f>
        <v>0</v>
      </c>
      <c r="AE16" s="6">
        <f>VLOOKUP($C16,'Food Pairing Data'!$C$2:$S$188,15)</f>
        <v>0</v>
      </c>
      <c r="AF16" s="6">
        <f>VLOOKUP($C16,'Food Pairing Data'!$C$2:$S$188,16)</f>
        <v>0</v>
      </c>
      <c r="AG16" s="6">
        <f>VLOOKUP($C16,'Food Pairing Data'!$C$2:$S$188,17)</f>
        <v>0</v>
      </c>
      <c r="AH16" s="6" t="s">
        <v>259</v>
      </c>
      <c r="AI16" s="6" t="s">
        <v>163</v>
      </c>
    </row>
    <row r="17" spans="1:35" ht="16.5" customHeight="1">
      <c r="A17" s="6">
        <f t="shared" si="1"/>
        <v>15</v>
      </c>
      <c r="B17" s="6" t="s">
        <v>161</v>
      </c>
      <c r="C17" s="6" t="s">
        <v>115</v>
      </c>
      <c r="D17" s="6" t="s">
        <v>163</v>
      </c>
      <c r="E17" s="22">
        <f>HLOOKUP('Output (Entree)'!$F$4,'Raw Data (Entree)'!$U$2:$BP$88,(A17+1),)</f>
        <v>0</v>
      </c>
      <c r="F17" s="23">
        <f>IF(D17='Output (Entree)'!$B$4,1,0)</f>
        <v>1</v>
      </c>
      <c r="G17" s="23">
        <f>IF(L17&lt;='Output (Entree)'!$C$4,(200-'Raw Data (Entree)'!L17),0)</f>
        <v>135.01</v>
      </c>
      <c r="H17" s="23">
        <v>4.5</v>
      </c>
      <c r="I17" s="24">
        <f>SUMPRODUCT(F17:H17,'Output (Entree)'!$B$5:$D$5)*E17</f>
        <v>0</v>
      </c>
      <c r="J17" s="25">
        <v>0</v>
      </c>
      <c r="K17" s="49">
        <f t="shared" si="0"/>
        <v>0</v>
      </c>
      <c r="L17" s="20">
        <v>64.989999999999995</v>
      </c>
      <c r="M17" s="6" t="s">
        <v>25</v>
      </c>
      <c r="N17" s="6" t="s">
        <v>116</v>
      </c>
      <c r="O17" s="6" t="s">
        <v>117</v>
      </c>
      <c r="P17" s="6" t="s">
        <v>118</v>
      </c>
      <c r="Q17" s="26" t="s">
        <v>28</v>
      </c>
      <c r="R17" s="6" t="s">
        <v>54</v>
      </c>
      <c r="S17" s="6" t="s">
        <v>64</v>
      </c>
      <c r="T17" s="6" t="s">
        <v>157</v>
      </c>
      <c r="U17" s="6">
        <f>VLOOKUP($C17,'Food Pairing Data'!$C$2:$S$188,5)</f>
        <v>0</v>
      </c>
      <c r="V17" s="6">
        <f>VLOOKUP($C17,'Food Pairing Data'!$C$2:$S$188,6)</f>
        <v>0</v>
      </c>
      <c r="W17" s="6">
        <f>VLOOKUP($C17,'Food Pairing Data'!$C$2:$S$188,7)</f>
        <v>0</v>
      </c>
      <c r="X17" s="6">
        <f>VLOOKUP($C17,'Food Pairing Data'!$C$2:$S$188,8)</f>
        <v>0</v>
      </c>
      <c r="Y17" s="6">
        <f>VLOOKUP($C17,'Food Pairing Data'!$C$2:$S$188,9)</f>
        <v>0</v>
      </c>
      <c r="Z17" s="6">
        <f>VLOOKUP($C17,'Food Pairing Data'!$C$2:$S$188,10)</f>
        <v>0</v>
      </c>
      <c r="AA17" s="6">
        <f>VLOOKUP($C17,'Food Pairing Data'!$C$2:$S$188,11)</f>
        <v>0</v>
      </c>
      <c r="AB17" s="6">
        <f>VLOOKUP($C17,'Food Pairing Data'!$C$2:$S$188,12)</f>
        <v>0</v>
      </c>
      <c r="AC17" s="6">
        <f>VLOOKUP($C17,'Food Pairing Data'!$C$2:$S$188,13)</f>
        <v>0</v>
      </c>
      <c r="AD17" s="6">
        <f>VLOOKUP($C17,'Food Pairing Data'!$C$2:$S$188,14)</f>
        <v>1</v>
      </c>
      <c r="AE17" s="6">
        <f>VLOOKUP($C17,'Food Pairing Data'!$C$2:$S$188,15)</f>
        <v>0</v>
      </c>
      <c r="AF17" s="6">
        <f>VLOOKUP($C17,'Food Pairing Data'!$C$2:$S$188,16)</f>
        <v>0</v>
      </c>
      <c r="AG17" s="6">
        <f>VLOOKUP($C17,'Food Pairing Data'!$C$2:$S$188,17)</f>
        <v>0</v>
      </c>
      <c r="AH17" s="6" t="s">
        <v>115</v>
      </c>
      <c r="AI17" s="6" t="s">
        <v>163</v>
      </c>
    </row>
    <row r="18" spans="1:35" ht="16.5" customHeight="1">
      <c r="A18" s="6">
        <f t="shared" si="1"/>
        <v>16</v>
      </c>
      <c r="B18" s="6" t="s">
        <v>161</v>
      </c>
      <c r="C18" s="6" t="s">
        <v>119</v>
      </c>
      <c r="D18" s="6" t="s">
        <v>163</v>
      </c>
      <c r="E18" s="22">
        <f>HLOOKUP('Output (Entree)'!$F$4,'Raw Data (Entree)'!$U$2:$BP$88,(A18+1),)</f>
        <v>0</v>
      </c>
      <c r="F18" s="23">
        <f>IF(D18='Output (Entree)'!$B$4,1,0)</f>
        <v>1</v>
      </c>
      <c r="G18" s="23">
        <f>IF(L18&lt;='Output (Entree)'!$C$4,(200-'Raw Data (Entree)'!L18),0)</f>
        <v>140.01</v>
      </c>
      <c r="H18" s="23">
        <v>4.5</v>
      </c>
      <c r="I18" s="24">
        <f>SUMPRODUCT(F18:H18,'Output (Entree)'!$B$5:$D$5)*E18</f>
        <v>0</v>
      </c>
      <c r="J18" s="25">
        <v>0</v>
      </c>
      <c r="K18" s="49">
        <f t="shared" si="0"/>
        <v>0</v>
      </c>
      <c r="L18" s="20">
        <v>59.99</v>
      </c>
      <c r="M18" s="6" t="s">
        <v>25</v>
      </c>
      <c r="N18" s="6" t="s">
        <v>120</v>
      </c>
      <c r="O18" s="6" t="s">
        <v>121</v>
      </c>
      <c r="P18" s="6" t="s">
        <v>122</v>
      </c>
      <c r="Q18" s="26" t="s">
        <v>123</v>
      </c>
      <c r="R18" s="6" t="s">
        <v>54</v>
      </c>
      <c r="S18" s="6" t="s">
        <v>157</v>
      </c>
      <c r="T18" s="6" t="s">
        <v>239</v>
      </c>
      <c r="U18" s="6">
        <f>VLOOKUP($C18,'Food Pairing Data'!$C$2:$S$188,5)</f>
        <v>0</v>
      </c>
      <c r="V18" s="6">
        <f>VLOOKUP($C18,'Food Pairing Data'!$C$2:$S$188,6)</f>
        <v>0</v>
      </c>
      <c r="W18" s="6">
        <f>VLOOKUP($C18,'Food Pairing Data'!$C$2:$S$188,7)</f>
        <v>0</v>
      </c>
      <c r="X18" s="6">
        <f>VLOOKUP($C18,'Food Pairing Data'!$C$2:$S$188,8)</f>
        <v>0</v>
      </c>
      <c r="Y18" s="6">
        <f>VLOOKUP($C18,'Food Pairing Data'!$C$2:$S$188,9)</f>
        <v>0</v>
      </c>
      <c r="Z18" s="6">
        <f>VLOOKUP($C18,'Food Pairing Data'!$C$2:$S$188,10)</f>
        <v>0</v>
      </c>
      <c r="AA18" s="6">
        <f>VLOOKUP($C18,'Food Pairing Data'!$C$2:$S$188,11)</f>
        <v>0</v>
      </c>
      <c r="AB18" s="6">
        <f>VLOOKUP($C18,'Food Pairing Data'!$C$2:$S$188,12)</f>
        <v>0</v>
      </c>
      <c r="AC18" s="6">
        <f>VLOOKUP($C18,'Food Pairing Data'!$C$2:$S$188,13)</f>
        <v>0</v>
      </c>
      <c r="AD18" s="6">
        <f>VLOOKUP($C18,'Food Pairing Data'!$C$2:$S$188,14)</f>
        <v>1</v>
      </c>
      <c r="AE18" s="6">
        <f>VLOOKUP($C18,'Food Pairing Data'!$C$2:$S$188,15)</f>
        <v>0</v>
      </c>
      <c r="AF18" s="6">
        <f>VLOOKUP($C18,'Food Pairing Data'!$C$2:$S$188,16)</f>
        <v>0</v>
      </c>
      <c r="AG18" s="6">
        <f>VLOOKUP($C18,'Food Pairing Data'!$C$2:$S$188,17)</f>
        <v>0</v>
      </c>
      <c r="AH18" s="6" t="s">
        <v>119</v>
      </c>
      <c r="AI18" s="6" t="s">
        <v>163</v>
      </c>
    </row>
    <row r="19" spans="1:35" ht="16.5" customHeight="1">
      <c r="A19" s="6">
        <f t="shared" si="1"/>
        <v>17</v>
      </c>
      <c r="B19" s="6" t="s">
        <v>181</v>
      </c>
      <c r="C19" s="6" t="s">
        <v>131</v>
      </c>
      <c r="D19" s="6" t="s">
        <v>163</v>
      </c>
      <c r="E19" s="22">
        <f>HLOOKUP('Output (Entree)'!$F$4,'Raw Data (Entree)'!$U$2:$BP$88,(A19+1),)</f>
        <v>0</v>
      </c>
      <c r="F19" s="23">
        <f>IF(D19='Output (Entree)'!$B$4,1,0)</f>
        <v>1</v>
      </c>
      <c r="G19" s="23">
        <f>IF(L19&lt;='Output (Entree)'!$C$4,(200-'Raw Data (Entree)'!L19),0)</f>
        <v>175.01</v>
      </c>
      <c r="H19" s="23">
        <v>4.5</v>
      </c>
      <c r="I19" s="24">
        <f>SUMPRODUCT(F19:H19,'Output (Entree)'!$B$5:$D$5)*E19</f>
        <v>0</v>
      </c>
      <c r="J19" s="25">
        <v>0</v>
      </c>
      <c r="K19" s="49">
        <f t="shared" si="0"/>
        <v>0</v>
      </c>
      <c r="L19" s="20">
        <v>24.99</v>
      </c>
      <c r="M19" s="6" t="s">
        <v>176</v>
      </c>
      <c r="N19" s="6" t="s">
        <v>132</v>
      </c>
      <c r="O19" s="6" t="s">
        <v>133</v>
      </c>
      <c r="P19" s="6" t="s">
        <v>33</v>
      </c>
      <c r="Q19" s="26" t="s">
        <v>174</v>
      </c>
      <c r="R19" s="6" t="s">
        <v>55</v>
      </c>
      <c r="S19" s="6" t="s">
        <v>134</v>
      </c>
      <c r="T19" s="6" t="s">
        <v>239</v>
      </c>
      <c r="U19" s="6">
        <f>VLOOKUP($C19,'Food Pairing Data'!$C$2:$S$188,5)</f>
        <v>0</v>
      </c>
      <c r="V19" s="6">
        <f>VLOOKUP($C19,'Food Pairing Data'!$C$2:$S$188,6)</f>
        <v>0</v>
      </c>
      <c r="W19" s="6">
        <f>VLOOKUP($C19,'Food Pairing Data'!$C$2:$S$188,7)</f>
        <v>0</v>
      </c>
      <c r="X19" s="6">
        <f>VLOOKUP($C19,'Food Pairing Data'!$C$2:$S$188,8)</f>
        <v>0</v>
      </c>
      <c r="Y19" s="6">
        <f>VLOOKUP($C19,'Food Pairing Data'!$C$2:$S$188,9)</f>
        <v>0</v>
      </c>
      <c r="Z19" s="6">
        <f>VLOOKUP($C19,'Food Pairing Data'!$C$2:$S$188,10)</f>
        <v>0</v>
      </c>
      <c r="AA19" s="6">
        <f>VLOOKUP($C19,'Food Pairing Data'!$C$2:$S$188,11)</f>
        <v>0</v>
      </c>
      <c r="AB19" s="6">
        <f>VLOOKUP($C19,'Food Pairing Data'!$C$2:$S$188,12)</f>
        <v>0</v>
      </c>
      <c r="AC19" s="6">
        <f>VLOOKUP($C19,'Food Pairing Data'!$C$2:$S$188,13)</f>
        <v>0</v>
      </c>
      <c r="AD19" s="6">
        <f>VLOOKUP($C19,'Food Pairing Data'!$C$2:$S$188,14)</f>
        <v>1</v>
      </c>
      <c r="AE19" s="6">
        <f>VLOOKUP($C19,'Food Pairing Data'!$C$2:$S$188,15)</f>
        <v>0</v>
      </c>
      <c r="AF19" s="6">
        <f>VLOOKUP($C19,'Food Pairing Data'!$C$2:$S$188,16)</f>
        <v>0</v>
      </c>
      <c r="AG19" s="6">
        <f>VLOOKUP($C19,'Food Pairing Data'!$C$2:$S$188,17)</f>
        <v>0</v>
      </c>
      <c r="AH19" s="6" t="s">
        <v>131</v>
      </c>
      <c r="AI19" s="6" t="s">
        <v>163</v>
      </c>
    </row>
    <row r="20" spans="1:35" ht="16.5" customHeight="1">
      <c r="A20" s="6">
        <f t="shared" si="1"/>
        <v>18</v>
      </c>
      <c r="B20" s="6" t="s">
        <v>23</v>
      </c>
      <c r="C20" s="6" t="s">
        <v>135</v>
      </c>
      <c r="D20" s="6" t="s">
        <v>163</v>
      </c>
      <c r="E20" s="22">
        <f>HLOOKUP('Output (Entree)'!$F$4,'Raw Data (Entree)'!$U$2:$BP$88,(A20+1),)</f>
        <v>0</v>
      </c>
      <c r="F20" s="23">
        <f>IF(D20='Output (Entree)'!$B$4,1,0)</f>
        <v>1</v>
      </c>
      <c r="G20" s="23">
        <f>IF(L20&lt;='Output (Entree)'!$C$4,(200-'Raw Data (Entree)'!L20),0)</f>
        <v>183.01</v>
      </c>
      <c r="H20" s="23">
        <v>4.5</v>
      </c>
      <c r="I20" s="24">
        <f>SUMPRODUCT(F20:H20,'Output (Entree)'!$B$5:$D$5)*E20</f>
        <v>0</v>
      </c>
      <c r="J20" s="25">
        <v>0</v>
      </c>
      <c r="K20" s="49">
        <f t="shared" si="0"/>
        <v>0</v>
      </c>
      <c r="L20" s="20">
        <v>16.989999999999998</v>
      </c>
      <c r="M20" s="6" t="s">
        <v>176</v>
      </c>
      <c r="N20" s="6" t="s">
        <v>136</v>
      </c>
      <c r="O20" s="6" t="s">
        <v>137</v>
      </c>
      <c r="P20" s="6" t="s">
        <v>138</v>
      </c>
      <c r="Q20" s="26" t="s">
        <v>34</v>
      </c>
      <c r="R20" s="6" t="s">
        <v>65</v>
      </c>
      <c r="S20" s="6" t="s">
        <v>55</v>
      </c>
      <c r="T20" s="6" t="s">
        <v>128</v>
      </c>
      <c r="U20" s="6">
        <f>VLOOKUP($C20,'Food Pairing Data'!$C$2:$S$188,5)</f>
        <v>0</v>
      </c>
      <c r="V20" s="6">
        <f>VLOOKUP($C20,'Food Pairing Data'!$C$2:$S$188,6)</f>
        <v>0</v>
      </c>
      <c r="W20" s="6">
        <f>VLOOKUP($C20,'Food Pairing Data'!$C$2:$S$188,7)</f>
        <v>0</v>
      </c>
      <c r="X20" s="6">
        <f>VLOOKUP($C20,'Food Pairing Data'!$C$2:$S$188,8)</f>
        <v>1</v>
      </c>
      <c r="Y20" s="6">
        <f>VLOOKUP($C20,'Food Pairing Data'!$C$2:$S$188,9)</f>
        <v>0</v>
      </c>
      <c r="Z20" s="6">
        <f>VLOOKUP($C20,'Food Pairing Data'!$C$2:$S$188,10)</f>
        <v>1</v>
      </c>
      <c r="AA20" s="6">
        <f>VLOOKUP($C20,'Food Pairing Data'!$C$2:$S$188,11)</f>
        <v>0</v>
      </c>
      <c r="AB20" s="6">
        <f>VLOOKUP($C20,'Food Pairing Data'!$C$2:$S$188,12)</f>
        <v>0</v>
      </c>
      <c r="AC20" s="6">
        <f>VLOOKUP($C20,'Food Pairing Data'!$C$2:$S$188,13)</f>
        <v>0</v>
      </c>
      <c r="AD20" s="6">
        <f>VLOOKUP($C20,'Food Pairing Data'!$C$2:$S$188,14)</f>
        <v>0</v>
      </c>
      <c r="AE20" s="6">
        <f>VLOOKUP($C20,'Food Pairing Data'!$C$2:$S$188,15)</f>
        <v>0</v>
      </c>
      <c r="AF20" s="6">
        <f>VLOOKUP($C20,'Food Pairing Data'!$C$2:$S$188,16)</f>
        <v>0</v>
      </c>
      <c r="AG20" s="6">
        <f>VLOOKUP($C20,'Food Pairing Data'!$C$2:$S$188,17)</f>
        <v>0</v>
      </c>
      <c r="AH20" s="6" t="s">
        <v>135</v>
      </c>
      <c r="AI20" s="6" t="s">
        <v>163</v>
      </c>
    </row>
    <row r="21" spans="1:35" ht="16.5" customHeight="1">
      <c r="A21" s="6">
        <f t="shared" si="1"/>
        <v>19</v>
      </c>
      <c r="B21" s="6" t="s">
        <v>23</v>
      </c>
      <c r="C21" s="6" t="s">
        <v>139</v>
      </c>
      <c r="D21" s="6" t="s">
        <v>163</v>
      </c>
      <c r="E21" s="22">
        <f>HLOOKUP('Output (Entree)'!$F$4,'Raw Data (Entree)'!$U$2:$BP$88,(A21+1),)</f>
        <v>0</v>
      </c>
      <c r="F21" s="23">
        <f>IF(D21='Output (Entree)'!$B$4,1,0)</f>
        <v>1</v>
      </c>
      <c r="G21" s="23">
        <f>IF(L21&lt;='Output (Entree)'!$C$4,(200-'Raw Data (Entree)'!L21),0)</f>
        <v>183.01</v>
      </c>
      <c r="H21" s="23">
        <v>4.5</v>
      </c>
      <c r="I21" s="24">
        <f>SUMPRODUCT(F21:H21,'Output (Entree)'!$B$5:$D$5)*E21</f>
        <v>0</v>
      </c>
      <c r="J21" s="25">
        <v>0</v>
      </c>
      <c r="K21" s="49">
        <f t="shared" si="0"/>
        <v>0</v>
      </c>
      <c r="L21" s="20">
        <v>16.989999999999998</v>
      </c>
      <c r="M21" s="6" t="s">
        <v>25</v>
      </c>
      <c r="N21" s="6" t="s">
        <v>140</v>
      </c>
      <c r="O21" s="6" t="s">
        <v>200</v>
      </c>
      <c r="P21" s="6" t="s">
        <v>201</v>
      </c>
      <c r="Q21" s="26" t="s">
        <v>28</v>
      </c>
      <c r="R21" s="6" t="s">
        <v>94</v>
      </c>
      <c r="S21" s="6" t="s">
        <v>147</v>
      </c>
      <c r="T21" s="6" t="s">
        <v>244</v>
      </c>
      <c r="U21" s="6">
        <f>VLOOKUP($C21,'Food Pairing Data'!$C$2:$S$188,5)</f>
        <v>0</v>
      </c>
      <c r="V21" s="6">
        <f>VLOOKUP($C21,'Food Pairing Data'!$C$2:$S$188,6)</f>
        <v>0</v>
      </c>
      <c r="W21" s="6">
        <f>VLOOKUP($C21,'Food Pairing Data'!$C$2:$S$188,7)</f>
        <v>0</v>
      </c>
      <c r="X21" s="6">
        <f>VLOOKUP($C21,'Food Pairing Data'!$C$2:$S$188,8)</f>
        <v>0</v>
      </c>
      <c r="Y21" s="6">
        <f>VLOOKUP($C21,'Food Pairing Data'!$C$2:$S$188,9)</f>
        <v>0</v>
      </c>
      <c r="Z21" s="6">
        <f>VLOOKUP($C21,'Food Pairing Data'!$C$2:$S$188,10)</f>
        <v>0</v>
      </c>
      <c r="AA21" s="6">
        <f>VLOOKUP($C21,'Food Pairing Data'!$C$2:$S$188,11)</f>
        <v>0</v>
      </c>
      <c r="AB21" s="6">
        <f>VLOOKUP($C21,'Food Pairing Data'!$C$2:$S$188,12)</f>
        <v>0</v>
      </c>
      <c r="AC21" s="6">
        <f>VLOOKUP($C21,'Food Pairing Data'!$C$2:$S$188,13)</f>
        <v>0</v>
      </c>
      <c r="AD21" s="6">
        <f>VLOOKUP($C21,'Food Pairing Data'!$C$2:$S$188,14)</f>
        <v>1</v>
      </c>
      <c r="AE21" s="6">
        <f>VLOOKUP($C21,'Food Pairing Data'!$C$2:$S$188,15)</f>
        <v>0</v>
      </c>
      <c r="AF21" s="6">
        <f>VLOOKUP($C21,'Food Pairing Data'!$C$2:$S$188,16)</f>
        <v>0</v>
      </c>
      <c r="AG21" s="6">
        <f>VLOOKUP($C21,'Food Pairing Data'!$C$2:$S$188,17)</f>
        <v>0</v>
      </c>
      <c r="AH21" s="6" t="s">
        <v>139</v>
      </c>
      <c r="AI21" s="6" t="s">
        <v>163</v>
      </c>
    </row>
    <row r="22" spans="1:35" ht="14">
      <c r="A22" s="6">
        <f t="shared" si="1"/>
        <v>20</v>
      </c>
      <c r="B22" s="6" t="s">
        <v>23</v>
      </c>
      <c r="C22" s="6" t="s">
        <v>202</v>
      </c>
      <c r="D22" s="6" t="s">
        <v>163</v>
      </c>
      <c r="E22" s="22">
        <f>HLOOKUP('Output (Entree)'!$F$4,'Raw Data (Entree)'!$U$2:$BP$88,(A22+1),)</f>
        <v>0</v>
      </c>
      <c r="F22" s="23">
        <f>IF(D22='Output (Entree)'!$B$4,1,0)</f>
        <v>1</v>
      </c>
      <c r="G22" s="23">
        <f>IF(L22&lt;='Output (Entree)'!$C$4,(200-'Raw Data (Entree)'!L22),0)</f>
        <v>183.01</v>
      </c>
      <c r="H22" s="23">
        <v>4.5</v>
      </c>
      <c r="I22" s="24">
        <f>SUMPRODUCT(F22:H22,'Output (Entree)'!$B$5:$D$5)*E22</f>
        <v>0</v>
      </c>
      <c r="J22" s="25">
        <v>0</v>
      </c>
      <c r="K22" s="49">
        <f t="shared" si="0"/>
        <v>0</v>
      </c>
      <c r="L22" s="20">
        <v>16.989999999999998</v>
      </c>
      <c r="M22" s="6" t="s">
        <v>241</v>
      </c>
      <c r="N22" s="6" t="s">
        <v>203</v>
      </c>
      <c r="O22" s="6" t="s">
        <v>32</v>
      </c>
      <c r="P22" s="6" t="s">
        <v>204</v>
      </c>
      <c r="Q22" s="26"/>
      <c r="R22" s="6" t="s">
        <v>71</v>
      </c>
      <c r="S22" s="6" t="s">
        <v>55</v>
      </c>
      <c r="T22" s="6" t="s">
        <v>82</v>
      </c>
      <c r="U22" s="6">
        <f>VLOOKUP($C22,'Food Pairing Data'!$C$2:$S$188,5)</f>
        <v>0</v>
      </c>
      <c r="V22" s="6">
        <f>VLOOKUP($C22,'Food Pairing Data'!$C$2:$S$188,6)</f>
        <v>0</v>
      </c>
      <c r="W22" s="6">
        <f>VLOOKUP($C22,'Food Pairing Data'!$C$2:$S$188,7)</f>
        <v>0</v>
      </c>
      <c r="X22" s="6">
        <f>VLOOKUP($C22,'Food Pairing Data'!$C$2:$S$188,8)</f>
        <v>0</v>
      </c>
      <c r="Y22" s="6">
        <f>VLOOKUP($C22,'Food Pairing Data'!$C$2:$S$188,9)</f>
        <v>0</v>
      </c>
      <c r="Z22" s="6">
        <f>VLOOKUP($C22,'Food Pairing Data'!$C$2:$S$188,10)</f>
        <v>0</v>
      </c>
      <c r="AA22" s="6">
        <f>VLOOKUP($C22,'Food Pairing Data'!$C$2:$S$188,11)</f>
        <v>0</v>
      </c>
      <c r="AB22" s="6">
        <f>VLOOKUP($C22,'Food Pairing Data'!$C$2:$S$188,12)</f>
        <v>0</v>
      </c>
      <c r="AC22" s="6">
        <f>VLOOKUP($C22,'Food Pairing Data'!$C$2:$S$188,13)</f>
        <v>0</v>
      </c>
      <c r="AD22" s="6">
        <f>VLOOKUP($C22,'Food Pairing Data'!$C$2:$S$188,14)</f>
        <v>1</v>
      </c>
      <c r="AE22" s="6">
        <f>VLOOKUP($C22,'Food Pairing Data'!$C$2:$S$188,15)</f>
        <v>0</v>
      </c>
      <c r="AF22" s="6">
        <f>VLOOKUP($C22,'Food Pairing Data'!$C$2:$S$188,16)</f>
        <v>0</v>
      </c>
      <c r="AG22" s="6">
        <f>VLOOKUP($C22,'Food Pairing Data'!$C$2:$S$188,17)</f>
        <v>0</v>
      </c>
      <c r="AH22" s="6" t="s">
        <v>202</v>
      </c>
      <c r="AI22" s="6" t="s">
        <v>163</v>
      </c>
    </row>
    <row r="23" spans="1:35" ht="14">
      <c r="A23" s="6">
        <f t="shared" si="1"/>
        <v>21</v>
      </c>
      <c r="B23" s="6" t="s">
        <v>245</v>
      </c>
      <c r="C23" s="6" t="s">
        <v>214</v>
      </c>
      <c r="D23" s="6" t="s">
        <v>163</v>
      </c>
      <c r="E23" s="22">
        <f>HLOOKUP('Output (Entree)'!$F$4,'Raw Data (Entree)'!$U$2:$BP$88,(A23+1),)</f>
        <v>0</v>
      </c>
      <c r="F23" s="23">
        <f>IF(D23='Output (Entree)'!$B$4,1,0)</f>
        <v>1</v>
      </c>
      <c r="G23" s="23">
        <f>IF(L23&lt;='Output (Entree)'!$C$4,(200-'Raw Data (Entree)'!L23),0)</f>
        <v>190.01</v>
      </c>
      <c r="H23" s="23">
        <v>4.5</v>
      </c>
      <c r="I23" s="24">
        <f>SUMPRODUCT(F23:H23,'Output (Entree)'!$B$5:$D$5)*E23</f>
        <v>0</v>
      </c>
      <c r="J23" s="25">
        <v>0</v>
      </c>
      <c r="K23" s="49">
        <f t="shared" si="0"/>
        <v>0</v>
      </c>
      <c r="L23" s="20">
        <v>9.99</v>
      </c>
      <c r="M23" s="6" t="s">
        <v>241</v>
      </c>
      <c r="N23" s="6" t="s">
        <v>242</v>
      </c>
      <c r="O23" s="6" t="s">
        <v>211</v>
      </c>
      <c r="P23" s="6" t="s">
        <v>215</v>
      </c>
      <c r="Q23" s="26" t="s">
        <v>28</v>
      </c>
      <c r="R23" s="6" t="s">
        <v>65</v>
      </c>
      <c r="S23" s="6" t="s">
        <v>64</v>
      </c>
      <c r="T23" s="6" t="s">
        <v>244</v>
      </c>
      <c r="U23" s="6">
        <f>VLOOKUP($C23,'Food Pairing Data'!$C$2:$S$188,5)</f>
        <v>0</v>
      </c>
      <c r="V23" s="6">
        <f>VLOOKUP($C23,'Food Pairing Data'!$C$2:$S$188,6)</f>
        <v>0</v>
      </c>
      <c r="W23" s="6">
        <f>VLOOKUP($C23,'Food Pairing Data'!$C$2:$S$188,7)</f>
        <v>0</v>
      </c>
      <c r="X23" s="6">
        <f>VLOOKUP($C23,'Food Pairing Data'!$C$2:$S$188,8)</f>
        <v>0</v>
      </c>
      <c r="Y23" s="6">
        <f>VLOOKUP($C23,'Food Pairing Data'!$C$2:$S$188,9)</f>
        <v>0</v>
      </c>
      <c r="Z23" s="6">
        <f>VLOOKUP($C23,'Food Pairing Data'!$C$2:$S$188,10)</f>
        <v>0</v>
      </c>
      <c r="AA23" s="6">
        <f>VLOOKUP($C23,'Food Pairing Data'!$C$2:$S$188,11)</f>
        <v>0</v>
      </c>
      <c r="AB23" s="6">
        <f>VLOOKUP($C23,'Food Pairing Data'!$C$2:$S$188,12)</f>
        <v>0</v>
      </c>
      <c r="AC23" s="6">
        <f>VLOOKUP($C23,'Food Pairing Data'!$C$2:$S$188,13)</f>
        <v>0</v>
      </c>
      <c r="AD23" s="6">
        <f>VLOOKUP($C23,'Food Pairing Data'!$C$2:$S$188,14)</f>
        <v>1</v>
      </c>
      <c r="AE23" s="6">
        <f>VLOOKUP($C23,'Food Pairing Data'!$C$2:$S$188,15)</f>
        <v>0</v>
      </c>
      <c r="AF23" s="6">
        <f>VLOOKUP($C23,'Food Pairing Data'!$C$2:$S$188,16)</f>
        <v>0</v>
      </c>
      <c r="AG23" s="6">
        <f>VLOOKUP($C23,'Food Pairing Data'!$C$2:$S$188,17)</f>
        <v>0</v>
      </c>
      <c r="AH23" s="6" t="s">
        <v>214</v>
      </c>
      <c r="AI23" s="6" t="s">
        <v>163</v>
      </c>
    </row>
    <row r="24" spans="1:35" ht="14">
      <c r="A24" s="6">
        <f t="shared" si="1"/>
        <v>22</v>
      </c>
      <c r="B24" s="6" t="s">
        <v>245</v>
      </c>
      <c r="C24" s="6" t="s">
        <v>216</v>
      </c>
      <c r="D24" s="6" t="s">
        <v>163</v>
      </c>
      <c r="E24" s="22">
        <f>HLOOKUP('Output (Entree)'!$F$4,'Raw Data (Entree)'!$U$2:$BP$88,(A24+1),)</f>
        <v>0</v>
      </c>
      <c r="F24" s="23">
        <f>IF(D24='Output (Entree)'!$B$4,1,0)</f>
        <v>1</v>
      </c>
      <c r="G24" s="23">
        <f>IF(L24&lt;='Output (Entree)'!$C$4,(200-'Raw Data (Entree)'!L24),0)</f>
        <v>191.01</v>
      </c>
      <c r="H24" s="23">
        <v>4.5</v>
      </c>
      <c r="I24" s="24">
        <f>SUMPRODUCT(F24:H24,'Output (Entree)'!$B$5:$D$5)*E24</f>
        <v>0</v>
      </c>
      <c r="J24" s="25">
        <v>0</v>
      </c>
      <c r="K24" s="49">
        <f t="shared" si="0"/>
        <v>0</v>
      </c>
      <c r="L24" s="20">
        <v>8.99</v>
      </c>
      <c r="M24" s="6" t="s">
        <v>18</v>
      </c>
      <c r="N24" s="6" t="s">
        <v>19</v>
      </c>
      <c r="O24" s="6" t="s">
        <v>211</v>
      </c>
      <c r="P24" s="6" t="s">
        <v>21</v>
      </c>
      <c r="Q24" s="26" t="s">
        <v>34</v>
      </c>
      <c r="R24" s="6" t="s">
        <v>206</v>
      </c>
      <c r="S24" s="6" t="s">
        <v>147</v>
      </c>
      <c r="T24" s="6" t="s">
        <v>103</v>
      </c>
      <c r="U24" s="6">
        <f>VLOOKUP($C24,'Food Pairing Data'!$C$2:$S$188,5)</f>
        <v>0</v>
      </c>
      <c r="V24" s="6">
        <f>VLOOKUP($C24,'Food Pairing Data'!$C$2:$S$188,6)</f>
        <v>0</v>
      </c>
      <c r="W24" s="6">
        <f>VLOOKUP($C24,'Food Pairing Data'!$C$2:$S$188,7)</f>
        <v>0</v>
      </c>
      <c r="X24" s="6">
        <f>VLOOKUP($C24,'Food Pairing Data'!$C$2:$S$188,8)</f>
        <v>0</v>
      </c>
      <c r="Y24" s="6">
        <f>VLOOKUP($C24,'Food Pairing Data'!$C$2:$S$188,9)</f>
        <v>0</v>
      </c>
      <c r="Z24" s="6">
        <f>VLOOKUP($C24,'Food Pairing Data'!$C$2:$S$188,10)</f>
        <v>0</v>
      </c>
      <c r="AA24" s="6">
        <f>VLOOKUP($C24,'Food Pairing Data'!$C$2:$S$188,11)</f>
        <v>0</v>
      </c>
      <c r="AB24" s="6">
        <f>VLOOKUP($C24,'Food Pairing Data'!$C$2:$S$188,12)</f>
        <v>0</v>
      </c>
      <c r="AC24" s="6">
        <f>VLOOKUP($C24,'Food Pairing Data'!$C$2:$S$188,13)</f>
        <v>0</v>
      </c>
      <c r="AD24" s="6">
        <f>VLOOKUP($C24,'Food Pairing Data'!$C$2:$S$188,14)</f>
        <v>1</v>
      </c>
      <c r="AE24" s="6">
        <f>VLOOKUP($C24,'Food Pairing Data'!$C$2:$S$188,15)</f>
        <v>0</v>
      </c>
      <c r="AF24" s="6">
        <f>VLOOKUP($C24,'Food Pairing Data'!$C$2:$S$188,16)</f>
        <v>0</v>
      </c>
      <c r="AG24" s="6">
        <f>VLOOKUP($C24,'Food Pairing Data'!$C$2:$S$188,17)</f>
        <v>0</v>
      </c>
      <c r="AH24" s="6" t="s">
        <v>216</v>
      </c>
      <c r="AI24" s="6" t="s">
        <v>163</v>
      </c>
    </row>
    <row r="25" spans="1:35" ht="14">
      <c r="A25" s="6">
        <f t="shared" si="1"/>
        <v>23</v>
      </c>
      <c r="B25" s="6" t="s">
        <v>181</v>
      </c>
      <c r="C25" s="6" t="s">
        <v>217</v>
      </c>
      <c r="D25" s="6" t="s">
        <v>163</v>
      </c>
      <c r="E25" s="22">
        <f>HLOOKUP('Output (Entree)'!$F$4,'Raw Data (Entree)'!$U$2:$BP$88,(A25+1),)</f>
        <v>0</v>
      </c>
      <c r="F25" s="23">
        <f>IF(D25='Output (Entree)'!$B$4,1,0)</f>
        <v>1</v>
      </c>
      <c r="G25" s="23">
        <f>IF(L25&lt;='Output (Entree)'!$C$4,(200-'Raw Data (Entree)'!L25),0)</f>
        <v>160.01</v>
      </c>
      <c r="H25" s="23">
        <v>4</v>
      </c>
      <c r="I25" s="24">
        <f>SUMPRODUCT(F25:H25,'Output (Entree)'!$B$5:$D$5)*E25</f>
        <v>0</v>
      </c>
      <c r="J25" s="25">
        <v>0</v>
      </c>
      <c r="K25" s="49">
        <f t="shared" si="0"/>
        <v>0</v>
      </c>
      <c r="L25" s="20">
        <v>39.99</v>
      </c>
      <c r="M25" s="6" t="s">
        <v>111</v>
      </c>
      <c r="N25" s="6" t="s">
        <v>112</v>
      </c>
      <c r="O25" s="6" t="s">
        <v>218</v>
      </c>
      <c r="P25" s="6" t="s">
        <v>114</v>
      </c>
      <c r="Q25" s="26" t="s">
        <v>180</v>
      </c>
      <c r="R25" s="6" t="s">
        <v>64</v>
      </c>
      <c r="S25" s="6" t="s">
        <v>67</v>
      </c>
      <c r="T25" s="6" t="s">
        <v>58</v>
      </c>
      <c r="U25" s="6">
        <f>VLOOKUP($C25,'Food Pairing Data'!$C$2:$S$188,5)</f>
        <v>0</v>
      </c>
      <c r="V25" s="6">
        <f>VLOOKUP($C25,'Food Pairing Data'!$C$2:$S$188,6)</f>
        <v>0</v>
      </c>
      <c r="W25" s="6">
        <f>VLOOKUP($C25,'Food Pairing Data'!$C$2:$S$188,7)</f>
        <v>0</v>
      </c>
      <c r="X25" s="6">
        <f>VLOOKUP($C25,'Food Pairing Data'!$C$2:$S$188,8)</f>
        <v>0</v>
      </c>
      <c r="Y25" s="6">
        <f>VLOOKUP($C25,'Food Pairing Data'!$C$2:$S$188,9)</f>
        <v>0</v>
      </c>
      <c r="Z25" s="6">
        <f>VLOOKUP($C25,'Food Pairing Data'!$C$2:$S$188,10)</f>
        <v>0</v>
      </c>
      <c r="AA25" s="6">
        <f>VLOOKUP($C25,'Food Pairing Data'!$C$2:$S$188,11)</f>
        <v>0</v>
      </c>
      <c r="AB25" s="6">
        <f>VLOOKUP($C25,'Food Pairing Data'!$C$2:$S$188,12)</f>
        <v>0</v>
      </c>
      <c r="AC25" s="6">
        <f>VLOOKUP($C25,'Food Pairing Data'!$C$2:$S$188,13)</f>
        <v>0</v>
      </c>
      <c r="AD25" s="6">
        <f>VLOOKUP($C25,'Food Pairing Data'!$C$2:$S$188,14)</f>
        <v>1</v>
      </c>
      <c r="AE25" s="6">
        <f>VLOOKUP($C25,'Food Pairing Data'!$C$2:$S$188,15)</f>
        <v>0</v>
      </c>
      <c r="AF25" s="6">
        <f>VLOOKUP($C25,'Food Pairing Data'!$C$2:$S$188,16)</f>
        <v>0</v>
      </c>
      <c r="AG25" s="6">
        <f>VLOOKUP($C25,'Food Pairing Data'!$C$2:$S$188,17)</f>
        <v>0</v>
      </c>
      <c r="AH25" s="6" t="s">
        <v>217</v>
      </c>
      <c r="AI25" s="6" t="s">
        <v>163</v>
      </c>
    </row>
    <row r="26" spans="1:35" ht="14">
      <c r="A26" s="6">
        <f t="shared" si="1"/>
        <v>24</v>
      </c>
      <c r="B26" s="6" t="s">
        <v>181</v>
      </c>
      <c r="C26" s="6" t="s">
        <v>226</v>
      </c>
      <c r="D26" s="6" t="s">
        <v>163</v>
      </c>
      <c r="E26" s="22">
        <f>HLOOKUP('Output (Entree)'!$F$4,'Raw Data (Entree)'!$U$2:$BP$88,(A26+1),)</f>
        <v>0</v>
      </c>
      <c r="F26" s="23">
        <f>IF(D26='Output (Entree)'!$B$4,1,0)</f>
        <v>1</v>
      </c>
      <c r="G26" s="23">
        <f>IF(L26&lt;='Output (Entree)'!$C$4,(200-'Raw Data (Entree)'!L26),0)</f>
        <v>175.01</v>
      </c>
      <c r="H26" s="23">
        <v>4</v>
      </c>
      <c r="I26" s="24">
        <f>SUMPRODUCT(F26:H26,'Output (Entree)'!$B$5:$D$5)*E26</f>
        <v>0</v>
      </c>
      <c r="J26" s="25">
        <v>0</v>
      </c>
      <c r="K26" s="49">
        <f t="shared" si="0"/>
        <v>0</v>
      </c>
      <c r="L26" s="20">
        <v>24.99</v>
      </c>
      <c r="M26" s="6" t="s">
        <v>170</v>
      </c>
      <c r="N26" s="6" t="s">
        <v>227</v>
      </c>
      <c r="O26" s="6" t="s">
        <v>172</v>
      </c>
      <c r="P26" s="6" t="s">
        <v>186</v>
      </c>
      <c r="Q26" s="26" t="s">
        <v>28</v>
      </c>
      <c r="R26" s="6" t="s">
        <v>64</v>
      </c>
      <c r="S26" s="6" t="s">
        <v>72</v>
      </c>
      <c r="T26" s="6" t="s">
        <v>239</v>
      </c>
      <c r="U26" s="6">
        <f>VLOOKUP($C26,'Food Pairing Data'!$C$2:$S$188,5)</f>
        <v>0</v>
      </c>
      <c r="V26" s="6">
        <f>VLOOKUP($C26,'Food Pairing Data'!$C$2:$S$188,6)</f>
        <v>0</v>
      </c>
      <c r="W26" s="6">
        <f>VLOOKUP($C26,'Food Pairing Data'!$C$2:$S$188,7)</f>
        <v>0</v>
      </c>
      <c r="X26" s="6">
        <f>VLOOKUP($C26,'Food Pairing Data'!$C$2:$S$188,8)</f>
        <v>0</v>
      </c>
      <c r="Y26" s="6">
        <f>VLOOKUP($C26,'Food Pairing Data'!$C$2:$S$188,9)</f>
        <v>0</v>
      </c>
      <c r="Z26" s="6">
        <f>VLOOKUP($C26,'Food Pairing Data'!$C$2:$S$188,10)</f>
        <v>0</v>
      </c>
      <c r="AA26" s="6">
        <f>VLOOKUP($C26,'Food Pairing Data'!$C$2:$S$188,11)</f>
        <v>0</v>
      </c>
      <c r="AB26" s="6">
        <f>VLOOKUP($C26,'Food Pairing Data'!$C$2:$S$188,12)</f>
        <v>0</v>
      </c>
      <c r="AC26" s="6">
        <f>VLOOKUP($C26,'Food Pairing Data'!$C$2:$S$188,13)</f>
        <v>0</v>
      </c>
      <c r="AD26" s="6">
        <f>VLOOKUP($C26,'Food Pairing Data'!$C$2:$S$188,14)</f>
        <v>1</v>
      </c>
      <c r="AE26" s="6">
        <f>VLOOKUP($C26,'Food Pairing Data'!$C$2:$S$188,15)</f>
        <v>0</v>
      </c>
      <c r="AF26" s="6">
        <f>VLOOKUP($C26,'Food Pairing Data'!$C$2:$S$188,16)</f>
        <v>0</v>
      </c>
      <c r="AG26" s="6">
        <f>VLOOKUP($C26,'Food Pairing Data'!$C$2:$S$188,17)</f>
        <v>0</v>
      </c>
      <c r="AH26" s="6" t="s">
        <v>226</v>
      </c>
      <c r="AI26" s="6" t="s">
        <v>163</v>
      </c>
    </row>
    <row r="27" spans="1:35" ht="14">
      <c r="A27" s="6">
        <f t="shared" si="1"/>
        <v>25</v>
      </c>
      <c r="B27" s="6" t="s">
        <v>23</v>
      </c>
      <c r="C27" s="6" t="s">
        <v>189</v>
      </c>
      <c r="D27" s="6" t="s">
        <v>163</v>
      </c>
      <c r="E27" s="22">
        <f>HLOOKUP('Output (Entree)'!$F$4,'Raw Data (Entree)'!$U$2:$BP$88,(A27+1),)</f>
        <v>0</v>
      </c>
      <c r="F27" s="23">
        <f>IF(D27='Output (Entree)'!$B$4,1,0)</f>
        <v>1</v>
      </c>
      <c r="G27" s="23">
        <f>IF(L27&lt;='Output (Entree)'!$C$4,(200-'Raw Data (Entree)'!L27),0)</f>
        <v>185.01</v>
      </c>
      <c r="H27" s="23">
        <v>4</v>
      </c>
      <c r="I27" s="24">
        <f>SUMPRODUCT(F27:H27,'Output (Entree)'!$B$5:$D$5)*E27</f>
        <v>0</v>
      </c>
      <c r="J27" s="25">
        <v>0</v>
      </c>
      <c r="K27" s="49">
        <f t="shared" si="0"/>
        <v>0</v>
      </c>
      <c r="L27" s="20">
        <v>14.99</v>
      </c>
      <c r="M27" s="6" t="s">
        <v>339</v>
      </c>
      <c r="N27" s="6" t="s">
        <v>315</v>
      </c>
      <c r="O27" s="6" t="s">
        <v>316</v>
      </c>
      <c r="P27" s="6" t="s">
        <v>317</v>
      </c>
      <c r="Q27" s="26">
        <v>13.5</v>
      </c>
      <c r="R27" s="6" t="s">
        <v>318</v>
      </c>
      <c r="S27" s="6" t="s">
        <v>340</v>
      </c>
      <c r="T27" s="6" t="s">
        <v>190</v>
      </c>
      <c r="U27" s="6">
        <f>VLOOKUP($C27,'Food Pairing Data'!$C$2:$S$188,5)</f>
        <v>0</v>
      </c>
      <c r="V27" s="6">
        <f>VLOOKUP($C27,'Food Pairing Data'!$C$2:$S$188,6)</f>
        <v>0</v>
      </c>
      <c r="W27" s="6">
        <f>VLOOKUP($C27,'Food Pairing Data'!$C$2:$S$188,7)</f>
        <v>0</v>
      </c>
      <c r="X27" s="6">
        <f>VLOOKUP($C27,'Food Pairing Data'!$C$2:$S$188,8)</f>
        <v>0</v>
      </c>
      <c r="Y27" s="6">
        <f>VLOOKUP($C27,'Food Pairing Data'!$C$2:$S$188,9)</f>
        <v>0</v>
      </c>
      <c r="Z27" s="6">
        <f>VLOOKUP($C27,'Food Pairing Data'!$C$2:$S$188,10)</f>
        <v>0</v>
      </c>
      <c r="AA27" s="6">
        <f>VLOOKUP($C27,'Food Pairing Data'!$C$2:$S$188,11)</f>
        <v>0</v>
      </c>
      <c r="AB27" s="6">
        <f>VLOOKUP($C27,'Food Pairing Data'!$C$2:$S$188,12)</f>
        <v>0</v>
      </c>
      <c r="AC27" s="6">
        <f>VLOOKUP($C27,'Food Pairing Data'!$C$2:$S$188,13)</f>
        <v>0</v>
      </c>
      <c r="AD27" s="6">
        <f>VLOOKUP($C27,'Food Pairing Data'!$C$2:$S$188,14)</f>
        <v>1</v>
      </c>
      <c r="AE27" s="6">
        <f>VLOOKUP($C27,'Food Pairing Data'!$C$2:$S$188,15)</f>
        <v>0</v>
      </c>
      <c r="AF27" s="6">
        <f>VLOOKUP($C27,'Food Pairing Data'!$C$2:$S$188,16)</f>
        <v>0</v>
      </c>
      <c r="AG27" s="6">
        <f>VLOOKUP($C27,'Food Pairing Data'!$C$2:$S$188,17)</f>
        <v>0</v>
      </c>
      <c r="AH27" s="6" t="s">
        <v>189</v>
      </c>
      <c r="AI27" s="6" t="s">
        <v>163</v>
      </c>
    </row>
    <row r="28" spans="1:35" ht="14">
      <c r="A28" s="6">
        <f t="shared" si="1"/>
        <v>26</v>
      </c>
      <c r="B28" s="6" t="s">
        <v>23</v>
      </c>
      <c r="C28" s="6" t="s">
        <v>191</v>
      </c>
      <c r="D28" s="6" t="s">
        <v>163</v>
      </c>
      <c r="E28" s="22">
        <f>HLOOKUP('Output (Entree)'!$F$4,'Raw Data (Entree)'!$U$2:$BP$88,(A28+1),)</f>
        <v>0</v>
      </c>
      <c r="F28" s="23">
        <f>IF(D28='Output (Entree)'!$B$4,1,0)</f>
        <v>1</v>
      </c>
      <c r="G28" s="23">
        <f>IF(L28&lt;='Output (Entree)'!$C$4,(200-'Raw Data (Entree)'!L28),0)</f>
        <v>185.01</v>
      </c>
      <c r="H28" s="23">
        <v>4</v>
      </c>
      <c r="I28" s="24">
        <f>SUMPRODUCT(F28:H28,'Output (Entree)'!$B$5:$D$5)*E28</f>
        <v>0</v>
      </c>
      <c r="J28" s="25">
        <v>0</v>
      </c>
      <c r="K28" s="49">
        <f t="shared" si="0"/>
        <v>0</v>
      </c>
      <c r="L28" s="20">
        <v>14.99</v>
      </c>
      <c r="M28" s="6" t="s">
        <v>339</v>
      </c>
      <c r="N28" s="6" t="s">
        <v>322</v>
      </c>
      <c r="O28" s="6" t="s">
        <v>386</v>
      </c>
      <c r="P28" s="6" t="s">
        <v>317</v>
      </c>
      <c r="Q28" s="26">
        <v>13.5</v>
      </c>
      <c r="R28" s="6" t="s">
        <v>192</v>
      </c>
      <c r="S28" s="6" t="s">
        <v>193</v>
      </c>
      <c r="T28" s="6" t="s">
        <v>190</v>
      </c>
      <c r="U28" s="6">
        <f>VLOOKUP($C28,'Food Pairing Data'!$C$2:$S$188,5)</f>
        <v>0</v>
      </c>
      <c r="V28" s="6">
        <f>VLOOKUP($C28,'Food Pairing Data'!$C$2:$S$188,6)</f>
        <v>0</v>
      </c>
      <c r="W28" s="6">
        <f>VLOOKUP($C28,'Food Pairing Data'!$C$2:$S$188,7)</f>
        <v>0</v>
      </c>
      <c r="X28" s="6">
        <f>VLOOKUP($C28,'Food Pairing Data'!$C$2:$S$188,8)</f>
        <v>0</v>
      </c>
      <c r="Y28" s="6">
        <f>VLOOKUP($C28,'Food Pairing Data'!$C$2:$S$188,9)</f>
        <v>0</v>
      </c>
      <c r="Z28" s="6">
        <f>VLOOKUP($C28,'Food Pairing Data'!$C$2:$S$188,10)</f>
        <v>0</v>
      </c>
      <c r="AA28" s="6">
        <f>VLOOKUP($C28,'Food Pairing Data'!$C$2:$S$188,11)</f>
        <v>0</v>
      </c>
      <c r="AB28" s="6">
        <f>VLOOKUP($C28,'Food Pairing Data'!$C$2:$S$188,12)</f>
        <v>0</v>
      </c>
      <c r="AC28" s="6">
        <f>VLOOKUP($C28,'Food Pairing Data'!$C$2:$S$188,13)</f>
        <v>0</v>
      </c>
      <c r="AD28" s="6">
        <f>VLOOKUP($C28,'Food Pairing Data'!$C$2:$S$188,14)</f>
        <v>1</v>
      </c>
      <c r="AE28" s="6">
        <f>VLOOKUP($C28,'Food Pairing Data'!$C$2:$S$188,15)</f>
        <v>0</v>
      </c>
      <c r="AF28" s="6">
        <f>VLOOKUP($C28,'Food Pairing Data'!$C$2:$S$188,16)</f>
        <v>0</v>
      </c>
      <c r="AG28" s="6">
        <f>VLOOKUP($C28,'Food Pairing Data'!$C$2:$S$188,17)</f>
        <v>0</v>
      </c>
      <c r="AH28" s="6" t="s">
        <v>191</v>
      </c>
      <c r="AI28" s="6" t="s">
        <v>163</v>
      </c>
    </row>
    <row r="29" spans="1:35" ht="14">
      <c r="A29" s="6">
        <f t="shared" si="1"/>
        <v>27</v>
      </c>
      <c r="B29" s="6" t="s">
        <v>23</v>
      </c>
      <c r="C29" s="6" t="s">
        <v>196</v>
      </c>
      <c r="D29" s="6" t="s">
        <v>163</v>
      </c>
      <c r="E29" s="22">
        <f>HLOOKUP('Output (Entree)'!$F$4,'Raw Data (Entree)'!$U$2:$BP$88,(A29+1),)</f>
        <v>0</v>
      </c>
      <c r="F29" s="23">
        <f>IF(D29='Output (Entree)'!$B$4,1,0)</f>
        <v>1</v>
      </c>
      <c r="G29" s="23">
        <f>IF(L29&lt;='Output (Entree)'!$C$4,(200-'Raw Data (Entree)'!L29),0)</f>
        <v>186.01</v>
      </c>
      <c r="H29" s="23">
        <v>4</v>
      </c>
      <c r="I29" s="24">
        <f>SUMPRODUCT(F29:H29,'Output (Entree)'!$B$5:$D$5)*E29</f>
        <v>0</v>
      </c>
      <c r="J29" s="25">
        <v>0</v>
      </c>
      <c r="K29" s="49">
        <f t="shared" si="0"/>
        <v>0</v>
      </c>
      <c r="L29" s="20">
        <v>13.99</v>
      </c>
      <c r="M29" s="6" t="s">
        <v>197</v>
      </c>
      <c r="N29" s="6" t="s">
        <v>198</v>
      </c>
      <c r="O29" s="6" t="s">
        <v>393</v>
      </c>
      <c r="P29" s="6" t="s">
        <v>394</v>
      </c>
      <c r="Q29" s="26">
        <v>14.5</v>
      </c>
      <c r="R29" s="6" t="s">
        <v>199</v>
      </c>
      <c r="S29" s="6" t="s">
        <v>396</v>
      </c>
      <c r="T29" s="6" t="s">
        <v>397</v>
      </c>
      <c r="U29" s="6">
        <f>VLOOKUP($C29,'Food Pairing Data'!$C$2:$S$188,5)</f>
        <v>0</v>
      </c>
      <c r="V29" s="6">
        <f>VLOOKUP($C29,'Food Pairing Data'!$C$2:$S$188,6)</f>
        <v>0</v>
      </c>
      <c r="W29" s="6">
        <f>VLOOKUP($C29,'Food Pairing Data'!$C$2:$S$188,7)</f>
        <v>0</v>
      </c>
      <c r="X29" s="6">
        <f>VLOOKUP($C29,'Food Pairing Data'!$C$2:$S$188,8)</f>
        <v>0</v>
      </c>
      <c r="Y29" s="6">
        <f>VLOOKUP($C29,'Food Pairing Data'!$C$2:$S$188,9)</f>
        <v>0</v>
      </c>
      <c r="Z29" s="6">
        <f>VLOOKUP($C29,'Food Pairing Data'!$C$2:$S$188,10)</f>
        <v>0</v>
      </c>
      <c r="AA29" s="6">
        <f>VLOOKUP($C29,'Food Pairing Data'!$C$2:$S$188,11)</f>
        <v>0</v>
      </c>
      <c r="AB29" s="6">
        <f>VLOOKUP($C29,'Food Pairing Data'!$C$2:$S$188,12)</f>
        <v>0</v>
      </c>
      <c r="AC29" s="6">
        <f>VLOOKUP($C29,'Food Pairing Data'!$C$2:$S$188,13)</f>
        <v>0</v>
      </c>
      <c r="AD29" s="6">
        <f>VLOOKUP($C29,'Food Pairing Data'!$C$2:$S$188,14)</f>
        <v>1</v>
      </c>
      <c r="AE29" s="6">
        <f>VLOOKUP($C29,'Food Pairing Data'!$C$2:$S$188,15)</f>
        <v>0</v>
      </c>
      <c r="AF29" s="6">
        <f>VLOOKUP($C29,'Food Pairing Data'!$C$2:$S$188,16)</f>
        <v>0</v>
      </c>
      <c r="AG29" s="6">
        <f>VLOOKUP($C29,'Food Pairing Data'!$C$2:$S$188,17)</f>
        <v>0</v>
      </c>
      <c r="AH29" s="6" t="s">
        <v>196</v>
      </c>
      <c r="AI29" s="6" t="s">
        <v>163</v>
      </c>
    </row>
    <row r="30" spans="1:35" ht="14">
      <c r="A30" s="6">
        <f t="shared" si="1"/>
        <v>28</v>
      </c>
      <c r="B30" s="6" t="s">
        <v>23</v>
      </c>
      <c r="C30" s="6" t="s">
        <v>288</v>
      </c>
      <c r="D30" s="6" t="s">
        <v>163</v>
      </c>
      <c r="E30" s="22">
        <f>HLOOKUP('Output (Entree)'!$F$4,'Raw Data (Entree)'!$U$2:$BP$88,(A30+1),)</f>
        <v>0</v>
      </c>
      <c r="F30" s="23">
        <f>IF(D30='Output (Entree)'!$B$4,1,0)</f>
        <v>1</v>
      </c>
      <c r="G30" s="23">
        <f>IF(L30&lt;='Output (Entree)'!$C$4,(200-'Raw Data (Entree)'!L30),0)</f>
        <v>187.01</v>
      </c>
      <c r="H30" s="23">
        <v>4</v>
      </c>
      <c r="I30" s="24">
        <f>SUMPRODUCT(F30:H30,'Output (Entree)'!$B$5:$D$5)*E30</f>
        <v>0</v>
      </c>
      <c r="J30" s="25">
        <v>0</v>
      </c>
      <c r="K30" s="49">
        <f t="shared" si="0"/>
        <v>0</v>
      </c>
      <c r="L30" s="20">
        <v>12.99</v>
      </c>
      <c r="M30" s="6" t="s">
        <v>256</v>
      </c>
      <c r="N30" s="6" t="s">
        <v>399</v>
      </c>
      <c r="O30" s="6" t="s">
        <v>400</v>
      </c>
      <c r="P30" s="6" t="s">
        <v>401</v>
      </c>
      <c r="Q30" s="26">
        <v>13</v>
      </c>
      <c r="R30" s="6" t="s">
        <v>199</v>
      </c>
      <c r="S30" s="6" t="s">
        <v>195</v>
      </c>
      <c r="T30" s="6" t="s">
        <v>190</v>
      </c>
      <c r="U30" s="6">
        <f>VLOOKUP($C30,'Food Pairing Data'!$C$2:$S$188,5)</f>
        <v>0</v>
      </c>
      <c r="V30" s="6">
        <f>VLOOKUP($C30,'Food Pairing Data'!$C$2:$S$188,6)</f>
        <v>0</v>
      </c>
      <c r="W30" s="6">
        <f>VLOOKUP($C30,'Food Pairing Data'!$C$2:$S$188,7)</f>
        <v>0</v>
      </c>
      <c r="X30" s="6">
        <f>VLOOKUP($C30,'Food Pairing Data'!$C$2:$S$188,8)</f>
        <v>1</v>
      </c>
      <c r="Y30" s="6">
        <f>VLOOKUP($C30,'Food Pairing Data'!$C$2:$S$188,9)</f>
        <v>0</v>
      </c>
      <c r="Z30" s="6">
        <f>VLOOKUP($C30,'Food Pairing Data'!$C$2:$S$188,10)</f>
        <v>1</v>
      </c>
      <c r="AA30" s="6">
        <f>VLOOKUP($C30,'Food Pairing Data'!$C$2:$S$188,11)</f>
        <v>0</v>
      </c>
      <c r="AB30" s="6">
        <f>VLOOKUP($C30,'Food Pairing Data'!$C$2:$S$188,12)</f>
        <v>0</v>
      </c>
      <c r="AC30" s="6">
        <f>VLOOKUP($C30,'Food Pairing Data'!$C$2:$S$188,13)</f>
        <v>0</v>
      </c>
      <c r="AD30" s="6">
        <f>VLOOKUP($C30,'Food Pairing Data'!$C$2:$S$188,14)</f>
        <v>0</v>
      </c>
      <c r="AE30" s="6">
        <f>VLOOKUP($C30,'Food Pairing Data'!$C$2:$S$188,15)</f>
        <v>0</v>
      </c>
      <c r="AF30" s="6">
        <f>VLOOKUP($C30,'Food Pairing Data'!$C$2:$S$188,16)</f>
        <v>0</v>
      </c>
      <c r="AG30" s="6">
        <f>VLOOKUP($C30,'Food Pairing Data'!$C$2:$S$188,17)</f>
        <v>0</v>
      </c>
      <c r="AH30" s="6" t="s">
        <v>288</v>
      </c>
      <c r="AI30" s="6" t="s">
        <v>163</v>
      </c>
    </row>
    <row r="31" spans="1:35" ht="14">
      <c r="A31" s="6">
        <f t="shared" si="1"/>
        <v>29</v>
      </c>
      <c r="B31" s="6" t="s">
        <v>23</v>
      </c>
      <c r="C31" s="6" t="s">
        <v>289</v>
      </c>
      <c r="D31" s="6" t="s">
        <v>163</v>
      </c>
      <c r="E31" s="22">
        <f>HLOOKUP('Output (Entree)'!$F$4,'Raw Data (Entree)'!$U$2:$BP$88,(A31+1),)</f>
        <v>0</v>
      </c>
      <c r="F31" s="23">
        <f>IF(D31='Output (Entree)'!$B$4,1,0)</f>
        <v>1</v>
      </c>
      <c r="G31" s="23">
        <f>IF(L31&lt;='Output (Entree)'!$C$4,(200-'Raw Data (Entree)'!L31),0)</f>
        <v>188.01</v>
      </c>
      <c r="H31" s="23">
        <v>4</v>
      </c>
      <c r="I31" s="24">
        <f>SUMPRODUCT(F31:H31,'Output (Entree)'!$B$5:$D$5)*E31</f>
        <v>0</v>
      </c>
      <c r="J31" s="25">
        <v>0</v>
      </c>
      <c r="K31" s="49">
        <f t="shared" si="0"/>
        <v>0</v>
      </c>
      <c r="L31" s="20">
        <v>11.99</v>
      </c>
      <c r="M31" s="6" t="s">
        <v>361</v>
      </c>
      <c r="N31" s="6" t="s">
        <v>404</v>
      </c>
      <c r="O31" s="6" t="s">
        <v>405</v>
      </c>
      <c r="P31" s="6" t="s">
        <v>406</v>
      </c>
      <c r="Q31" s="26">
        <v>14.5</v>
      </c>
      <c r="R31" s="6" t="s">
        <v>195</v>
      </c>
      <c r="S31" s="6" t="s">
        <v>199</v>
      </c>
      <c r="T31" s="6" t="s">
        <v>190</v>
      </c>
      <c r="U31" s="6">
        <f>VLOOKUP($C31,'Food Pairing Data'!$C$2:$S$188,5)</f>
        <v>0</v>
      </c>
      <c r="V31" s="6">
        <f>VLOOKUP($C31,'Food Pairing Data'!$C$2:$S$188,6)</f>
        <v>0</v>
      </c>
      <c r="W31" s="6">
        <f>VLOOKUP($C31,'Food Pairing Data'!$C$2:$S$188,7)</f>
        <v>0</v>
      </c>
      <c r="X31" s="6">
        <f>VLOOKUP($C31,'Food Pairing Data'!$C$2:$S$188,8)</f>
        <v>1</v>
      </c>
      <c r="Y31" s="6">
        <f>VLOOKUP($C31,'Food Pairing Data'!$C$2:$S$188,9)</f>
        <v>0</v>
      </c>
      <c r="Z31" s="6">
        <f>VLOOKUP($C31,'Food Pairing Data'!$C$2:$S$188,10)</f>
        <v>1</v>
      </c>
      <c r="AA31" s="6">
        <f>VLOOKUP($C31,'Food Pairing Data'!$C$2:$S$188,11)</f>
        <v>0</v>
      </c>
      <c r="AB31" s="6">
        <f>VLOOKUP($C31,'Food Pairing Data'!$C$2:$S$188,12)</f>
        <v>0</v>
      </c>
      <c r="AC31" s="6">
        <f>VLOOKUP($C31,'Food Pairing Data'!$C$2:$S$188,13)</f>
        <v>0</v>
      </c>
      <c r="AD31" s="6">
        <f>VLOOKUP($C31,'Food Pairing Data'!$C$2:$S$188,14)</f>
        <v>0</v>
      </c>
      <c r="AE31" s="6">
        <f>VLOOKUP($C31,'Food Pairing Data'!$C$2:$S$188,15)</f>
        <v>0</v>
      </c>
      <c r="AF31" s="6">
        <f>VLOOKUP($C31,'Food Pairing Data'!$C$2:$S$188,16)</f>
        <v>0</v>
      </c>
      <c r="AG31" s="6">
        <f>VLOOKUP($C31,'Food Pairing Data'!$C$2:$S$188,17)</f>
        <v>0</v>
      </c>
      <c r="AH31" s="6" t="s">
        <v>289</v>
      </c>
      <c r="AI31" s="6" t="s">
        <v>163</v>
      </c>
    </row>
    <row r="32" spans="1:35" ht="14">
      <c r="A32" s="6">
        <f t="shared" si="1"/>
        <v>30</v>
      </c>
      <c r="B32" s="6" t="s">
        <v>245</v>
      </c>
      <c r="C32" s="6" t="s">
        <v>290</v>
      </c>
      <c r="D32" s="6" t="s">
        <v>163</v>
      </c>
      <c r="E32" s="22">
        <f>HLOOKUP('Output (Entree)'!$F$4,'Raw Data (Entree)'!$U$2:$BP$88,(A32+1),)</f>
        <v>1</v>
      </c>
      <c r="F32" s="23">
        <f>IF(D32='Output (Entree)'!$B$4,1,0)</f>
        <v>1</v>
      </c>
      <c r="G32" s="23">
        <f>IF(L32&lt;='Output (Entree)'!$C$4,(200-'Raw Data (Entree)'!L32),0)</f>
        <v>191.01</v>
      </c>
      <c r="H32" s="23">
        <v>4.5</v>
      </c>
      <c r="I32" s="24">
        <f>SUMPRODUCT(F32:H32,'Output (Entree)'!$B$5:$D$5)*E32</f>
        <v>41.451999999999998</v>
      </c>
      <c r="J32" s="25">
        <v>1.0000000000000004</v>
      </c>
      <c r="K32" s="49">
        <f t="shared" si="0"/>
        <v>1.0000000000000004</v>
      </c>
      <c r="L32" s="20">
        <v>8.99</v>
      </c>
      <c r="M32" s="6" t="s">
        <v>264</v>
      </c>
      <c r="N32" s="6" t="s">
        <v>408</v>
      </c>
      <c r="O32" s="6" t="s">
        <v>409</v>
      </c>
      <c r="P32" s="6" t="s">
        <v>401</v>
      </c>
      <c r="Q32" s="26">
        <v>13</v>
      </c>
      <c r="R32" s="6" t="s">
        <v>199</v>
      </c>
      <c r="S32" s="6" t="s">
        <v>195</v>
      </c>
      <c r="T32" s="6" t="s">
        <v>411</v>
      </c>
      <c r="U32" s="6">
        <v>1</v>
      </c>
      <c r="V32" s="6">
        <v>1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 t="s">
        <v>290</v>
      </c>
      <c r="AI32" s="6" t="s">
        <v>163</v>
      </c>
    </row>
    <row r="33" spans="1:35" ht="14">
      <c r="A33" s="6">
        <f t="shared" si="1"/>
        <v>31</v>
      </c>
      <c r="B33" s="6" t="s">
        <v>161</v>
      </c>
      <c r="C33" s="6" t="s">
        <v>259</v>
      </c>
      <c r="D33" s="6" t="s">
        <v>163</v>
      </c>
      <c r="E33" s="22">
        <f>HLOOKUP('Output (Entree)'!$F$4,'Raw Data (Entree)'!$U$2:$BP$88,(A33+1),)</f>
        <v>0</v>
      </c>
      <c r="F33" s="23">
        <f>IF(D33='Output (Entree)'!$B$4,1,0)</f>
        <v>1</v>
      </c>
      <c r="G33" s="23">
        <f>IF(L33&lt;='Output (Entree)'!$C$4,(200-'Raw Data (Entree)'!L33),0)</f>
        <v>115.01</v>
      </c>
      <c r="H33" s="23">
        <v>4.5</v>
      </c>
      <c r="I33" s="24">
        <f>SUMPRODUCT(F33:H33,'Output (Entree)'!$B$5:$D$5)*E33</f>
        <v>0</v>
      </c>
      <c r="J33" s="25">
        <v>0</v>
      </c>
      <c r="K33" s="49">
        <f t="shared" si="0"/>
        <v>0</v>
      </c>
      <c r="L33" s="20">
        <v>84.99</v>
      </c>
      <c r="M33" s="6" t="s">
        <v>412</v>
      </c>
      <c r="N33" s="6" t="s">
        <v>413</v>
      </c>
      <c r="O33" s="6" t="s">
        <v>414</v>
      </c>
      <c r="P33" s="6" t="s">
        <v>335</v>
      </c>
      <c r="Q33" s="26">
        <v>14</v>
      </c>
      <c r="R33" s="6" t="s">
        <v>192</v>
      </c>
      <c r="S33" s="6" t="s">
        <v>340</v>
      </c>
      <c r="T33" s="6" t="s">
        <v>190</v>
      </c>
      <c r="U33" s="6">
        <f>VLOOKUP($C33,'Food Pairing Data'!$C$2:$S$188,5)</f>
        <v>0</v>
      </c>
      <c r="V33" s="6">
        <f>VLOOKUP($C33,'Food Pairing Data'!$C$2:$S$188,6)</f>
        <v>0</v>
      </c>
      <c r="W33" s="6">
        <f>VLOOKUP($C33,'Food Pairing Data'!$C$2:$S$188,7)</f>
        <v>0</v>
      </c>
      <c r="X33" s="6">
        <f>VLOOKUP($C33,'Food Pairing Data'!$C$2:$S$188,8)</f>
        <v>1</v>
      </c>
      <c r="Y33" s="6">
        <f>VLOOKUP($C33,'Food Pairing Data'!$C$2:$S$188,9)</f>
        <v>0</v>
      </c>
      <c r="Z33" s="6">
        <f>VLOOKUP($C33,'Food Pairing Data'!$C$2:$S$188,10)</f>
        <v>1</v>
      </c>
      <c r="AA33" s="6">
        <f>VLOOKUP($C33,'Food Pairing Data'!$C$2:$S$188,11)</f>
        <v>0</v>
      </c>
      <c r="AB33" s="6">
        <f>VLOOKUP($C33,'Food Pairing Data'!$C$2:$S$188,12)</f>
        <v>0</v>
      </c>
      <c r="AC33" s="6">
        <f>VLOOKUP($C33,'Food Pairing Data'!$C$2:$S$188,13)</f>
        <v>0</v>
      </c>
      <c r="AD33" s="6">
        <f>VLOOKUP($C33,'Food Pairing Data'!$C$2:$S$188,14)</f>
        <v>0</v>
      </c>
      <c r="AE33" s="6">
        <f>VLOOKUP($C33,'Food Pairing Data'!$C$2:$S$188,15)</f>
        <v>0</v>
      </c>
      <c r="AF33" s="6">
        <f>VLOOKUP($C33,'Food Pairing Data'!$C$2:$S$188,16)</f>
        <v>0</v>
      </c>
      <c r="AG33" s="6">
        <f>VLOOKUP($C33,'Food Pairing Data'!$C$2:$S$188,17)</f>
        <v>0</v>
      </c>
      <c r="AH33" s="6" t="s">
        <v>259</v>
      </c>
      <c r="AI33" s="6" t="s">
        <v>163</v>
      </c>
    </row>
    <row r="34" spans="1:35" ht="14">
      <c r="A34" s="6">
        <f t="shared" si="1"/>
        <v>32</v>
      </c>
      <c r="B34" s="6" t="s">
        <v>181</v>
      </c>
      <c r="C34" s="6" t="s">
        <v>293</v>
      </c>
      <c r="D34" s="6" t="s">
        <v>163</v>
      </c>
      <c r="E34" s="22">
        <f>HLOOKUP('Output (Entree)'!$F$4,'Raw Data (Entree)'!$U$2:$BP$88,(A34+1),)</f>
        <v>0</v>
      </c>
      <c r="F34" s="23">
        <f>IF(D34='Output (Entree)'!$B$4,1,0)</f>
        <v>1</v>
      </c>
      <c r="G34" s="23">
        <f>IF(L34&lt;='Output (Entree)'!$C$4,(200-'Raw Data (Entree)'!L34),0)</f>
        <v>160.01</v>
      </c>
      <c r="H34" s="23">
        <v>3.5</v>
      </c>
      <c r="I34" s="24">
        <f>SUMPRODUCT(F34:H34,'Output (Entree)'!$B$5:$D$5)*E34</f>
        <v>0</v>
      </c>
      <c r="J34" s="25">
        <v>0</v>
      </c>
      <c r="K34" s="49">
        <f t="shared" si="0"/>
        <v>0</v>
      </c>
      <c r="L34" s="20">
        <v>39.99</v>
      </c>
      <c r="M34" s="6" t="s">
        <v>256</v>
      </c>
      <c r="N34" s="6" t="s">
        <v>257</v>
      </c>
      <c r="O34" s="6" t="s">
        <v>258</v>
      </c>
      <c r="P34" s="6" t="s">
        <v>420</v>
      </c>
      <c r="Q34" s="26">
        <v>13</v>
      </c>
      <c r="R34" s="6" t="s">
        <v>193</v>
      </c>
      <c r="S34" s="6" t="s">
        <v>340</v>
      </c>
      <c r="T34" s="6" t="s">
        <v>262</v>
      </c>
      <c r="U34" s="6">
        <f>VLOOKUP($C34,'Food Pairing Data'!$C$2:$S$188,5)</f>
        <v>0</v>
      </c>
      <c r="V34" s="6">
        <f>VLOOKUP($C34,'Food Pairing Data'!$C$2:$S$188,6)</f>
        <v>0</v>
      </c>
      <c r="W34" s="6">
        <f>VLOOKUP($C34,'Food Pairing Data'!$C$2:$S$188,7)</f>
        <v>0</v>
      </c>
      <c r="X34" s="6">
        <f>VLOOKUP($C34,'Food Pairing Data'!$C$2:$S$188,8)</f>
        <v>0</v>
      </c>
      <c r="Y34" s="6">
        <f>VLOOKUP($C34,'Food Pairing Data'!$C$2:$S$188,9)</f>
        <v>0</v>
      </c>
      <c r="Z34" s="6">
        <f>VLOOKUP($C34,'Food Pairing Data'!$C$2:$S$188,10)</f>
        <v>0</v>
      </c>
      <c r="AA34" s="6">
        <f>VLOOKUP($C34,'Food Pairing Data'!$C$2:$S$188,11)</f>
        <v>0</v>
      </c>
      <c r="AB34" s="6">
        <f>VLOOKUP($C34,'Food Pairing Data'!$C$2:$S$188,12)</f>
        <v>0</v>
      </c>
      <c r="AC34" s="6">
        <f>VLOOKUP($C34,'Food Pairing Data'!$C$2:$S$188,13)</f>
        <v>0</v>
      </c>
      <c r="AD34" s="6">
        <f>VLOOKUP($C34,'Food Pairing Data'!$C$2:$S$188,14)</f>
        <v>1</v>
      </c>
      <c r="AE34" s="6">
        <f>VLOOKUP($C34,'Food Pairing Data'!$C$2:$S$188,15)</f>
        <v>0</v>
      </c>
      <c r="AF34" s="6">
        <f>VLOOKUP($C34,'Food Pairing Data'!$C$2:$S$188,16)</f>
        <v>0</v>
      </c>
      <c r="AG34" s="6">
        <f>VLOOKUP($C34,'Food Pairing Data'!$C$2:$S$188,17)</f>
        <v>0</v>
      </c>
      <c r="AH34" s="6" t="s">
        <v>293</v>
      </c>
      <c r="AI34" s="6" t="s">
        <v>163</v>
      </c>
    </row>
    <row r="35" spans="1:35" ht="14">
      <c r="A35" s="6">
        <f t="shared" si="1"/>
        <v>33</v>
      </c>
      <c r="B35" s="6" t="s">
        <v>181</v>
      </c>
      <c r="C35" s="6" t="s">
        <v>263</v>
      </c>
      <c r="D35" s="6" t="s">
        <v>163</v>
      </c>
      <c r="E35" s="22">
        <f>HLOOKUP('Output (Entree)'!$F$4,'Raw Data (Entree)'!$U$2:$BP$88,(A35+1),)</f>
        <v>1</v>
      </c>
      <c r="F35" s="23">
        <f>IF(D35='Output (Entree)'!$B$4,1,0)</f>
        <v>1</v>
      </c>
      <c r="G35" s="23">
        <f>IF(L35&lt;='Output (Entree)'!$C$4,(200-'Raw Data (Entree)'!L35),0)</f>
        <v>165.01</v>
      </c>
      <c r="H35" s="23">
        <v>3.5</v>
      </c>
      <c r="I35" s="24">
        <f>SUMPRODUCT(F35:H35,'Output (Entree)'!$B$5:$D$5)*E35</f>
        <v>35.552000000000007</v>
      </c>
      <c r="J35" s="25">
        <v>0</v>
      </c>
      <c r="K35" s="49">
        <f t="shared" si="0"/>
        <v>0</v>
      </c>
      <c r="L35" s="20">
        <v>34.99</v>
      </c>
      <c r="M35" s="6" t="s">
        <v>264</v>
      </c>
      <c r="N35" s="6" t="s">
        <v>265</v>
      </c>
      <c r="O35" s="6" t="s">
        <v>266</v>
      </c>
      <c r="P35" s="6" t="s">
        <v>267</v>
      </c>
      <c r="Q35" s="26">
        <v>14</v>
      </c>
      <c r="R35" s="6" t="s">
        <v>195</v>
      </c>
      <c r="S35" s="6" t="s">
        <v>190</v>
      </c>
      <c r="T35" s="6" t="s">
        <v>270</v>
      </c>
      <c r="U35" s="6">
        <f>VLOOKUP($C35,'Food Pairing Data'!$C$2:$S$188,5)</f>
        <v>0</v>
      </c>
      <c r="V35" s="6">
        <f>VLOOKUP($C35,'Food Pairing Data'!$C$2:$S$188,6)</f>
        <v>0</v>
      </c>
      <c r="W35" s="6">
        <f>VLOOKUP($C35,'Food Pairing Data'!$C$2:$S$188,7)</f>
        <v>1</v>
      </c>
      <c r="X35" s="6">
        <f>VLOOKUP($C35,'Food Pairing Data'!$C$2:$S$188,8)</f>
        <v>1</v>
      </c>
      <c r="Y35" s="6">
        <f>VLOOKUP($C35,'Food Pairing Data'!$C$2:$S$188,9)</f>
        <v>0</v>
      </c>
      <c r="Z35" s="6">
        <f>VLOOKUP($C35,'Food Pairing Data'!$C$2:$S$188,10)</f>
        <v>0</v>
      </c>
      <c r="AA35" s="6">
        <f>VLOOKUP($C35,'Food Pairing Data'!$C$2:$S$188,11)</f>
        <v>0</v>
      </c>
      <c r="AB35" s="6">
        <f>VLOOKUP($C35,'Food Pairing Data'!$C$2:$S$188,12)</f>
        <v>0</v>
      </c>
      <c r="AC35" s="6">
        <f>VLOOKUP($C35,'Food Pairing Data'!$C$2:$S$188,13)</f>
        <v>0</v>
      </c>
      <c r="AD35" s="6">
        <f>VLOOKUP($C35,'Food Pairing Data'!$C$2:$S$188,14)</f>
        <v>0</v>
      </c>
      <c r="AE35" s="6">
        <f>VLOOKUP($C35,'Food Pairing Data'!$C$2:$S$188,15)</f>
        <v>0</v>
      </c>
      <c r="AF35" s="6">
        <f>VLOOKUP($C35,'Food Pairing Data'!$C$2:$S$188,16)</f>
        <v>0</v>
      </c>
      <c r="AG35" s="6">
        <f>VLOOKUP($C35,'Food Pairing Data'!$C$2:$S$188,17)</f>
        <v>0</v>
      </c>
      <c r="AH35" s="6" t="s">
        <v>263</v>
      </c>
      <c r="AI35" s="6" t="s">
        <v>163</v>
      </c>
    </row>
    <row r="36" spans="1:35" ht="14">
      <c r="A36" s="6">
        <f t="shared" si="1"/>
        <v>34</v>
      </c>
      <c r="B36" s="6" t="s">
        <v>23</v>
      </c>
      <c r="C36" s="6" t="s">
        <v>271</v>
      </c>
      <c r="D36" s="6" t="s">
        <v>163</v>
      </c>
      <c r="E36" s="22">
        <f>HLOOKUP('Output (Entree)'!$F$4,'Raw Data (Entree)'!$U$2:$BP$88,(A36+1),)</f>
        <v>0</v>
      </c>
      <c r="F36" s="23">
        <f>IF(D36='Output (Entree)'!$B$4,1,0)</f>
        <v>1</v>
      </c>
      <c r="G36" s="23">
        <f>IF(L36&lt;='Output (Entree)'!$C$4,(200-'Raw Data (Entree)'!L36),0)</f>
        <v>180.01</v>
      </c>
      <c r="H36" s="23">
        <v>3.5</v>
      </c>
      <c r="I36" s="24">
        <f>SUMPRODUCT(F36:H36,'Output (Entree)'!$B$5:$D$5)*E36</f>
        <v>0</v>
      </c>
      <c r="J36" s="25">
        <v>0</v>
      </c>
      <c r="K36" s="49">
        <f t="shared" si="0"/>
        <v>0</v>
      </c>
      <c r="L36" s="20">
        <v>19.989999999999998</v>
      </c>
      <c r="M36" s="6" t="s">
        <v>197</v>
      </c>
      <c r="N36" s="6" t="s">
        <v>273</v>
      </c>
      <c r="O36" s="6" t="s">
        <v>274</v>
      </c>
      <c r="P36" s="6" t="s">
        <v>275</v>
      </c>
      <c r="Q36" s="26">
        <v>12.5</v>
      </c>
      <c r="R36" s="6" t="s">
        <v>192</v>
      </c>
      <c r="S36" s="6" t="s">
        <v>195</v>
      </c>
      <c r="T36" s="6" t="s">
        <v>190</v>
      </c>
      <c r="U36" s="6">
        <f>VLOOKUP($C36,'Food Pairing Data'!$C$2:$S$188,5)</f>
        <v>0</v>
      </c>
      <c r="V36" s="6">
        <f>VLOOKUP($C36,'Food Pairing Data'!$C$2:$S$188,6)</f>
        <v>0</v>
      </c>
      <c r="W36" s="6">
        <f>VLOOKUP($C36,'Food Pairing Data'!$C$2:$S$188,7)</f>
        <v>0</v>
      </c>
      <c r="X36" s="6">
        <f>VLOOKUP($C36,'Food Pairing Data'!$C$2:$S$188,8)</f>
        <v>0</v>
      </c>
      <c r="Y36" s="6">
        <f>VLOOKUP($C36,'Food Pairing Data'!$C$2:$S$188,9)</f>
        <v>0</v>
      </c>
      <c r="Z36" s="6">
        <f>VLOOKUP($C36,'Food Pairing Data'!$C$2:$S$188,10)</f>
        <v>0</v>
      </c>
      <c r="AA36" s="6">
        <f>VLOOKUP($C36,'Food Pairing Data'!$C$2:$S$188,11)</f>
        <v>0</v>
      </c>
      <c r="AB36" s="6">
        <f>VLOOKUP($C36,'Food Pairing Data'!$C$2:$S$188,12)</f>
        <v>0</v>
      </c>
      <c r="AC36" s="6">
        <f>VLOOKUP($C36,'Food Pairing Data'!$C$2:$S$188,13)</f>
        <v>0</v>
      </c>
      <c r="AD36" s="6">
        <f>VLOOKUP($C36,'Food Pairing Data'!$C$2:$S$188,14)</f>
        <v>1</v>
      </c>
      <c r="AE36" s="6">
        <f>VLOOKUP($C36,'Food Pairing Data'!$C$2:$S$188,15)</f>
        <v>0</v>
      </c>
      <c r="AF36" s="6">
        <f>VLOOKUP($C36,'Food Pairing Data'!$C$2:$S$188,16)</f>
        <v>0</v>
      </c>
      <c r="AG36" s="6">
        <f>VLOOKUP($C36,'Food Pairing Data'!$C$2:$S$188,17)</f>
        <v>0</v>
      </c>
      <c r="AH36" s="6" t="s">
        <v>271</v>
      </c>
      <c r="AI36" s="6" t="s">
        <v>163</v>
      </c>
    </row>
    <row r="37" spans="1:35" ht="14">
      <c r="A37" s="6">
        <f t="shared" si="1"/>
        <v>35</v>
      </c>
      <c r="B37" s="6" t="s">
        <v>23</v>
      </c>
      <c r="C37" s="6" t="s">
        <v>277</v>
      </c>
      <c r="D37" s="6" t="s">
        <v>163</v>
      </c>
      <c r="E37" s="22">
        <f>HLOOKUP('Output (Entree)'!$F$4,'Raw Data (Entree)'!$U$2:$BP$88,(A37+1),)</f>
        <v>0</v>
      </c>
      <c r="F37" s="23">
        <f>IF(D37='Output (Entree)'!$B$4,1,0)</f>
        <v>1</v>
      </c>
      <c r="G37" s="23">
        <f>IF(L37&lt;='Output (Entree)'!$C$4,(200-'Raw Data (Entree)'!L37),0)</f>
        <v>181.01</v>
      </c>
      <c r="H37" s="23">
        <v>3.5</v>
      </c>
      <c r="I37" s="24">
        <f>SUMPRODUCT(F37:H37,'Output (Entree)'!$B$5:$D$5)*E37</f>
        <v>0</v>
      </c>
      <c r="J37" s="25">
        <v>0</v>
      </c>
      <c r="K37" s="49">
        <f t="shared" si="0"/>
        <v>0</v>
      </c>
      <c r="L37" s="20">
        <v>18.989999999999998</v>
      </c>
      <c r="M37" s="6" t="s">
        <v>412</v>
      </c>
      <c r="N37" s="6" t="s">
        <v>278</v>
      </c>
      <c r="O37" s="6" t="s">
        <v>279</v>
      </c>
      <c r="P37" s="6" t="s">
        <v>335</v>
      </c>
      <c r="Q37" s="26">
        <v>12.9</v>
      </c>
      <c r="R37" s="6" t="s">
        <v>192</v>
      </c>
      <c r="S37" s="6" t="s">
        <v>340</v>
      </c>
      <c r="T37" s="6" t="s">
        <v>190</v>
      </c>
      <c r="U37" s="6">
        <f>VLOOKUP($C37,'Food Pairing Data'!$C$2:$S$188,5)</f>
        <v>0</v>
      </c>
      <c r="V37" s="6">
        <f>VLOOKUP($C37,'Food Pairing Data'!$C$2:$S$188,6)</f>
        <v>0</v>
      </c>
      <c r="W37" s="6">
        <f>VLOOKUP($C37,'Food Pairing Data'!$C$2:$S$188,7)</f>
        <v>0</v>
      </c>
      <c r="X37" s="6">
        <f>VLOOKUP($C37,'Food Pairing Data'!$C$2:$S$188,8)</f>
        <v>0</v>
      </c>
      <c r="Y37" s="6">
        <f>VLOOKUP($C37,'Food Pairing Data'!$C$2:$S$188,9)</f>
        <v>0</v>
      </c>
      <c r="Z37" s="6">
        <f>VLOOKUP($C37,'Food Pairing Data'!$C$2:$S$188,10)</f>
        <v>0</v>
      </c>
      <c r="AA37" s="6">
        <f>VLOOKUP($C37,'Food Pairing Data'!$C$2:$S$188,11)</f>
        <v>0</v>
      </c>
      <c r="AB37" s="6">
        <f>VLOOKUP($C37,'Food Pairing Data'!$C$2:$S$188,12)</f>
        <v>0</v>
      </c>
      <c r="AC37" s="6">
        <f>VLOOKUP($C37,'Food Pairing Data'!$C$2:$S$188,13)</f>
        <v>0</v>
      </c>
      <c r="AD37" s="6">
        <f>VLOOKUP($C37,'Food Pairing Data'!$C$2:$S$188,14)</f>
        <v>1</v>
      </c>
      <c r="AE37" s="6">
        <f>VLOOKUP($C37,'Food Pairing Data'!$C$2:$S$188,15)</f>
        <v>0</v>
      </c>
      <c r="AF37" s="6">
        <f>VLOOKUP($C37,'Food Pairing Data'!$C$2:$S$188,16)</f>
        <v>0</v>
      </c>
      <c r="AG37" s="6">
        <f>VLOOKUP($C37,'Food Pairing Data'!$C$2:$S$188,17)</f>
        <v>0</v>
      </c>
      <c r="AH37" s="6" t="s">
        <v>277</v>
      </c>
      <c r="AI37" s="6" t="s">
        <v>163</v>
      </c>
    </row>
    <row r="38" spans="1:35" ht="14">
      <c r="A38" s="6">
        <f t="shared" si="1"/>
        <v>36</v>
      </c>
      <c r="B38" s="6" t="s">
        <v>23</v>
      </c>
      <c r="C38" s="6" t="s">
        <v>280</v>
      </c>
      <c r="D38" s="6" t="s">
        <v>163</v>
      </c>
      <c r="E38" s="22">
        <f>HLOOKUP('Output (Entree)'!$F$4,'Raw Data (Entree)'!$U$2:$BP$88,(A38+1),)</f>
        <v>0</v>
      </c>
      <c r="F38" s="23">
        <f>IF(D38='Output (Entree)'!$B$4,1,0)</f>
        <v>1</v>
      </c>
      <c r="G38" s="23">
        <f>IF(L38&lt;='Output (Entree)'!$C$4,(200-'Raw Data (Entree)'!L38),0)</f>
        <v>182.01</v>
      </c>
      <c r="H38" s="23">
        <v>3.5</v>
      </c>
      <c r="I38" s="24">
        <f>SUMPRODUCT(F38:H38,'Output (Entree)'!$B$5:$D$5)*E38</f>
        <v>0</v>
      </c>
      <c r="J38" s="25">
        <v>0</v>
      </c>
      <c r="K38" s="49">
        <f t="shared" si="0"/>
        <v>0</v>
      </c>
      <c r="L38" s="20">
        <v>17.989999999999998</v>
      </c>
      <c r="M38" s="6" t="s">
        <v>339</v>
      </c>
      <c r="N38" s="6" t="s">
        <v>281</v>
      </c>
      <c r="O38" s="6" t="s">
        <v>282</v>
      </c>
      <c r="P38" s="6" t="s">
        <v>283</v>
      </c>
      <c r="Q38" s="26">
        <v>13</v>
      </c>
      <c r="R38" s="6" t="s">
        <v>340</v>
      </c>
      <c r="S38" s="6" t="s">
        <v>192</v>
      </c>
      <c r="T38" s="6" t="s">
        <v>411</v>
      </c>
      <c r="U38" s="6">
        <f>VLOOKUP($C38,'Food Pairing Data'!$C$2:$S$188,5)</f>
        <v>0</v>
      </c>
      <c r="V38" s="6">
        <f>VLOOKUP($C38,'Food Pairing Data'!$C$2:$S$188,6)</f>
        <v>0</v>
      </c>
      <c r="W38" s="6">
        <f>VLOOKUP($C38,'Food Pairing Data'!$C$2:$S$188,7)</f>
        <v>0</v>
      </c>
      <c r="X38" s="6">
        <f>VLOOKUP($C38,'Food Pairing Data'!$C$2:$S$188,8)</f>
        <v>0</v>
      </c>
      <c r="Y38" s="6">
        <f>VLOOKUP($C38,'Food Pairing Data'!$C$2:$S$188,9)</f>
        <v>0</v>
      </c>
      <c r="Z38" s="6">
        <f>VLOOKUP($C38,'Food Pairing Data'!$C$2:$S$188,10)</f>
        <v>0</v>
      </c>
      <c r="AA38" s="6">
        <f>VLOOKUP($C38,'Food Pairing Data'!$C$2:$S$188,11)</f>
        <v>0</v>
      </c>
      <c r="AB38" s="6">
        <f>VLOOKUP($C38,'Food Pairing Data'!$C$2:$S$188,12)</f>
        <v>0</v>
      </c>
      <c r="AC38" s="6">
        <f>VLOOKUP($C38,'Food Pairing Data'!$C$2:$S$188,13)</f>
        <v>0</v>
      </c>
      <c r="AD38" s="6">
        <f>VLOOKUP($C38,'Food Pairing Data'!$C$2:$S$188,14)</f>
        <v>1</v>
      </c>
      <c r="AE38" s="6">
        <f>VLOOKUP($C38,'Food Pairing Data'!$C$2:$S$188,15)</f>
        <v>0</v>
      </c>
      <c r="AF38" s="6">
        <f>VLOOKUP($C38,'Food Pairing Data'!$C$2:$S$188,16)</f>
        <v>0</v>
      </c>
      <c r="AG38" s="6">
        <f>VLOOKUP($C38,'Food Pairing Data'!$C$2:$S$188,17)</f>
        <v>0</v>
      </c>
      <c r="AH38" s="6" t="s">
        <v>280</v>
      </c>
      <c r="AI38" s="6" t="s">
        <v>163</v>
      </c>
    </row>
    <row r="39" spans="1:35" ht="14">
      <c r="A39" s="6">
        <f t="shared" si="1"/>
        <v>37</v>
      </c>
      <c r="B39" s="6" t="s">
        <v>245</v>
      </c>
      <c r="C39" s="6" t="s">
        <v>284</v>
      </c>
      <c r="D39" s="6" t="s">
        <v>163</v>
      </c>
      <c r="E39" s="22">
        <f>HLOOKUP('Output (Entree)'!$F$4,'Raw Data (Entree)'!$U$2:$BP$88,(A39+1),)</f>
        <v>0</v>
      </c>
      <c r="F39" s="23">
        <f>IF(D39='Output (Entree)'!$B$4,1,0)</f>
        <v>1</v>
      </c>
      <c r="G39" s="23">
        <f>IF(L39&lt;='Output (Entree)'!$C$4,(200-'Raw Data (Entree)'!L39),0)</f>
        <v>192.01</v>
      </c>
      <c r="H39" s="23">
        <v>3.5</v>
      </c>
      <c r="I39" s="24">
        <f>SUMPRODUCT(F39:H39,'Output (Entree)'!$B$5:$D$5)*E39</f>
        <v>0</v>
      </c>
      <c r="J39" s="25">
        <v>0</v>
      </c>
      <c r="K39" s="49">
        <f t="shared" si="0"/>
        <v>0</v>
      </c>
      <c r="L39" s="20">
        <v>7.99</v>
      </c>
      <c r="M39" s="6" t="s">
        <v>285</v>
      </c>
      <c r="N39" s="6" t="s">
        <v>286</v>
      </c>
      <c r="O39" s="6" t="s">
        <v>287</v>
      </c>
      <c r="P39" s="6" t="s">
        <v>420</v>
      </c>
      <c r="Q39" s="26">
        <v>13</v>
      </c>
      <c r="R39" s="6" t="s">
        <v>190</v>
      </c>
      <c r="S39" s="6" t="s">
        <v>353</v>
      </c>
      <c r="T39" s="6" t="s">
        <v>262</v>
      </c>
      <c r="U39" s="6">
        <f>VLOOKUP($C39,'Food Pairing Data'!$C$2:$S$188,5)</f>
        <v>0</v>
      </c>
      <c r="V39" s="6">
        <f>VLOOKUP($C39,'Food Pairing Data'!$C$2:$S$188,6)</f>
        <v>0</v>
      </c>
      <c r="W39" s="6">
        <f>VLOOKUP($C39,'Food Pairing Data'!$C$2:$S$188,7)</f>
        <v>0</v>
      </c>
      <c r="X39" s="6">
        <f>VLOOKUP($C39,'Food Pairing Data'!$C$2:$S$188,8)</f>
        <v>0</v>
      </c>
      <c r="Y39" s="6">
        <f>VLOOKUP($C39,'Food Pairing Data'!$C$2:$S$188,9)</f>
        <v>0</v>
      </c>
      <c r="Z39" s="6">
        <f>VLOOKUP($C39,'Food Pairing Data'!$C$2:$S$188,10)</f>
        <v>0</v>
      </c>
      <c r="AA39" s="6">
        <f>VLOOKUP($C39,'Food Pairing Data'!$C$2:$S$188,11)</f>
        <v>0</v>
      </c>
      <c r="AB39" s="6">
        <f>VLOOKUP($C39,'Food Pairing Data'!$C$2:$S$188,12)</f>
        <v>0</v>
      </c>
      <c r="AC39" s="6">
        <f>VLOOKUP($C39,'Food Pairing Data'!$C$2:$S$188,13)</f>
        <v>0</v>
      </c>
      <c r="AD39" s="6">
        <f>VLOOKUP($C39,'Food Pairing Data'!$C$2:$S$188,14)</f>
        <v>1</v>
      </c>
      <c r="AE39" s="6">
        <f>VLOOKUP($C39,'Food Pairing Data'!$C$2:$S$188,15)</f>
        <v>0</v>
      </c>
      <c r="AF39" s="6">
        <f>VLOOKUP($C39,'Food Pairing Data'!$C$2:$S$188,16)</f>
        <v>0</v>
      </c>
      <c r="AG39" s="6">
        <f>VLOOKUP($C39,'Food Pairing Data'!$C$2:$S$188,17)</f>
        <v>0</v>
      </c>
      <c r="AH39" s="6" t="s">
        <v>284</v>
      </c>
      <c r="AI39" s="6" t="s">
        <v>163</v>
      </c>
    </row>
    <row r="40" spans="1:35" ht="14">
      <c r="A40" s="6">
        <f t="shared" si="1"/>
        <v>38</v>
      </c>
      <c r="B40" s="6" t="s">
        <v>181</v>
      </c>
      <c r="C40" s="6" t="s">
        <v>484</v>
      </c>
      <c r="D40" s="6" t="s">
        <v>163</v>
      </c>
      <c r="E40" s="22">
        <f>HLOOKUP('Output (Entree)'!$F$4,'Raw Data (Entree)'!$U$2:$BP$88,(A40+1),)</f>
        <v>1</v>
      </c>
      <c r="F40" s="23">
        <f>IF(D40='Output (Entree)'!$B$4,1,0)</f>
        <v>1</v>
      </c>
      <c r="G40" s="23">
        <f>IF(L40&lt;='Output (Entree)'!$C$4,(200-'Raw Data (Entree)'!L40),0)</f>
        <v>162.01</v>
      </c>
      <c r="H40" s="23">
        <v>3</v>
      </c>
      <c r="I40" s="24">
        <f>SUMPRODUCT(F40:H40,'Output (Entree)'!$B$5:$D$5)*E40</f>
        <v>34.602000000000004</v>
      </c>
      <c r="J40" s="25">
        <v>0</v>
      </c>
      <c r="K40" s="49">
        <f t="shared" si="0"/>
        <v>0</v>
      </c>
      <c r="L40" s="20">
        <v>37.99</v>
      </c>
      <c r="M40" s="6" t="s">
        <v>349</v>
      </c>
      <c r="N40" s="6" t="s">
        <v>486</v>
      </c>
      <c r="O40" s="6" t="s">
        <v>266</v>
      </c>
      <c r="P40" s="6" t="s">
        <v>487</v>
      </c>
      <c r="Q40" s="26">
        <v>13.9</v>
      </c>
      <c r="R40" s="6" t="s">
        <v>340</v>
      </c>
      <c r="S40" s="6" t="s">
        <v>195</v>
      </c>
      <c r="T40" s="6" t="s">
        <v>270</v>
      </c>
      <c r="U40" s="6">
        <v>0</v>
      </c>
      <c r="V40" s="6">
        <v>1</v>
      </c>
      <c r="W40" s="6">
        <v>1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 t="s">
        <v>484</v>
      </c>
      <c r="AI40" s="6" t="s">
        <v>163</v>
      </c>
    </row>
    <row r="41" spans="1:35" ht="14">
      <c r="A41" s="6">
        <f t="shared" si="1"/>
        <v>39</v>
      </c>
      <c r="B41" s="6" t="s">
        <v>181</v>
      </c>
      <c r="C41" s="6" t="s">
        <v>488</v>
      </c>
      <c r="D41" s="6" t="s">
        <v>163</v>
      </c>
      <c r="E41" s="22">
        <f>HLOOKUP('Output (Entree)'!$F$4,'Raw Data (Entree)'!$U$2:$BP$88,(A41+1),)</f>
        <v>1</v>
      </c>
      <c r="F41" s="23">
        <f>IF(D41='Output (Entree)'!$B$4,1,0)</f>
        <v>1</v>
      </c>
      <c r="G41" s="23">
        <f>IF(L41&lt;='Output (Entree)'!$C$4,(200-'Raw Data (Entree)'!L41),0)</f>
        <v>178.01</v>
      </c>
      <c r="H41" s="23">
        <v>3</v>
      </c>
      <c r="I41" s="24">
        <f>SUMPRODUCT(F41:H41,'Output (Entree)'!$B$5:$D$5)*E41</f>
        <v>37.802</v>
      </c>
      <c r="J41" s="25">
        <v>0</v>
      </c>
      <c r="K41" s="49">
        <f t="shared" si="0"/>
        <v>0</v>
      </c>
      <c r="L41" s="20">
        <v>21.99</v>
      </c>
      <c r="M41" s="6" t="s">
        <v>412</v>
      </c>
      <c r="N41" s="6" t="s">
        <v>490</v>
      </c>
      <c r="O41" s="6" t="s">
        <v>279</v>
      </c>
      <c r="P41" s="6" t="s">
        <v>335</v>
      </c>
      <c r="Q41" s="26">
        <v>13.9</v>
      </c>
      <c r="R41" s="6" t="s">
        <v>192</v>
      </c>
      <c r="S41" s="6" t="s">
        <v>340</v>
      </c>
      <c r="T41" s="6" t="s">
        <v>190</v>
      </c>
      <c r="U41" s="6">
        <f>VLOOKUP($C41,'Food Pairing Data'!$C$2:$S$188,5)</f>
        <v>0</v>
      </c>
      <c r="V41" s="6">
        <f>VLOOKUP($C41,'Food Pairing Data'!$C$2:$S$188,6)</f>
        <v>0</v>
      </c>
      <c r="W41" s="6">
        <f>VLOOKUP($C41,'Food Pairing Data'!$C$2:$S$188,7)</f>
        <v>1</v>
      </c>
      <c r="X41" s="6">
        <f>VLOOKUP($C41,'Food Pairing Data'!$C$2:$S$188,8)</f>
        <v>0</v>
      </c>
      <c r="Y41" s="6">
        <f>VLOOKUP($C41,'Food Pairing Data'!$C$2:$S$188,9)</f>
        <v>0</v>
      </c>
      <c r="Z41" s="6">
        <f>VLOOKUP($C41,'Food Pairing Data'!$C$2:$S$188,10)</f>
        <v>0</v>
      </c>
      <c r="AA41" s="6">
        <f>VLOOKUP($C41,'Food Pairing Data'!$C$2:$S$188,11)</f>
        <v>0</v>
      </c>
      <c r="AB41" s="6">
        <f>VLOOKUP($C41,'Food Pairing Data'!$C$2:$S$188,12)</f>
        <v>0</v>
      </c>
      <c r="AC41" s="6">
        <f>VLOOKUP($C41,'Food Pairing Data'!$C$2:$S$188,13)</f>
        <v>0</v>
      </c>
      <c r="AD41" s="6">
        <f>VLOOKUP($C41,'Food Pairing Data'!$C$2:$S$188,14)</f>
        <v>0</v>
      </c>
      <c r="AE41" s="6">
        <f>VLOOKUP($C41,'Food Pairing Data'!$C$2:$S$188,15)</f>
        <v>0</v>
      </c>
      <c r="AF41" s="6">
        <f>VLOOKUP($C41,'Food Pairing Data'!$C$2:$S$188,16)</f>
        <v>0</v>
      </c>
      <c r="AG41" s="6">
        <f>VLOOKUP($C41,'Food Pairing Data'!$C$2:$S$188,17)</f>
        <v>0</v>
      </c>
      <c r="AH41" s="6" t="s">
        <v>488</v>
      </c>
      <c r="AI41" s="6" t="s">
        <v>163</v>
      </c>
    </row>
    <row r="42" spans="1:35" ht="14">
      <c r="A42" s="6">
        <f t="shared" si="1"/>
        <v>40</v>
      </c>
      <c r="B42" s="6" t="s">
        <v>23</v>
      </c>
      <c r="C42" s="6" t="s">
        <v>495</v>
      </c>
      <c r="D42" s="6" t="s">
        <v>163</v>
      </c>
      <c r="E42" s="22">
        <f>HLOOKUP('Output (Entree)'!$F$4,'Raw Data (Entree)'!$U$2:$BP$88,(A42+1),)</f>
        <v>1</v>
      </c>
      <c r="F42" s="23">
        <f>IF(D42='Output (Entree)'!$B$4,1,0)</f>
        <v>1</v>
      </c>
      <c r="G42" s="23">
        <f>IF(L42&lt;='Output (Entree)'!$C$4,(200-'Raw Data (Entree)'!L42),0)</f>
        <v>184.01</v>
      </c>
      <c r="H42" s="23">
        <v>3</v>
      </c>
      <c r="I42" s="24">
        <f>SUMPRODUCT(F42:H42,'Output (Entree)'!$B$5:$D$5)*E42</f>
        <v>39.002000000000002</v>
      </c>
      <c r="J42" s="25">
        <v>0</v>
      </c>
      <c r="K42" s="49">
        <f t="shared" si="0"/>
        <v>0</v>
      </c>
      <c r="L42" s="20">
        <v>15.99</v>
      </c>
      <c r="M42" s="6" t="s">
        <v>339</v>
      </c>
      <c r="N42" s="6" t="s">
        <v>322</v>
      </c>
      <c r="O42" s="6" t="s">
        <v>343</v>
      </c>
      <c r="P42" s="6" t="s">
        <v>344</v>
      </c>
      <c r="Q42" s="26">
        <v>13</v>
      </c>
      <c r="R42" s="6" t="s">
        <v>318</v>
      </c>
      <c r="S42" s="6" t="s">
        <v>199</v>
      </c>
      <c r="T42" s="6" t="s">
        <v>347</v>
      </c>
      <c r="U42" s="6">
        <f>VLOOKUP($C42,'Food Pairing Data'!$C$2:$S$188,5)</f>
        <v>0</v>
      </c>
      <c r="V42" s="6">
        <f>VLOOKUP($C42,'Food Pairing Data'!$C$2:$S$188,6)</f>
        <v>0</v>
      </c>
      <c r="W42" s="6">
        <f>VLOOKUP($C42,'Food Pairing Data'!$C$2:$S$188,7)</f>
        <v>1</v>
      </c>
      <c r="X42" s="6">
        <f>VLOOKUP($C42,'Food Pairing Data'!$C$2:$S$188,8)</f>
        <v>0</v>
      </c>
      <c r="Y42" s="6">
        <f>VLOOKUP($C42,'Food Pairing Data'!$C$2:$S$188,9)</f>
        <v>0</v>
      </c>
      <c r="Z42" s="6">
        <f>VLOOKUP($C42,'Food Pairing Data'!$C$2:$S$188,10)</f>
        <v>0</v>
      </c>
      <c r="AA42" s="6">
        <f>VLOOKUP($C42,'Food Pairing Data'!$C$2:$S$188,11)</f>
        <v>0</v>
      </c>
      <c r="AB42" s="6">
        <f>VLOOKUP($C42,'Food Pairing Data'!$C$2:$S$188,12)</f>
        <v>0</v>
      </c>
      <c r="AC42" s="6">
        <f>VLOOKUP($C42,'Food Pairing Data'!$C$2:$S$188,13)</f>
        <v>0</v>
      </c>
      <c r="AD42" s="6">
        <f>VLOOKUP($C42,'Food Pairing Data'!$C$2:$S$188,14)</f>
        <v>0</v>
      </c>
      <c r="AE42" s="6">
        <f>VLOOKUP($C42,'Food Pairing Data'!$C$2:$S$188,15)</f>
        <v>0</v>
      </c>
      <c r="AF42" s="6">
        <f>VLOOKUP($C42,'Food Pairing Data'!$C$2:$S$188,16)</f>
        <v>0</v>
      </c>
      <c r="AG42" s="6">
        <f>VLOOKUP($C42,'Food Pairing Data'!$C$2:$S$188,17)</f>
        <v>0</v>
      </c>
      <c r="AH42" s="6" t="s">
        <v>495</v>
      </c>
      <c r="AI42" s="6" t="s">
        <v>163</v>
      </c>
    </row>
    <row r="43" spans="1:35" ht="14">
      <c r="A43" s="6">
        <f t="shared" si="1"/>
        <v>41</v>
      </c>
      <c r="B43" s="6" t="s">
        <v>23</v>
      </c>
      <c r="C43" s="6" t="s">
        <v>348</v>
      </c>
      <c r="D43" s="6" t="s">
        <v>163</v>
      </c>
      <c r="E43" s="22">
        <f>HLOOKUP('Output (Entree)'!$F$4,'Raw Data (Entree)'!$U$2:$BP$88,(A43+1),)</f>
        <v>0</v>
      </c>
      <c r="F43" s="23">
        <f>IF(D43='Output (Entree)'!$B$4,1,0)</f>
        <v>1</v>
      </c>
      <c r="G43" s="23">
        <f>IF(L43&lt;='Output (Entree)'!$C$4,(200-'Raw Data (Entree)'!L43),0)</f>
        <v>186.01</v>
      </c>
      <c r="H43" s="23">
        <v>3</v>
      </c>
      <c r="I43" s="24">
        <f>SUMPRODUCT(F43:H43,'Output (Entree)'!$B$5:$D$5)*E43</f>
        <v>0</v>
      </c>
      <c r="J43" s="25">
        <v>0</v>
      </c>
      <c r="K43" s="49">
        <f t="shared" si="0"/>
        <v>0</v>
      </c>
      <c r="L43" s="20">
        <v>13.99</v>
      </c>
      <c r="M43" s="6" t="s">
        <v>349</v>
      </c>
      <c r="N43" s="6" t="s">
        <v>350</v>
      </c>
      <c r="O43" s="6" t="s">
        <v>266</v>
      </c>
      <c r="P43" s="6" t="s">
        <v>344</v>
      </c>
      <c r="Q43" s="26">
        <v>13.5</v>
      </c>
      <c r="R43" s="6" t="s">
        <v>190</v>
      </c>
      <c r="S43" s="6" t="s">
        <v>353</v>
      </c>
      <c r="T43" s="6" t="s">
        <v>354</v>
      </c>
      <c r="U43" s="6">
        <f>VLOOKUP($C43,'Food Pairing Data'!$C$2:$S$188,5)</f>
        <v>0</v>
      </c>
      <c r="V43" s="6">
        <f>VLOOKUP($C43,'Food Pairing Data'!$C$2:$S$188,6)</f>
        <v>0</v>
      </c>
      <c r="W43" s="6">
        <f>VLOOKUP($C43,'Food Pairing Data'!$C$2:$S$188,7)</f>
        <v>0</v>
      </c>
      <c r="X43" s="6">
        <f>VLOOKUP($C43,'Food Pairing Data'!$C$2:$S$188,8)</f>
        <v>1</v>
      </c>
      <c r="Y43" s="6">
        <f>VLOOKUP($C43,'Food Pairing Data'!$C$2:$S$188,9)</f>
        <v>0</v>
      </c>
      <c r="Z43" s="6">
        <f>VLOOKUP($C43,'Food Pairing Data'!$C$2:$S$188,10)</f>
        <v>1</v>
      </c>
      <c r="AA43" s="6">
        <f>VLOOKUP($C43,'Food Pairing Data'!$C$2:$S$188,11)</f>
        <v>0</v>
      </c>
      <c r="AB43" s="6">
        <f>VLOOKUP($C43,'Food Pairing Data'!$C$2:$S$188,12)</f>
        <v>0</v>
      </c>
      <c r="AC43" s="6">
        <f>VLOOKUP($C43,'Food Pairing Data'!$C$2:$S$188,13)</f>
        <v>0</v>
      </c>
      <c r="AD43" s="6">
        <f>VLOOKUP($C43,'Food Pairing Data'!$C$2:$S$188,14)</f>
        <v>0</v>
      </c>
      <c r="AE43" s="6">
        <f>VLOOKUP($C43,'Food Pairing Data'!$C$2:$S$188,15)</f>
        <v>0</v>
      </c>
      <c r="AF43" s="6">
        <f>VLOOKUP($C43,'Food Pairing Data'!$C$2:$S$188,16)</f>
        <v>0</v>
      </c>
      <c r="AG43" s="6">
        <f>VLOOKUP($C43,'Food Pairing Data'!$C$2:$S$188,17)</f>
        <v>0</v>
      </c>
      <c r="AH43" s="6" t="s">
        <v>348</v>
      </c>
      <c r="AI43" s="6" t="s">
        <v>163</v>
      </c>
    </row>
    <row r="44" spans="1:35" ht="14">
      <c r="A44" s="6">
        <f t="shared" si="1"/>
        <v>42</v>
      </c>
      <c r="B44" s="6" t="s">
        <v>245</v>
      </c>
      <c r="C44" s="6" t="s">
        <v>355</v>
      </c>
      <c r="D44" s="6" t="s">
        <v>163</v>
      </c>
      <c r="E44" s="22">
        <f>HLOOKUP('Output (Entree)'!$F$4,'Raw Data (Entree)'!$U$2:$BP$88,(A44+1),)</f>
        <v>1</v>
      </c>
      <c r="F44" s="23">
        <f>IF(D44='Output (Entree)'!$B$4,1,0)</f>
        <v>1</v>
      </c>
      <c r="G44" s="23">
        <f>IF(L44&lt;='Output (Entree)'!$C$4,(200-'Raw Data (Entree)'!L44),0)</f>
        <v>192.01</v>
      </c>
      <c r="H44" s="23">
        <v>3</v>
      </c>
      <c r="I44" s="24">
        <f>SUMPRODUCT(F44:H44,'Output (Entree)'!$B$5:$D$5)*E44</f>
        <v>40.602000000000004</v>
      </c>
      <c r="J44" s="25">
        <v>0</v>
      </c>
      <c r="K44" s="49">
        <f t="shared" si="0"/>
        <v>0</v>
      </c>
      <c r="L44" s="20">
        <v>7.99</v>
      </c>
      <c r="M44" s="6" t="s">
        <v>339</v>
      </c>
      <c r="N44" s="6" t="s">
        <v>356</v>
      </c>
      <c r="O44" s="6" t="s">
        <v>282</v>
      </c>
      <c r="P44" s="6" t="s">
        <v>358</v>
      </c>
      <c r="Q44" s="26">
        <v>12</v>
      </c>
      <c r="R44" s="6" t="s">
        <v>359</v>
      </c>
      <c r="S44" s="6" t="s">
        <v>353</v>
      </c>
      <c r="T44" s="6" t="s">
        <v>190</v>
      </c>
      <c r="U44" s="6">
        <f>VLOOKUP($C44,'Food Pairing Data'!$C$2:$S$188,5)</f>
        <v>0</v>
      </c>
      <c r="V44" s="6">
        <f>VLOOKUP($C44,'Food Pairing Data'!$C$2:$S$188,6)</f>
        <v>0</v>
      </c>
      <c r="W44" s="6">
        <f>VLOOKUP($C44,'Food Pairing Data'!$C$2:$S$188,7)</f>
        <v>1</v>
      </c>
      <c r="X44" s="6">
        <f>VLOOKUP($C44,'Food Pairing Data'!$C$2:$S$188,8)</f>
        <v>1</v>
      </c>
      <c r="Y44" s="6">
        <f>VLOOKUP($C44,'Food Pairing Data'!$C$2:$S$188,9)</f>
        <v>0</v>
      </c>
      <c r="Z44" s="6">
        <f>VLOOKUP($C44,'Food Pairing Data'!$C$2:$S$188,10)</f>
        <v>0</v>
      </c>
      <c r="AA44" s="6">
        <f>VLOOKUP($C44,'Food Pairing Data'!$C$2:$S$188,11)</f>
        <v>0</v>
      </c>
      <c r="AB44" s="6">
        <f>VLOOKUP($C44,'Food Pairing Data'!$C$2:$S$188,12)</f>
        <v>0</v>
      </c>
      <c r="AC44" s="6">
        <f>VLOOKUP($C44,'Food Pairing Data'!$C$2:$S$188,13)</f>
        <v>0</v>
      </c>
      <c r="AD44" s="6">
        <f>VLOOKUP($C44,'Food Pairing Data'!$C$2:$S$188,14)</f>
        <v>0</v>
      </c>
      <c r="AE44" s="6">
        <f>VLOOKUP($C44,'Food Pairing Data'!$C$2:$S$188,15)</f>
        <v>0</v>
      </c>
      <c r="AF44" s="6">
        <f>VLOOKUP($C44,'Food Pairing Data'!$C$2:$S$188,16)</f>
        <v>0</v>
      </c>
      <c r="AG44" s="6">
        <f>VLOOKUP($C44,'Food Pairing Data'!$C$2:$S$188,17)</f>
        <v>0</v>
      </c>
      <c r="AH44" s="6" t="s">
        <v>355</v>
      </c>
      <c r="AI44" s="6" t="s">
        <v>163</v>
      </c>
    </row>
    <row r="45" spans="1:35" ht="14">
      <c r="A45" s="6">
        <f t="shared" si="1"/>
        <v>43</v>
      </c>
      <c r="B45" s="6" t="s">
        <v>245</v>
      </c>
      <c r="C45" s="6" t="s">
        <v>360</v>
      </c>
      <c r="D45" s="6" t="s">
        <v>163</v>
      </c>
      <c r="E45" s="22">
        <f>HLOOKUP('Output (Entree)'!$F$4,'Raw Data (Entree)'!$U$2:$BP$88,(A45+1),)</f>
        <v>0</v>
      </c>
      <c r="F45" s="23">
        <f>IF(D45='Output (Entree)'!$B$4,1,0)</f>
        <v>1</v>
      </c>
      <c r="G45" s="23">
        <f>IF(L45&lt;='Output (Entree)'!$C$4,(200-'Raw Data (Entree)'!L45),0)</f>
        <v>192.01</v>
      </c>
      <c r="H45" s="23">
        <v>3</v>
      </c>
      <c r="I45" s="24">
        <f>SUMPRODUCT(F45:H45,'Output (Entree)'!$B$5:$D$5)*E45</f>
        <v>0</v>
      </c>
      <c r="J45" s="25">
        <v>0</v>
      </c>
      <c r="K45" s="49">
        <f t="shared" si="0"/>
        <v>0</v>
      </c>
      <c r="L45" s="20">
        <v>7.99</v>
      </c>
      <c r="M45" s="6" t="s">
        <v>361</v>
      </c>
      <c r="N45" s="6" t="s">
        <v>362</v>
      </c>
      <c r="O45" s="6" t="s">
        <v>363</v>
      </c>
      <c r="P45" s="6" t="s">
        <v>344</v>
      </c>
      <c r="Q45" s="26">
        <v>13</v>
      </c>
      <c r="R45" s="6" t="s">
        <v>340</v>
      </c>
      <c r="S45" s="6" t="s">
        <v>193</v>
      </c>
      <c r="T45" s="6" t="s">
        <v>190</v>
      </c>
      <c r="U45" s="6">
        <f>VLOOKUP($C45,'Food Pairing Data'!$C$2:$S$188,5)</f>
        <v>0</v>
      </c>
      <c r="V45" s="6">
        <f>VLOOKUP($C45,'Food Pairing Data'!$C$2:$S$188,6)</f>
        <v>0</v>
      </c>
      <c r="W45" s="6">
        <f>VLOOKUP($C45,'Food Pairing Data'!$C$2:$S$188,7)</f>
        <v>0</v>
      </c>
      <c r="X45" s="6">
        <f>VLOOKUP($C45,'Food Pairing Data'!$C$2:$S$188,8)</f>
        <v>0</v>
      </c>
      <c r="Y45" s="6">
        <f>VLOOKUP($C45,'Food Pairing Data'!$C$2:$S$188,9)</f>
        <v>0</v>
      </c>
      <c r="Z45" s="6">
        <f>VLOOKUP($C45,'Food Pairing Data'!$C$2:$S$188,10)</f>
        <v>0</v>
      </c>
      <c r="AA45" s="6">
        <f>VLOOKUP($C45,'Food Pairing Data'!$C$2:$S$188,11)</f>
        <v>0</v>
      </c>
      <c r="AB45" s="6">
        <f>VLOOKUP($C45,'Food Pairing Data'!$C$2:$S$188,12)</f>
        <v>0</v>
      </c>
      <c r="AC45" s="6">
        <f>VLOOKUP($C45,'Food Pairing Data'!$C$2:$S$188,13)</f>
        <v>0</v>
      </c>
      <c r="AD45" s="6">
        <f>VLOOKUP($C45,'Food Pairing Data'!$C$2:$S$188,14)</f>
        <v>1</v>
      </c>
      <c r="AE45" s="6">
        <f>VLOOKUP($C45,'Food Pairing Data'!$C$2:$S$188,15)</f>
        <v>0</v>
      </c>
      <c r="AF45" s="6">
        <f>VLOOKUP($C45,'Food Pairing Data'!$C$2:$S$188,16)</f>
        <v>0</v>
      </c>
      <c r="AG45" s="6">
        <f>VLOOKUP($C45,'Food Pairing Data'!$C$2:$S$188,17)</f>
        <v>0</v>
      </c>
      <c r="AH45" s="6" t="s">
        <v>360</v>
      </c>
      <c r="AI45" s="6" t="s">
        <v>163</v>
      </c>
    </row>
    <row r="46" spans="1:35" ht="14">
      <c r="A46" s="6">
        <f t="shared" si="1"/>
        <v>44</v>
      </c>
      <c r="B46" s="6" t="s">
        <v>245</v>
      </c>
      <c r="C46" s="6" t="s">
        <v>368</v>
      </c>
      <c r="D46" s="6" t="s">
        <v>163</v>
      </c>
      <c r="E46" s="22">
        <f>HLOOKUP('Output (Entree)'!$F$4,'Raw Data (Entree)'!$U$2:$BP$88,(A46+1),)</f>
        <v>0</v>
      </c>
      <c r="F46" s="23">
        <f>IF(D46='Output (Entree)'!$B$4,1,0)</f>
        <v>1</v>
      </c>
      <c r="G46" s="23">
        <f>IF(L46&lt;='Output (Entree)'!$C$4,(200-'Raw Data (Entree)'!L46),0)</f>
        <v>192.01</v>
      </c>
      <c r="H46" s="23">
        <v>3</v>
      </c>
      <c r="I46" s="24">
        <f>SUMPRODUCT(F46:H46,'Output (Entree)'!$B$5:$D$5)*E46</f>
        <v>0</v>
      </c>
      <c r="J46" s="25">
        <v>0</v>
      </c>
      <c r="K46" s="49">
        <f t="shared" si="0"/>
        <v>0</v>
      </c>
      <c r="L46" s="20">
        <v>7.99</v>
      </c>
      <c r="M46" s="6" t="s">
        <v>264</v>
      </c>
      <c r="N46" s="6" t="s">
        <v>369</v>
      </c>
      <c r="O46" s="6" t="s">
        <v>266</v>
      </c>
      <c r="P46" s="6" t="s">
        <v>371</v>
      </c>
      <c r="Q46" s="26">
        <v>13.5</v>
      </c>
      <c r="R46" s="6" t="s">
        <v>195</v>
      </c>
      <c r="S46" s="6" t="s">
        <v>193</v>
      </c>
      <c r="T46" s="6" t="s">
        <v>190</v>
      </c>
      <c r="U46" s="6">
        <f>VLOOKUP($C46,'Food Pairing Data'!$C$2:$S$188,5)</f>
        <v>0</v>
      </c>
      <c r="V46" s="6">
        <f>VLOOKUP($C46,'Food Pairing Data'!$C$2:$S$188,6)</f>
        <v>0</v>
      </c>
      <c r="W46" s="6">
        <f>VLOOKUP($C46,'Food Pairing Data'!$C$2:$S$188,7)</f>
        <v>0</v>
      </c>
      <c r="X46" s="6">
        <f>VLOOKUP($C46,'Food Pairing Data'!$C$2:$S$188,8)</f>
        <v>0</v>
      </c>
      <c r="Y46" s="6">
        <f>VLOOKUP($C46,'Food Pairing Data'!$C$2:$S$188,9)</f>
        <v>0</v>
      </c>
      <c r="Z46" s="6">
        <f>VLOOKUP($C46,'Food Pairing Data'!$C$2:$S$188,10)</f>
        <v>0</v>
      </c>
      <c r="AA46" s="6">
        <f>VLOOKUP($C46,'Food Pairing Data'!$C$2:$S$188,11)</f>
        <v>0</v>
      </c>
      <c r="AB46" s="6">
        <f>VLOOKUP($C46,'Food Pairing Data'!$C$2:$S$188,12)</f>
        <v>0</v>
      </c>
      <c r="AC46" s="6">
        <f>VLOOKUP($C46,'Food Pairing Data'!$C$2:$S$188,13)</f>
        <v>0</v>
      </c>
      <c r="AD46" s="6">
        <f>VLOOKUP($C46,'Food Pairing Data'!$C$2:$S$188,14)</f>
        <v>1</v>
      </c>
      <c r="AE46" s="6">
        <f>VLOOKUP($C46,'Food Pairing Data'!$C$2:$S$188,15)</f>
        <v>0</v>
      </c>
      <c r="AF46" s="6">
        <f>VLOOKUP($C46,'Food Pairing Data'!$C$2:$S$188,16)</f>
        <v>0</v>
      </c>
      <c r="AG46" s="6">
        <f>VLOOKUP($C46,'Food Pairing Data'!$C$2:$S$188,17)</f>
        <v>0</v>
      </c>
      <c r="AH46" s="6" t="s">
        <v>368</v>
      </c>
      <c r="AI46" s="6" t="s">
        <v>163</v>
      </c>
    </row>
    <row r="47" spans="1:35" ht="14">
      <c r="A47" s="6">
        <f t="shared" si="1"/>
        <v>45</v>
      </c>
      <c r="B47" s="6" t="s">
        <v>181</v>
      </c>
      <c r="C47" s="6" t="s">
        <v>372</v>
      </c>
      <c r="D47" s="6" t="s">
        <v>163</v>
      </c>
      <c r="E47" s="22">
        <f>HLOOKUP('Output (Entree)'!$F$4,'Raw Data (Entree)'!$U$2:$BP$88,(A47+1),)</f>
        <v>0</v>
      </c>
      <c r="F47" s="23">
        <f>IF(D47='Output (Entree)'!$B$4,1,0)</f>
        <v>1</v>
      </c>
      <c r="G47" s="23">
        <f>IF(L47&lt;='Output (Entree)'!$C$4,(200-'Raw Data (Entree)'!L47),0)</f>
        <v>168.01</v>
      </c>
      <c r="H47" s="23">
        <v>2.5</v>
      </c>
      <c r="I47" s="24">
        <f>SUMPRODUCT(F47:H47,'Output (Entree)'!$B$5:$D$5)*E47</f>
        <v>0</v>
      </c>
      <c r="J47" s="25">
        <v>0</v>
      </c>
      <c r="K47" s="49">
        <f t="shared" si="0"/>
        <v>0</v>
      </c>
      <c r="L47" s="20">
        <v>31.99</v>
      </c>
      <c r="M47" s="6" t="s">
        <v>339</v>
      </c>
      <c r="N47" s="6" t="s">
        <v>373</v>
      </c>
      <c r="O47" s="6" t="s">
        <v>374</v>
      </c>
      <c r="P47" s="6" t="s">
        <v>358</v>
      </c>
      <c r="Q47" s="26">
        <v>14</v>
      </c>
      <c r="R47" s="6" t="s">
        <v>359</v>
      </c>
      <c r="S47" s="6" t="s">
        <v>353</v>
      </c>
      <c r="T47" s="6" t="s">
        <v>354</v>
      </c>
      <c r="U47" s="6">
        <f>VLOOKUP($C47,'Food Pairing Data'!$C$2:$S$188,5)</f>
        <v>0</v>
      </c>
      <c r="V47" s="6">
        <f>VLOOKUP($C47,'Food Pairing Data'!$C$2:$S$188,6)</f>
        <v>0</v>
      </c>
      <c r="W47" s="6">
        <f>VLOOKUP($C47,'Food Pairing Data'!$C$2:$S$188,7)</f>
        <v>0</v>
      </c>
      <c r="X47" s="6">
        <f>VLOOKUP($C47,'Food Pairing Data'!$C$2:$S$188,8)</f>
        <v>0</v>
      </c>
      <c r="Y47" s="6">
        <f>VLOOKUP($C47,'Food Pairing Data'!$C$2:$S$188,9)</f>
        <v>0</v>
      </c>
      <c r="Z47" s="6">
        <f>VLOOKUP($C47,'Food Pairing Data'!$C$2:$S$188,10)</f>
        <v>0</v>
      </c>
      <c r="AA47" s="6">
        <f>VLOOKUP($C47,'Food Pairing Data'!$C$2:$S$188,11)</f>
        <v>0</v>
      </c>
      <c r="AB47" s="6">
        <f>VLOOKUP($C47,'Food Pairing Data'!$C$2:$S$188,12)</f>
        <v>0</v>
      </c>
      <c r="AC47" s="6">
        <f>VLOOKUP($C47,'Food Pairing Data'!$C$2:$S$188,13)</f>
        <v>0</v>
      </c>
      <c r="AD47" s="6">
        <f>VLOOKUP($C47,'Food Pairing Data'!$C$2:$S$188,14)</f>
        <v>1</v>
      </c>
      <c r="AE47" s="6">
        <f>VLOOKUP($C47,'Food Pairing Data'!$C$2:$S$188,15)</f>
        <v>0</v>
      </c>
      <c r="AF47" s="6">
        <f>VLOOKUP($C47,'Food Pairing Data'!$C$2:$S$188,16)</f>
        <v>0</v>
      </c>
      <c r="AG47" s="6">
        <f>VLOOKUP($C47,'Food Pairing Data'!$C$2:$S$188,17)</f>
        <v>0</v>
      </c>
      <c r="AH47" s="6" t="s">
        <v>372</v>
      </c>
      <c r="AI47" s="6" t="s">
        <v>163</v>
      </c>
    </row>
    <row r="48" spans="1:35" ht="14">
      <c r="A48" s="6">
        <f t="shared" si="1"/>
        <v>46</v>
      </c>
      <c r="B48" s="6" t="s">
        <v>181</v>
      </c>
      <c r="C48" s="6" t="s">
        <v>379</v>
      </c>
      <c r="D48" s="6" t="s">
        <v>380</v>
      </c>
      <c r="E48" s="22">
        <f>HLOOKUP('Output (Entree)'!$F$4,'Raw Data (Entree)'!$U$2:$BP$88,(A48+1),)</f>
        <v>0</v>
      </c>
      <c r="F48" s="23">
        <f>IF(D48='Output (Entree)'!$B$4,1,0)</f>
        <v>0</v>
      </c>
      <c r="G48" s="23">
        <f>IF(L48&lt;='Output (Entree)'!$C$4,(200-'Raw Data (Entree)'!L48),0)</f>
        <v>170.01</v>
      </c>
      <c r="H48" s="23">
        <v>5</v>
      </c>
      <c r="I48" s="24">
        <f>SUMPRODUCT(F48:H48,'Output (Entree)'!$B$5:$D$5)*E48</f>
        <v>0</v>
      </c>
      <c r="J48" s="25">
        <v>0</v>
      </c>
      <c r="K48" s="49">
        <f t="shared" si="0"/>
        <v>0</v>
      </c>
      <c r="L48" s="20">
        <v>29.99</v>
      </c>
      <c r="M48" s="6" t="s">
        <v>361</v>
      </c>
      <c r="N48" s="6" t="s">
        <v>381</v>
      </c>
      <c r="O48" s="6" t="s">
        <v>382</v>
      </c>
      <c r="P48" s="6" t="s">
        <v>383</v>
      </c>
      <c r="Q48" s="26">
        <v>13</v>
      </c>
      <c r="R48" s="6" t="s">
        <v>190</v>
      </c>
      <c r="S48" s="6" t="s">
        <v>384</v>
      </c>
      <c r="T48" s="6" t="s">
        <v>354</v>
      </c>
      <c r="U48" s="6">
        <f>VLOOKUP($C48,'Food Pairing Data'!$C$2:$S$188,5)</f>
        <v>0</v>
      </c>
      <c r="V48" s="6">
        <f>VLOOKUP($C48,'Food Pairing Data'!$C$2:$S$188,6)</f>
        <v>0</v>
      </c>
      <c r="W48" s="6">
        <f>VLOOKUP($C48,'Food Pairing Data'!$C$2:$S$188,7)</f>
        <v>0</v>
      </c>
      <c r="X48" s="6">
        <f>VLOOKUP($C48,'Food Pairing Data'!$C$2:$S$188,8)</f>
        <v>0</v>
      </c>
      <c r="Y48" s="6">
        <f>VLOOKUP($C48,'Food Pairing Data'!$C$2:$S$188,9)</f>
        <v>0</v>
      </c>
      <c r="Z48" s="6">
        <f>VLOOKUP($C48,'Food Pairing Data'!$C$2:$S$188,10)</f>
        <v>0</v>
      </c>
      <c r="AA48" s="6">
        <f>VLOOKUP($C48,'Food Pairing Data'!$C$2:$S$188,11)</f>
        <v>0</v>
      </c>
      <c r="AB48" s="6">
        <f>VLOOKUP($C48,'Food Pairing Data'!$C$2:$S$188,12)</f>
        <v>0</v>
      </c>
      <c r="AC48" s="6">
        <f>VLOOKUP($C48,'Food Pairing Data'!$C$2:$S$188,13)</f>
        <v>0</v>
      </c>
      <c r="AD48" s="6">
        <f>VLOOKUP($C48,'Food Pairing Data'!$C$2:$S$188,14)</f>
        <v>1</v>
      </c>
      <c r="AE48" s="6">
        <f>VLOOKUP($C48,'Food Pairing Data'!$C$2:$S$188,15)</f>
        <v>0</v>
      </c>
      <c r="AF48" s="6">
        <f>VLOOKUP($C48,'Food Pairing Data'!$C$2:$S$188,16)</f>
        <v>0</v>
      </c>
      <c r="AG48" s="6">
        <f>VLOOKUP($C48,'Food Pairing Data'!$C$2:$S$188,17)</f>
        <v>0</v>
      </c>
      <c r="AH48" s="6" t="s">
        <v>379</v>
      </c>
      <c r="AI48" s="6" t="s">
        <v>380</v>
      </c>
    </row>
    <row r="49" spans="1:35" ht="14">
      <c r="A49" s="6">
        <f t="shared" si="1"/>
        <v>47</v>
      </c>
      <c r="B49" s="6" t="s">
        <v>23</v>
      </c>
      <c r="C49" s="6" t="s">
        <v>385</v>
      </c>
      <c r="D49" s="6" t="s">
        <v>380</v>
      </c>
      <c r="E49" s="22">
        <f>HLOOKUP('Output (Entree)'!$F$4,'Raw Data (Entree)'!$U$2:$BP$88,(A49+1),)</f>
        <v>0</v>
      </c>
      <c r="F49" s="23">
        <f>IF(D49='Output (Entree)'!$B$4,1,0)</f>
        <v>0</v>
      </c>
      <c r="G49" s="23">
        <f>IF(L49&lt;='Output (Entree)'!$C$4,(200-'Raw Data (Entree)'!L49),0)</f>
        <v>189.01</v>
      </c>
      <c r="H49" s="23">
        <v>5</v>
      </c>
      <c r="I49" s="24">
        <f>SUMPRODUCT(F49:H49,'Output (Entree)'!$B$5:$D$5)*E49</f>
        <v>0</v>
      </c>
      <c r="J49" s="25">
        <v>0</v>
      </c>
      <c r="K49" s="49">
        <f t="shared" si="0"/>
        <v>0</v>
      </c>
      <c r="L49" s="20">
        <v>10.99</v>
      </c>
      <c r="M49" s="6" t="s">
        <v>361</v>
      </c>
      <c r="N49" s="6" t="s">
        <v>430</v>
      </c>
      <c r="O49" s="6" t="s">
        <v>382</v>
      </c>
      <c r="P49" s="6" t="s">
        <v>431</v>
      </c>
      <c r="Q49" s="26">
        <v>13</v>
      </c>
      <c r="R49" s="6" t="s">
        <v>195</v>
      </c>
      <c r="S49" s="6" t="s">
        <v>190</v>
      </c>
      <c r="T49" s="6" t="s">
        <v>199</v>
      </c>
      <c r="U49" s="6">
        <f>VLOOKUP($C49,'Food Pairing Data'!$C$2:$S$188,5)</f>
        <v>0</v>
      </c>
      <c r="V49" s="6">
        <f>VLOOKUP($C49,'Food Pairing Data'!$C$2:$S$188,6)</f>
        <v>0</v>
      </c>
      <c r="W49" s="6">
        <f>VLOOKUP($C49,'Food Pairing Data'!$C$2:$S$188,7)</f>
        <v>0</v>
      </c>
      <c r="X49" s="6">
        <f>VLOOKUP($C49,'Food Pairing Data'!$C$2:$S$188,8)</f>
        <v>0</v>
      </c>
      <c r="Y49" s="6">
        <f>VLOOKUP($C49,'Food Pairing Data'!$C$2:$S$188,9)</f>
        <v>0</v>
      </c>
      <c r="Z49" s="6">
        <f>VLOOKUP($C49,'Food Pairing Data'!$C$2:$S$188,10)</f>
        <v>0</v>
      </c>
      <c r="AA49" s="6">
        <f>VLOOKUP($C49,'Food Pairing Data'!$C$2:$S$188,11)</f>
        <v>0</v>
      </c>
      <c r="AB49" s="6">
        <f>VLOOKUP($C49,'Food Pairing Data'!$C$2:$S$188,12)</f>
        <v>0</v>
      </c>
      <c r="AC49" s="6">
        <f>VLOOKUP($C49,'Food Pairing Data'!$C$2:$S$188,13)</f>
        <v>0</v>
      </c>
      <c r="AD49" s="6">
        <f>VLOOKUP($C49,'Food Pairing Data'!$C$2:$S$188,14)</f>
        <v>1</v>
      </c>
      <c r="AE49" s="6">
        <f>VLOOKUP($C49,'Food Pairing Data'!$C$2:$S$188,15)</f>
        <v>0</v>
      </c>
      <c r="AF49" s="6">
        <f>VLOOKUP($C49,'Food Pairing Data'!$C$2:$S$188,16)</f>
        <v>0</v>
      </c>
      <c r="AG49" s="6">
        <f>VLOOKUP($C49,'Food Pairing Data'!$C$2:$S$188,17)</f>
        <v>0</v>
      </c>
      <c r="AH49" s="6" t="s">
        <v>385</v>
      </c>
      <c r="AI49" s="6" t="s">
        <v>380</v>
      </c>
    </row>
    <row r="50" spans="1:35" ht="14">
      <c r="A50" s="6">
        <f t="shared" si="1"/>
        <v>48</v>
      </c>
      <c r="B50" s="6" t="s">
        <v>245</v>
      </c>
      <c r="C50" s="6" t="s">
        <v>432</v>
      </c>
      <c r="D50" s="6" t="s">
        <v>380</v>
      </c>
      <c r="E50" s="22">
        <f>HLOOKUP('Output (Entree)'!$F$4,'Raw Data (Entree)'!$U$2:$BP$88,(A50+1),)</f>
        <v>0</v>
      </c>
      <c r="F50" s="23">
        <f>IF(D50='Output (Entree)'!$B$4,1,0)</f>
        <v>0</v>
      </c>
      <c r="G50" s="23">
        <f>IF(L50&lt;='Output (Entree)'!$C$4,(200-'Raw Data (Entree)'!L50),0)</f>
        <v>191.01</v>
      </c>
      <c r="H50" s="23">
        <v>5</v>
      </c>
      <c r="I50" s="24">
        <f>SUMPRODUCT(F50:H50,'Output (Entree)'!$B$5:$D$5)*E50</f>
        <v>0</v>
      </c>
      <c r="J50" s="25">
        <v>0</v>
      </c>
      <c r="K50" s="49">
        <f t="shared" si="0"/>
        <v>0</v>
      </c>
      <c r="L50" s="20">
        <v>8.99</v>
      </c>
      <c r="M50" s="6" t="s">
        <v>197</v>
      </c>
      <c r="N50" s="6" t="s">
        <v>198</v>
      </c>
      <c r="O50" s="6" t="s">
        <v>433</v>
      </c>
      <c r="P50" s="6" t="s">
        <v>275</v>
      </c>
      <c r="Q50" s="26">
        <v>6</v>
      </c>
      <c r="R50" s="6" t="s">
        <v>435</v>
      </c>
      <c r="S50" s="6" t="s">
        <v>436</v>
      </c>
      <c r="T50" s="6" t="s">
        <v>192</v>
      </c>
      <c r="U50" s="6">
        <f>VLOOKUP($C50,'Food Pairing Data'!$C$2:$S$188,5)</f>
        <v>0</v>
      </c>
      <c r="V50" s="6">
        <f>VLOOKUP($C50,'Food Pairing Data'!$C$2:$S$188,6)</f>
        <v>0</v>
      </c>
      <c r="W50" s="6">
        <f>VLOOKUP($C50,'Food Pairing Data'!$C$2:$S$188,7)</f>
        <v>0</v>
      </c>
      <c r="X50" s="6">
        <f>VLOOKUP($C50,'Food Pairing Data'!$C$2:$S$188,8)</f>
        <v>0</v>
      </c>
      <c r="Y50" s="6">
        <f>VLOOKUP($C50,'Food Pairing Data'!$C$2:$S$188,9)</f>
        <v>0</v>
      </c>
      <c r="Z50" s="6">
        <f>VLOOKUP($C50,'Food Pairing Data'!$C$2:$S$188,10)</f>
        <v>0</v>
      </c>
      <c r="AA50" s="6">
        <f>VLOOKUP($C50,'Food Pairing Data'!$C$2:$S$188,11)</f>
        <v>0</v>
      </c>
      <c r="AB50" s="6">
        <f>VLOOKUP($C50,'Food Pairing Data'!$C$2:$S$188,12)</f>
        <v>0</v>
      </c>
      <c r="AC50" s="6">
        <f>VLOOKUP($C50,'Food Pairing Data'!$C$2:$S$188,13)</f>
        <v>0</v>
      </c>
      <c r="AD50" s="6">
        <f>VLOOKUP($C50,'Food Pairing Data'!$C$2:$S$188,14)</f>
        <v>1</v>
      </c>
      <c r="AE50" s="6">
        <f>VLOOKUP($C50,'Food Pairing Data'!$C$2:$S$188,15)</f>
        <v>0</v>
      </c>
      <c r="AF50" s="6">
        <f>VLOOKUP($C50,'Food Pairing Data'!$C$2:$S$188,16)</f>
        <v>0</v>
      </c>
      <c r="AG50" s="6">
        <f>VLOOKUP($C50,'Food Pairing Data'!$C$2:$S$188,17)</f>
        <v>0</v>
      </c>
      <c r="AH50" s="6" t="s">
        <v>432</v>
      </c>
      <c r="AI50" s="6" t="s">
        <v>380</v>
      </c>
    </row>
    <row r="51" spans="1:35" ht="14">
      <c r="A51" s="6">
        <f t="shared" si="1"/>
        <v>49</v>
      </c>
      <c r="B51" s="6" t="s">
        <v>245</v>
      </c>
      <c r="C51" s="6" t="s">
        <v>437</v>
      </c>
      <c r="D51" s="6" t="s">
        <v>380</v>
      </c>
      <c r="E51" s="22">
        <f>HLOOKUP('Output (Entree)'!$F$4,'Raw Data (Entree)'!$U$2:$BP$88,(A51+1),)</f>
        <v>0</v>
      </c>
      <c r="F51" s="23">
        <f>IF(D51='Output (Entree)'!$B$4,1,0)</f>
        <v>0</v>
      </c>
      <c r="G51" s="23">
        <f>IF(L51&lt;='Output (Entree)'!$C$4,(200-'Raw Data (Entree)'!L51),0)</f>
        <v>193.01</v>
      </c>
      <c r="H51" s="23">
        <v>5</v>
      </c>
      <c r="I51" s="24">
        <f>SUMPRODUCT(F51:H51,'Output (Entree)'!$B$5:$D$5)*E51</f>
        <v>0</v>
      </c>
      <c r="J51" s="25">
        <v>0</v>
      </c>
      <c r="K51" s="49">
        <f t="shared" si="0"/>
        <v>0</v>
      </c>
      <c r="L51" s="20">
        <v>6.99</v>
      </c>
      <c r="M51" s="6" t="s">
        <v>438</v>
      </c>
      <c r="N51" s="6" t="s">
        <v>439</v>
      </c>
      <c r="O51" s="6" t="s">
        <v>382</v>
      </c>
      <c r="P51" s="6" t="s">
        <v>440</v>
      </c>
      <c r="Q51" s="26">
        <v>13</v>
      </c>
      <c r="R51" s="6" t="s">
        <v>441</v>
      </c>
      <c r="S51" s="6" t="s">
        <v>442</v>
      </c>
      <c r="T51" s="6" t="s">
        <v>270</v>
      </c>
      <c r="U51" s="6">
        <f>VLOOKUP($C51,'Food Pairing Data'!$C$2:$S$188,5)</f>
        <v>0</v>
      </c>
      <c r="V51" s="6">
        <f>VLOOKUP($C51,'Food Pairing Data'!$C$2:$S$188,6)</f>
        <v>0</v>
      </c>
      <c r="W51" s="6">
        <f>VLOOKUP($C51,'Food Pairing Data'!$C$2:$S$188,7)</f>
        <v>0</v>
      </c>
      <c r="X51" s="6">
        <f>VLOOKUP($C51,'Food Pairing Data'!$C$2:$S$188,8)</f>
        <v>0</v>
      </c>
      <c r="Y51" s="6">
        <f>VLOOKUP($C51,'Food Pairing Data'!$C$2:$S$188,9)</f>
        <v>0</v>
      </c>
      <c r="Z51" s="6">
        <f>VLOOKUP($C51,'Food Pairing Data'!$C$2:$S$188,10)</f>
        <v>0</v>
      </c>
      <c r="AA51" s="6">
        <f>VLOOKUP($C51,'Food Pairing Data'!$C$2:$S$188,11)</f>
        <v>0</v>
      </c>
      <c r="AB51" s="6">
        <f>VLOOKUP($C51,'Food Pairing Data'!$C$2:$S$188,12)</f>
        <v>0</v>
      </c>
      <c r="AC51" s="6">
        <f>VLOOKUP($C51,'Food Pairing Data'!$C$2:$S$188,13)</f>
        <v>0</v>
      </c>
      <c r="AD51" s="6">
        <f>VLOOKUP($C51,'Food Pairing Data'!$C$2:$S$188,14)</f>
        <v>1</v>
      </c>
      <c r="AE51" s="6">
        <f>VLOOKUP($C51,'Food Pairing Data'!$C$2:$S$188,15)</f>
        <v>0</v>
      </c>
      <c r="AF51" s="6">
        <f>VLOOKUP($C51,'Food Pairing Data'!$C$2:$S$188,16)</f>
        <v>0</v>
      </c>
      <c r="AG51" s="6">
        <f>VLOOKUP($C51,'Food Pairing Data'!$C$2:$S$188,17)</f>
        <v>0</v>
      </c>
      <c r="AH51" s="6" t="s">
        <v>437</v>
      </c>
      <c r="AI51" s="6" t="s">
        <v>380</v>
      </c>
    </row>
    <row r="52" spans="1:35" ht="14">
      <c r="A52" s="6">
        <f t="shared" si="1"/>
        <v>50</v>
      </c>
      <c r="B52" s="6" t="s">
        <v>23</v>
      </c>
      <c r="C52" s="6" t="s">
        <v>444</v>
      </c>
      <c r="D52" s="6" t="s">
        <v>380</v>
      </c>
      <c r="E52" s="22">
        <f>HLOOKUP('Output (Entree)'!$F$4,'Raw Data (Entree)'!$U$2:$BP$88,(A52+1),)</f>
        <v>0</v>
      </c>
      <c r="F52" s="23">
        <f>IF(D52='Output (Entree)'!$B$4,1,0)</f>
        <v>0</v>
      </c>
      <c r="G52" s="23">
        <f>IF(L52&lt;='Output (Entree)'!$C$4,(200-'Raw Data (Entree)'!L52),0)</f>
        <v>180.01</v>
      </c>
      <c r="H52" s="23">
        <v>5</v>
      </c>
      <c r="I52" s="24">
        <f>SUMPRODUCT(F52:H52,'Output (Entree)'!$B$5:$D$5)*E52</f>
        <v>0</v>
      </c>
      <c r="J52" s="25">
        <v>0</v>
      </c>
      <c r="K52" s="49">
        <f t="shared" si="0"/>
        <v>0</v>
      </c>
      <c r="L52" s="20">
        <v>19.989999999999998</v>
      </c>
      <c r="M52" s="6" t="s">
        <v>256</v>
      </c>
      <c r="N52" s="6" t="s">
        <v>446</v>
      </c>
      <c r="O52" s="6" t="s">
        <v>447</v>
      </c>
      <c r="P52" s="6" t="s">
        <v>448</v>
      </c>
      <c r="Q52" s="26">
        <v>12.5</v>
      </c>
      <c r="R52" s="6" t="s">
        <v>411</v>
      </c>
      <c r="S52" s="6" t="s">
        <v>450</v>
      </c>
      <c r="T52" s="6" t="s">
        <v>199</v>
      </c>
      <c r="U52" s="6">
        <f>VLOOKUP($C52,'Food Pairing Data'!$C$2:$S$188,5)</f>
        <v>0</v>
      </c>
      <c r="V52" s="6">
        <f>VLOOKUP($C52,'Food Pairing Data'!$C$2:$S$188,6)</f>
        <v>0</v>
      </c>
      <c r="W52" s="6">
        <f>VLOOKUP($C52,'Food Pairing Data'!$C$2:$S$188,7)</f>
        <v>0</v>
      </c>
      <c r="X52" s="6">
        <f>VLOOKUP($C52,'Food Pairing Data'!$C$2:$S$188,8)</f>
        <v>0</v>
      </c>
      <c r="Y52" s="6">
        <f>VLOOKUP($C52,'Food Pairing Data'!$C$2:$S$188,9)</f>
        <v>0</v>
      </c>
      <c r="Z52" s="6">
        <f>VLOOKUP($C52,'Food Pairing Data'!$C$2:$S$188,10)</f>
        <v>0</v>
      </c>
      <c r="AA52" s="6">
        <f>VLOOKUP($C52,'Food Pairing Data'!$C$2:$S$188,11)</f>
        <v>0</v>
      </c>
      <c r="AB52" s="6">
        <f>VLOOKUP($C52,'Food Pairing Data'!$C$2:$S$188,12)</f>
        <v>0</v>
      </c>
      <c r="AC52" s="6">
        <f>VLOOKUP($C52,'Food Pairing Data'!$C$2:$S$188,13)</f>
        <v>0</v>
      </c>
      <c r="AD52" s="6">
        <f>VLOOKUP($C52,'Food Pairing Data'!$C$2:$S$188,14)</f>
        <v>1</v>
      </c>
      <c r="AE52" s="6">
        <f>VLOOKUP($C52,'Food Pairing Data'!$C$2:$S$188,15)</f>
        <v>0</v>
      </c>
      <c r="AF52" s="6">
        <f>VLOOKUP($C52,'Food Pairing Data'!$C$2:$S$188,16)</f>
        <v>0</v>
      </c>
      <c r="AG52" s="6">
        <f>VLOOKUP($C52,'Food Pairing Data'!$C$2:$S$188,17)</f>
        <v>0</v>
      </c>
      <c r="AH52" s="6" t="s">
        <v>444</v>
      </c>
      <c r="AI52" s="6" t="s">
        <v>380</v>
      </c>
    </row>
    <row r="53" spans="1:35" ht="14">
      <c r="A53" s="6">
        <f t="shared" si="1"/>
        <v>51</v>
      </c>
      <c r="B53" s="6" t="s">
        <v>23</v>
      </c>
      <c r="C53" s="6" t="s">
        <v>452</v>
      </c>
      <c r="D53" s="6" t="s">
        <v>380</v>
      </c>
      <c r="E53" s="22">
        <f>HLOOKUP('Output (Entree)'!$F$4,'Raw Data (Entree)'!$U$2:$BP$88,(A53+1),)</f>
        <v>0</v>
      </c>
      <c r="F53" s="23">
        <f>IF(D53='Output (Entree)'!$B$4,1,0)</f>
        <v>0</v>
      </c>
      <c r="G53" s="23">
        <f>IF(L53&lt;='Output (Entree)'!$C$4,(200-'Raw Data (Entree)'!L53),0)</f>
        <v>181.01</v>
      </c>
      <c r="H53" s="23">
        <v>5</v>
      </c>
      <c r="I53" s="24">
        <f>SUMPRODUCT(F53:H53,'Output (Entree)'!$B$5:$D$5)*E53</f>
        <v>0</v>
      </c>
      <c r="J53" s="25">
        <v>0</v>
      </c>
      <c r="K53" s="49">
        <f t="shared" si="0"/>
        <v>0</v>
      </c>
      <c r="L53" s="20">
        <v>18.989999999999998</v>
      </c>
      <c r="M53" s="6" t="s">
        <v>453</v>
      </c>
      <c r="N53" s="6" t="s">
        <v>454</v>
      </c>
      <c r="O53" s="6" t="s">
        <v>455</v>
      </c>
      <c r="P53" s="6" t="s">
        <v>401</v>
      </c>
      <c r="Q53" s="26">
        <v>12</v>
      </c>
      <c r="R53" s="6" t="s">
        <v>411</v>
      </c>
      <c r="S53" s="6" t="s">
        <v>450</v>
      </c>
      <c r="T53" s="6" t="s">
        <v>192</v>
      </c>
      <c r="U53" s="6">
        <f>VLOOKUP($C53,'Food Pairing Data'!$C$2:$S$188,5)</f>
        <v>0</v>
      </c>
      <c r="V53" s="6">
        <f>VLOOKUP($C53,'Food Pairing Data'!$C$2:$S$188,6)</f>
        <v>0</v>
      </c>
      <c r="W53" s="6">
        <f>VLOOKUP($C53,'Food Pairing Data'!$C$2:$S$188,7)</f>
        <v>0</v>
      </c>
      <c r="X53" s="6">
        <f>VLOOKUP($C53,'Food Pairing Data'!$C$2:$S$188,8)</f>
        <v>0</v>
      </c>
      <c r="Y53" s="6">
        <f>VLOOKUP($C53,'Food Pairing Data'!$C$2:$S$188,9)</f>
        <v>0</v>
      </c>
      <c r="Z53" s="6">
        <f>VLOOKUP($C53,'Food Pairing Data'!$C$2:$S$188,10)</f>
        <v>0</v>
      </c>
      <c r="AA53" s="6">
        <f>VLOOKUP($C53,'Food Pairing Data'!$C$2:$S$188,11)</f>
        <v>0</v>
      </c>
      <c r="AB53" s="6">
        <f>VLOOKUP($C53,'Food Pairing Data'!$C$2:$S$188,12)</f>
        <v>0</v>
      </c>
      <c r="AC53" s="6">
        <f>VLOOKUP($C53,'Food Pairing Data'!$C$2:$S$188,13)</f>
        <v>0</v>
      </c>
      <c r="AD53" s="6">
        <f>VLOOKUP($C53,'Food Pairing Data'!$C$2:$S$188,14)</f>
        <v>1</v>
      </c>
      <c r="AE53" s="6">
        <f>VLOOKUP($C53,'Food Pairing Data'!$C$2:$S$188,15)</f>
        <v>0</v>
      </c>
      <c r="AF53" s="6">
        <f>VLOOKUP($C53,'Food Pairing Data'!$C$2:$S$188,16)</f>
        <v>0</v>
      </c>
      <c r="AG53" s="6">
        <f>VLOOKUP($C53,'Food Pairing Data'!$C$2:$S$188,17)</f>
        <v>0</v>
      </c>
      <c r="AH53" s="6" t="s">
        <v>452</v>
      </c>
      <c r="AI53" s="6" t="s">
        <v>380</v>
      </c>
    </row>
    <row r="54" spans="1:35" ht="14">
      <c r="A54" s="6">
        <f t="shared" si="1"/>
        <v>52</v>
      </c>
      <c r="B54" s="6" t="s">
        <v>23</v>
      </c>
      <c r="C54" s="6" t="s">
        <v>459</v>
      </c>
      <c r="D54" s="6" t="s">
        <v>380</v>
      </c>
      <c r="E54" s="22">
        <f>HLOOKUP('Output (Entree)'!$F$4,'Raw Data (Entree)'!$U$2:$BP$88,(A54+1),)</f>
        <v>0</v>
      </c>
      <c r="F54" s="23">
        <f>IF(D54='Output (Entree)'!$B$4,1,0)</f>
        <v>0</v>
      </c>
      <c r="G54" s="23">
        <f>IF(L54&lt;='Output (Entree)'!$C$4,(200-'Raw Data (Entree)'!L54),0)</f>
        <v>183.01</v>
      </c>
      <c r="H54" s="23">
        <v>5</v>
      </c>
      <c r="I54" s="24">
        <f>SUMPRODUCT(F54:H54,'Output (Entree)'!$B$5:$D$5)*E54</f>
        <v>0</v>
      </c>
      <c r="J54" s="25">
        <v>0</v>
      </c>
      <c r="K54" s="49">
        <f t="shared" si="0"/>
        <v>0</v>
      </c>
      <c r="L54" s="20">
        <v>16.989999999999998</v>
      </c>
      <c r="M54" s="6" t="s">
        <v>361</v>
      </c>
      <c r="N54" s="6" t="s">
        <v>461</v>
      </c>
      <c r="O54" s="6" t="s">
        <v>462</v>
      </c>
      <c r="P54" s="6" t="s">
        <v>463</v>
      </c>
      <c r="Q54" s="26">
        <v>12.5</v>
      </c>
      <c r="R54" s="6" t="s">
        <v>464</v>
      </c>
      <c r="S54" s="6" t="s">
        <v>465</v>
      </c>
      <c r="T54" s="6" t="s">
        <v>359</v>
      </c>
      <c r="U54" s="6">
        <f>VLOOKUP($C54,'Food Pairing Data'!$C$2:$S$188,5)</f>
        <v>0</v>
      </c>
      <c r="V54" s="6">
        <f>VLOOKUP($C54,'Food Pairing Data'!$C$2:$S$188,6)</f>
        <v>0</v>
      </c>
      <c r="W54" s="6">
        <f>VLOOKUP($C54,'Food Pairing Data'!$C$2:$S$188,7)</f>
        <v>0</v>
      </c>
      <c r="X54" s="6">
        <f>VLOOKUP($C54,'Food Pairing Data'!$C$2:$S$188,8)</f>
        <v>1</v>
      </c>
      <c r="Y54" s="6">
        <f>VLOOKUP($C54,'Food Pairing Data'!$C$2:$S$188,9)</f>
        <v>0</v>
      </c>
      <c r="Z54" s="6">
        <f>VLOOKUP($C54,'Food Pairing Data'!$C$2:$S$188,10)</f>
        <v>1</v>
      </c>
      <c r="AA54" s="6">
        <f>VLOOKUP($C54,'Food Pairing Data'!$C$2:$S$188,11)</f>
        <v>0</v>
      </c>
      <c r="AB54" s="6">
        <f>VLOOKUP($C54,'Food Pairing Data'!$C$2:$S$188,12)</f>
        <v>0</v>
      </c>
      <c r="AC54" s="6">
        <f>VLOOKUP($C54,'Food Pairing Data'!$C$2:$S$188,13)</f>
        <v>0</v>
      </c>
      <c r="AD54" s="6">
        <f>VLOOKUP($C54,'Food Pairing Data'!$C$2:$S$188,14)</f>
        <v>0</v>
      </c>
      <c r="AE54" s="6">
        <f>VLOOKUP($C54,'Food Pairing Data'!$C$2:$S$188,15)</f>
        <v>0</v>
      </c>
      <c r="AF54" s="6">
        <f>VLOOKUP($C54,'Food Pairing Data'!$C$2:$S$188,16)</f>
        <v>0</v>
      </c>
      <c r="AG54" s="6">
        <f>VLOOKUP($C54,'Food Pairing Data'!$C$2:$S$188,17)</f>
        <v>0</v>
      </c>
      <c r="AH54" s="6" t="s">
        <v>459</v>
      </c>
      <c r="AI54" s="6" t="s">
        <v>380</v>
      </c>
    </row>
    <row r="55" spans="1:35" ht="14">
      <c r="A55" s="6">
        <f t="shared" si="1"/>
        <v>53</v>
      </c>
      <c r="B55" s="6" t="s">
        <v>245</v>
      </c>
      <c r="C55" s="6" t="s">
        <v>467</v>
      </c>
      <c r="D55" s="6" t="s">
        <v>380</v>
      </c>
      <c r="E55" s="22">
        <f>HLOOKUP('Output (Entree)'!$F$4,'Raw Data (Entree)'!$U$2:$BP$88,(A55+1),)</f>
        <v>0</v>
      </c>
      <c r="F55" s="23">
        <f>IF(D55='Output (Entree)'!$B$4,1,0)</f>
        <v>0</v>
      </c>
      <c r="G55" s="23">
        <f>IF(L55&lt;='Output (Entree)'!$C$4,(200-'Raw Data (Entree)'!L55),0)</f>
        <v>191.01</v>
      </c>
      <c r="H55" s="23">
        <v>4.5</v>
      </c>
      <c r="I55" s="24">
        <f>SUMPRODUCT(F55:H55,'Output (Entree)'!$B$5:$D$5)*E55</f>
        <v>0</v>
      </c>
      <c r="J55" s="25">
        <v>0</v>
      </c>
      <c r="K55" s="49">
        <f t="shared" si="0"/>
        <v>0</v>
      </c>
      <c r="L55" s="20">
        <v>8.99</v>
      </c>
      <c r="M55" s="6" t="s">
        <v>361</v>
      </c>
      <c r="N55" s="6" t="s">
        <v>468</v>
      </c>
      <c r="O55" s="6" t="s">
        <v>469</v>
      </c>
      <c r="P55" s="6" t="s">
        <v>470</v>
      </c>
      <c r="Q55" s="26">
        <v>13</v>
      </c>
      <c r="R55" s="6" t="s">
        <v>471</v>
      </c>
      <c r="S55" s="6" t="s">
        <v>472</v>
      </c>
      <c r="T55" s="6" t="s">
        <v>270</v>
      </c>
      <c r="U55" s="6">
        <f>VLOOKUP($C55,'Food Pairing Data'!$C$2:$S$188,5)</f>
        <v>0</v>
      </c>
      <c r="V55" s="6">
        <f>VLOOKUP($C55,'Food Pairing Data'!$C$2:$S$188,6)</f>
        <v>0</v>
      </c>
      <c r="W55" s="6">
        <f>VLOOKUP($C55,'Food Pairing Data'!$C$2:$S$188,7)</f>
        <v>0</v>
      </c>
      <c r="X55" s="6">
        <f>VLOOKUP($C55,'Food Pairing Data'!$C$2:$S$188,8)</f>
        <v>0</v>
      </c>
      <c r="Y55" s="6">
        <f>VLOOKUP($C55,'Food Pairing Data'!$C$2:$S$188,9)</f>
        <v>0</v>
      </c>
      <c r="Z55" s="6">
        <f>VLOOKUP($C55,'Food Pairing Data'!$C$2:$S$188,10)</f>
        <v>0</v>
      </c>
      <c r="AA55" s="6">
        <f>VLOOKUP($C55,'Food Pairing Data'!$C$2:$S$188,11)</f>
        <v>0</v>
      </c>
      <c r="AB55" s="6">
        <f>VLOOKUP($C55,'Food Pairing Data'!$C$2:$S$188,12)</f>
        <v>0</v>
      </c>
      <c r="AC55" s="6">
        <f>VLOOKUP($C55,'Food Pairing Data'!$C$2:$S$188,13)</f>
        <v>0</v>
      </c>
      <c r="AD55" s="6">
        <f>VLOOKUP($C55,'Food Pairing Data'!$C$2:$S$188,14)</f>
        <v>1</v>
      </c>
      <c r="AE55" s="6">
        <f>VLOOKUP($C55,'Food Pairing Data'!$C$2:$S$188,15)</f>
        <v>0</v>
      </c>
      <c r="AF55" s="6">
        <f>VLOOKUP($C55,'Food Pairing Data'!$C$2:$S$188,16)</f>
        <v>0</v>
      </c>
      <c r="AG55" s="6">
        <f>VLOOKUP($C55,'Food Pairing Data'!$C$2:$S$188,17)</f>
        <v>0</v>
      </c>
      <c r="AH55" s="6" t="s">
        <v>467</v>
      </c>
      <c r="AI55" s="6" t="s">
        <v>380</v>
      </c>
    </row>
    <row r="56" spans="1:35" ht="14">
      <c r="A56" s="6">
        <f t="shared" si="1"/>
        <v>54</v>
      </c>
      <c r="B56" s="6" t="s">
        <v>245</v>
      </c>
      <c r="C56" s="6" t="s">
        <v>474</v>
      </c>
      <c r="D56" s="6" t="s">
        <v>380</v>
      </c>
      <c r="E56" s="22">
        <f>HLOOKUP('Output (Entree)'!$F$4,'Raw Data (Entree)'!$U$2:$BP$88,(A56+1),)</f>
        <v>0</v>
      </c>
      <c r="F56" s="23">
        <f>IF(D56='Output (Entree)'!$B$4,1,0)</f>
        <v>0</v>
      </c>
      <c r="G56" s="23">
        <f>IF(L56&lt;='Output (Entree)'!$C$4,(200-'Raw Data (Entree)'!L56),0)</f>
        <v>191.01</v>
      </c>
      <c r="H56" s="23">
        <v>4.5</v>
      </c>
      <c r="I56" s="24">
        <f>SUMPRODUCT(F56:H56,'Output (Entree)'!$B$5:$D$5)*E56</f>
        <v>0</v>
      </c>
      <c r="J56" s="25">
        <v>0</v>
      </c>
      <c r="K56" s="49">
        <f t="shared" si="0"/>
        <v>0</v>
      </c>
      <c r="L56" s="20">
        <v>8.99</v>
      </c>
      <c r="M56" s="6" t="s">
        <v>438</v>
      </c>
      <c r="N56" s="6" t="s">
        <v>476</v>
      </c>
      <c r="O56" s="6" t="s">
        <v>477</v>
      </c>
      <c r="P56" s="6" t="s">
        <v>371</v>
      </c>
      <c r="Q56" s="26">
        <v>14</v>
      </c>
      <c r="R56" s="6" t="s">
        <v>464</v>
      </c>
      <c r="S56" s="6" t="s">
        <v>435</v>
      </c>
      <c r="T56" s="6" t="s">
        <v>270</v>
      </c>
      <c r="U56" s="6">
        <f>VLOOKUP($C56,'Food Pairing Data'!$C$2:$S$188,5)</f>
        <v>0</v>
      </c>
      <c r="V56" s="6">
        <f>VLOOKUP($C56,'Food Pairing Data'!$C$2:$S$188,6)</f>
        <v>0</v>
      </c>
      <c r="W56" s="6">
        <f>VLOOKUP($C56,'Food Pairing Data'!$C$2:$S$188,7)</f>
        <v>0</v>
      </c>
      <c r="X56" s="6">
        <f>VLOOKUP($C56,'Food Pairing Data'!$C$2:$S$188,8)</f>
        <v>0</v>
      </c>
      <c r="Y56" s="6">
        <f>VLOOKUP($C56,'Food Pairing Data'!$C$2:$S$188,9)</f>
        <v>0</v>
      </c>
      <c r="Z56" s="6">
        <f>VLOOKUP($C56,'Food Pairing Data'!$C$2:$S$188,10)</f>
        <v>0</v>
      </c>
      <c r="AA56" s="6">
        <f>VLOOKUP($C56,'Food Pairing Data'!$C$2:$S$188,11)</f>
        <v>0</v>
      </c>
      <c r="AB56" s="6">
        <f>VLOOKUP($C56,'Food Pairing Data'!$C$2:$S$188,12)</f>
        <v>0</v>
      </c>
      <c r="AC56" s="6">
        <f>VLOOKUP($C56,'Food Pairing Data'!$C$2:$S$188,13)</f>
        <v>0</v>
      </c>
      <c r="AD56" s="6">
        <f>VLOOKUP($C56,'Food Pairing Data'!$C$2:$S$188,14)</f>
        <v>1</v>
      </c>
      <c r="AE56" s="6">
        <f>VLOOKUP($C56,'Food Pairing Data'!$C$2:$S$188,15)</f>
        <v>0</v>
      </c>
      <c r="AF56" s="6">
        <f>VLOOKUP($C56,'Food Pairing Data'!$C$2:$S$188,16)</f>
        <v>0</v>
      </c>
      <c r="AG56" s="6">
        <f>VLOOKUP($C56,'Food Pairing Data'!$C$2:$S$188,17)</f>
        <v>0</v>
      </c>
      <c r="AH56" s="6" t="s">
        <v>474</v>
      </c>
      <c r="AI56" s="6" t="s">
        <v>380</v>
      </c>
    </row>
    <row r="57" spans="1:35" ht="14">
      <c r="A57" s="6">
        <f t="shared" si="1"/>
        <v>55</v>
      </c>
      <c r="B57" s="6" t="s">
        <v>181</v>
      </c>
      <c r="C57" s="6" t="s">
        <v>482</v>
      </c>
      <c r="D57" s="6" t="s">
        <v>380</v>
      </c>
      <c r="E57" s="22">
        <f>HLOOKUP('Output (Entree)'!$F$4,'Raw Data (Entree)'!$U$2:$BP$88,(A57+1),)</f>
        <v>0</v>
      </c>
      <c r="F57" s="23">
        <f>IF(D57='Output (Entree)'!$B$4,1,0)</f>
        <v>0</v>
      </c>
      <c r="G57" s="23">
        <f>IF(L57&lt;='Output (Entree)'!$C$4,(200-'Raw Data (Entree)'!L57),0)</f>
        <v>163.01</v>
      </c>
      <c r="H57" s="23">
        <v>4</v>
      </c>
      <c r="I57" s="24">
        <f>SUMPRODUCT(F57:H57,'Output (Entree)'!$B$5:$D$5)*E57</f>
        <v>0</v>
      </c>
      <c r="J57" s="25">
        <v>0</v>
      </c>
      <c r="K57" s="49">
        <f t="shared" si="0"/>
        <v>0</v>
      </c>
      <c r="L57" s="20">
        <v>36.99</v>
      </c>
      <c r="M57" s="6" t="s">
        <v>508</v>
      </c>
      <c r="N57" s="6" t="s">
        <v>509</v>
      </c>
      <c r="O57" s="6" t="s">
        <v>510</v>
      </c>
      <c r="P57" s="6" t="s">
        <v>511</v>
      </c>
      <c r="Q57" s="26">
        <v>0.14000000000000001</v>
      </c>
      <c r="R57" s="6" t="s">
        <v>143</v>
      </c>
      <c r="S57" s="6" t="s">
        <v>36</v>
      </c>
      <c r="T57" s="6" t="s">
        <v>512</v>
      </c>
      <c r="U57" s="6">
        <f>VLOOKUP($C57,'Food Pairing Data'!$C$2:$S$188,5)</f>
        <v>0</v>
      </c>
      <c r="V57" s="6">
        <f>VLOOKUP($C57,'Food Pairing Data'!$C$2:$S$188,6)</f>
        <v>0</v>
      </c>
      <c r="W57" s="6">
        <f>VLOOKUP($C57,'Food Pairing Data'!$C$2:$S$188,7)</f>
        <v>0</v>
      </c>
      <c r="X57" s="6">
        <f>VLOOKUP($C57,'Food Pairing Data'!$C$2:$S$188,8)</f>
        <v>0</v>
      </c>
      <c r="Y57" s="6">
        <f>VLOOKUP($C57,'Food Pairing Data'!$C$2:$S$188,9)</f>
        <v>0</v>
      </c>
      <c r="Z57" s="6">
        <f>VLOOKUP($C57,'Food Pairing Data'!$C$2:$S$188,10)</f>
        <v>0</v>
      </c>
      <c r="AA57" s="6">
        <f>VLOOKUP($C57,'Food Pairing Data'!$C$2:$S$188,11)</f>
        <v>0</v>
      </c>
      <c r="AB57" s="6">
        <f>VLOOKUP($C57,'Food Pairing Data'!$C$2:$S$188,12)</f>
        <v>0</v>
      </c>
      <c r="AC57" s="6">
        <f>VLOOKUP($C57,'Food Pairing Data'!$C$2:$S$188,13)</f>
        <v>0</v>
      </c>
      <c r="AD57" s="6">
        <f>VLOOKUP($C57,'Food Pairing Data'!$C$2:$S$188,14)</f>
        <v>1</v>
      </c>
      <c r="AE57" s="6">
        <f>VLOOKUP($C57,'Food Pairing Data'!$C$2:$S$188,15)</f>
        <v>0</v>
      </c>
      <c r="AF57" s="6">
        <f>VLOOKUP($C57,'Food Pairing Data'!$C$2:$S$188,16)</f>
        <v>0</v>
      </c>
      <c r="AG57" s="6">
        <f>VLOOKUP($C57,'Food Pairing Data'!$C$2:$S$188,17)</f>
        <v>0</v>
      </c>
      <c r="AH57" s="6" t="s">
        <v>482</v>
      </c>
      <c r="AI57" s="6" t="s">
        <v>380</v>
      </c>
    </row>
    <row r="58" spans="1:35" ht="14">
      <c r="A58" s="6">
        <f t="shared" si="1"/>
        <v>56</v>
      </c>
      <c r="B58" s="6" t="s">
        <v>23</v>
      </c>
      <c r="C58" s="6" t="s">
        <v>513</v>
      </c>
      <c r="D58" s="6" t="s">
        <v>380</v>
      </c>
      <c r="E58" s="22">
        <f>HLOOKUP('Output (Entree)'!$F$4,'Raw Data (Entree)'!$U$2:$BP$88,(A58+1),)</f>
        <v>0</v>
      </c>
      <c r="F58" s="23">
        <f>IF(D58='Output (Entree)'!$B$4,1,0)</f>
        <v>0</v>
      </c>
      <c r="G58" s="23">
        <f>IF(L58&lt;='Output (Entree)'!$C$4,(200-'Raw Data (Entree)'!L58),0)</f>
        <v>185.01</v>
      </c>
      <c r="H58" s="23">
        <v>4</v>
      </c>
      <c r="I58" s="24">
        <f>SUMPRODUCT(F58:H58,'Output (Entree)'!$B$5:$D$5)*E58</f>
        <v>0</v>
      </c>
      <c r="J58" s="25">
        <v>0</v>
      </c>
      <c r="K58" s="49">
        <f t="shared" si="0"/>
        <v>0</v>
      </c>
      <c r="L58" s="20">
        <v>14.99</v>
      </c>
      <c r="M58" s="6" t="s">
        <v>514</v>
      </c>
      <c r="N58" s="6" t="s">
        <v>515</v>
      </c>
      <c r="O58" s="6" t="s">
        <v>516</v>
      </c>
      <c r="P58" s="6" t="s">
        <v>517</v>
      </c>
      <c r="Q58" s="26">
        <v>0.105</v>
      </c>
      <c r="R58" s="6" t="s">
        <v>518</v>
      </c>
      <c r="S58" s="6" t="s">
        <v>98</v>
      </c>
      <c r="T58" s="6" t="s">
        <v>148</v>
      </c>
      <c r="U58" s="6">
        <f>VLOOKUP($C58,'Food Pairing Data'!$C$2:$S$188,5)</f>
        <v>0</v>
      </c>
      <c r="V58" s="6">
        <f>VLOOKUP($C58,'Food Pairing Data'!$C$2:$S$188,6)</f>
        <v>0</v>
      </c>
      <c r="W58" s="6">
        <f>VLOOKUP($C58,'Food Pairing Data'!$C$2:$S$188,7)</f>
        <v>0</v>
      </c>
      <c r="X58" s="6">
        <f>VLOOKUP($C58,'Food Pairing Data'!$C$2:$S$188,8)</f>
        <v>0</v>
      </c>
      <c r="Y58" s="6">
        <f>VLOOKUP($C58,'Food Pairing Data'!$C$2:$S$188,9)</f>
        <v>0</v>
      </c>
      <c r="Z58" s="6">
        <f>VLOOKUP($C58,'Food Pairing Data'!$C$2:$S$188,10)</f>
        <v>0</v>
      </c>
      <c r="AA58" s="6">
        <f>VLOOKUP($C58,'Food Pairing Data'!$C$2:$S$188,11)</f>
        <v>0</v>
      </c>
      <c r="AB58" s="6">
        <f>VLOOKUP($C58,'Food Pairing Data'!$C$2:$S$188,12)</f>
        <v>0</v>
      </c>
      <c r="AC58" s="6">
        <f>VLOOKUP($C58,'Food Pairing Data'!$C$2:$S$188,13)</f>
        <v>0</v>
      </c>
      <c r="AD58" s="6">
        <f>VLOOKUP($C58,'Food Pairing Data'!$C$2:$S$188,14)</f>
        <v>1</v>
      </c>
      <c r="AE58" s="6">
        <f>VLOOKUP($C58,'Food Pairing Data'!$C$2:$S$188,15)</f>
        <v>0</v>
      </c>
      <c r="AF58" s="6">
        <f>VLOOKUP($C58,'Food Pairing Data'!$C$2:$S$188,16)</f>
        <v>0</v>
      </c>
      <c r="AG58" s="6">
        <f>VLOOKUP($C58,'Food Pairing Data'!$C$2:$S$188,17)</f>
        <v>0</v>
      </c>
      <c r="AH58" s="6" t="s">
        <v>513</v>
      </c>
      <c r="AI58" s="6" t="s">
        <v>380</v>
      </c>
    </row>
    <row r="59" spans="1:35" ht="14">
      <c r="A59" s="6">
        <f t="shared" si="1"/>
        <v>57</v>
      </c>
      <c r="B59" s="6" t="s">
        <v>23</v>
      </c>
      <c r="C59" s="6" t="s">
        <v>519</v>
      </c>
      <c r="D59" s="6" t="s">
        <v>380</v>
      </c>
      <c r="E59" s="22">
        <f>HLOOKUP('Output (Entree)'!$F$4,'Raw Data (Entree)'!$U$2:$BP$88,(A59+1),)</f>
        <v>0</v>
      </c>
      <c r="F59" s="23">
        <f>IF(D59='Output (Entree)'!$B$4,1,0)</f>
        <v>0</v>
      </c>
      <c r="G59" s="23">
        <f>IF(L59&lt;='Output (Entree)'!$C$4,(200-'Raw Data (Entree)'!L59),0)</f>
        <v>188.01</v>
      </c>
      <c r="H59" s="23">
        <v>4</v>
      </c>
      <c r="I59" s="24">
        <f>SUMPRODUCT(F59:H59,'Output (Entree)'!$B$5:$D$5)*E59</f>
        <v>0</v>
      </c>
      <c r="J59" s="25">
        <v>0</v>
      </c>
      <c r="K59" s="49">
        <f t="shared" si="0"/>
        <v>0</v>
      </c>
      <c r="L59" s="20">
        <v>11.99</v>
      </c>
      <c r="M59" s="6" t="s">
        <v>508</v>
      </c>
      <c r="N59" s="6" t="s">
        <v>520</v>
      </c>
      <c r="O59" s="6" t="s">
        <v>521</v>
      </c>
      <c r="P59" s="6" t="s">
        <v>522</v>
      </c>
      <c r="Q59" s="26">
        <v>0.125</v>
      </c>
      <c r="R59" s="6" t="s">
        <v>523</v>
      </c>
      <c r="S59" s="6" t="s">
        <v>93</v>
      </c>
      <c r="T59" s="6" t="s">
        <v>512</v>
      </c>
      <c r="U59" s="6">
        <f>VLOOKUP($C59,'Food Pairing Data'!$C$2:$S$188,5)</f>
        <v>0</v>
      </c>
      <c r="V59" s="6">
        <f>VLOOKUP($C59,'Food Pairing Data'!$C$2:$S$188,6)</f>
        <v>0</v>
      </c>
      <c r="W59" s="6">
        <f>VLOOKUP($C59,'Food Pairing Data'!$C$2:$S$188,7)</f>
        <v>0</v>
      </c>
      <c r="X59" s="6">
        <f>VLOOKUP($C59,'Food Pairing Data'!$C$2:$S$188,8)</f>
        <v>0</v>
      </c>
      <c r="Y59" s="6">
        <f>VLOOKUP($C59,'Food Pairing Data'!$C$2:$S$188,9)</f>
        <v>0</v>
      </c>
      <c r="Z59" s="6">
        <f>VLOOKUP($C59,'Food Pairing Data'!$C$2:$S$188,10)</f>
        <v>0</v>
      </c>
      <c r="AA59" s="6">
        <f>VLOOKUP($C59,'Food Pairing Data'!$C$2:$S$188,11)</f>
        <v>0</v>
      </c>
      <c r="AB59" s="6">
        <f>VLOOKUP($C59,'Food Pairing Data'!$C$2:$S$188,12)</f>
        <v>0</v>
      </c>
      <c r="AC59" s="6">
        <f>VLOOKUP($C59,'Food Pairing Data'!$C$2:$S$188,13)</f>
        <v>0</v>
      </c>
      <c r="AD59" s="6">
        <f>VLOOKUP($C59,'Food Pairing Data'!$C$2:$S$188,14)</f>
        <v>1</v>
      </c>
      <c r="AE59" s="6">
        <f>VLOOKUP($C59,'Food Pairing Data'!$C$2:$S$188,15)</f>
        <v>0</v>
      </c>
      <c r="AF59" s="6">
        <f>VLOOKUP($C59,'Food Pairing Data'!$C$2:$S$188,16)</f>
        <v>0</v>
      </c>
      <c r="AG59" s="6">
        <f>VLOOKUP($C59,'Food Pairing Data'!$C$2:$S$188,17)</f>
        <v>0</v>
      </c>
      <c r="AH59" s="6" t="s">
        <v>519</v>
      </c>
      <c r="AI59" s="6" t="s">
        <v>380</v>
      </c>
    </row>
    <row r="60" spans="1:35" ht="14">
      <c r="A60" s="6">
        <f t="shared" si="1"/>
        <v>58</v>
      </c>
      <c r="B60" s="6" t="s">
        <v>23</v>
      </c>
      <c r="C60" s="6" t="s">
        <v>524</v>
      </c>
      <c r="D60" s="6" t="s">
        <v>380</v>
      </c>
      <c r="E60" s="22">
        <f>HLOOKUP('Output (Entree)'!$F$4,'Raw Data (Entree)'!$U$2:$BP$88,(A60+1),)</f>
        <v>0</v>
      </c>
      <c r="F60" s="23">
        <f>IF(D60='Output (Entree)'!$B$4,1,0)</f>
        <v>0</v>
      </c>
      <c r="G60" s="23">
        <f>IF(L60&lt;='Output (Entree)'!$C$4,(200-'Raw Data (Entree)'!L60),0)</f>
        <v>189.01</v>
      </c>
      <c r="H60" s="23">
        <v>4</v>
      </c>
      <c r="I60" s="24">
        <f>SUMPRODUCT(F60:H60,'Output (Entree)'!$B$5:$D$5)*E60</f>
        <v>0</v>
      </c>
      <c r="J60" s="25">
        <v>0</v>
      </c>
      <c r="K60" s="49">
        <f t="shared" si="0"/>
        <v>0</v>
      </c>
      <c r="L60" s="20">
        <v>10.99</v>
      </c>
      <c r="M60" s="6" t="s">
        <v>525</v>
      </c>
      <c r="N60" s="6" t="s">
        <v>526</v>
      </c>
      <c r="O60" s="6" t="s">
        <v>527</v>
      </c>
      <c r="P60" s="6" t="s">
        <v>528</v>
      </c>
      <c r="Q60" s="26">
        <v>0.115</v>
      </c>
      <c r="R60" s="6" t="s">
        <v>523</v>
      </c>
      <c r="S60" s="6" t="s">
        <v>529</v>
      </c>
      <c r="T60" s="6" t="s">
        <v>512</v>
      </c>
      <c r="U60" s="6">
        <f>VLOOKUP($C60,'Food Pairing Data'!$C$2:$S$188,5)</f>
        <v>0</v>
      </c>
      <c r="V60" s="6">
        <f>VLOOKUP($C60,'Food Pairing Data'!$C$2:$S$188,6)</f>
        <v>0</v>
      </c>
      <c r="W60" s="6">
        <f>VLOOKUP($C60,'Food Pairing Data'!$C$2:$S$188,7)</f>
        <v>0</v>
      </c>
      <c r="X60" s="6">
        <f>VLOOKUP($C60,'Food Pairing Data'!$C$2:$S$188,8)</f>
        <v>1</v>
      </c>
      <c r="Y60" s="6">
        <f>VLOOKUP($C60,'Food Pairing Data'!$C$2:$S$188,9)</f>
        <v>0</v>
      </c>
      <c r="Z60" s="6">
        <f>VLOOKUP($C60,'Food Pairing Data'!$C$2:$S$188,10)</f>
        <v>1</v>
      </c>
      <c r="AA60" s="6">
        <f>VLOOKUP($C60,'Food Pairing Data'!$C$2:$S$188,11)</f>
        <v>0</v>
      </c>
      <c r="AB60" s="6">
        <f>VLOOKUP($C60,'Food Pairing Data'!$C$2:$S$188,12)</f>
        <v>0</v>
      </c>
      <c r="AC60" s="6">
        <f>VLOOKUP($C60,'Food Pairing Data'!$C$2:$S$188,13)</f>
        <v>0</v>
      </c>
      <c r="AD60" s="6">
        <f>VLOOKUP($C60,'Food Pairing Data'!$C$2:$S$188,14)</f>
        <v>0</v>
      </c>
      <c r="AE60" s="6">
        <f>VLOOKUP($C60,'Food Pairing Data'!$C$2:$S$188,15)</f>
        <v>0</v>
      </c>
      <c r="AF60" s="6">
        <f>VLOOKUP($C60,'Food Pairing Data'!$C$2:$S$188,16)</f>
        <v>0</v>
      </c>
      <c r="AG60" s="6">
        <f>VLOOKUP($C60,'Food Pairing Data'!$C$2:$S$188,17)</f>
        <v>0</v>
      </c>
      <c r="AH60" s="6" t="s">
        <v>524</v>
      </c>
      <c r="AI60" s="6" t="s">
        <v>380</v>
      </c>
    </row>
    <row r="61" spans="1:35" ht="14">
      <c r="A61" s="6">
        <f t="shared" si="1"/>
        <v>59</v>
      </c>
      <c r="B61" s="6" t="s">
        <v>245</v>
      </c>
      <c r="C61" s="6" t="s">
        <v>530</v>
      </c>
      <c r="D61" s="6" t="s">
        <v>380</v>
      </c>
      <c r="E61" s="22">
        <f>HLOOKUP('Output (Entree)'!$F$4,'Raw Data (Entree)'!$U$2:$BP$88,(A61+1),)</f>
        <v>1</v>
      </c>
      <c r="F61" s="23">
        <f>IF(D61='Output (Entree)'!$B$4,1,0)</f>
        <v>0</v>
      </c>
      <c r="G61" s="23">
        <f>IF(L61&lt;='Output (Entree)'!$C$4,(200-'Raw Data (Entree)'!L61),0)</f>
        <v>190.01</v>
      </c>
      <c r="H61" s="23">
        <v>4</v>
      </c>
      <c r="I61" s="24">
        <f>SUMPRODUCT(F61:H61,'Output (Entree)'!$B$5:$D$5)*E61</f>
        <v>40.802</v>
      </c>
      <c r="J61" s="25">
        <v>0</v>
      </c>
      <c r="K61" s="49">
        <f t="shared" si="0"/>
        <v>0</v>
      </c>
      <c r="L61" s="20">
        <v>9.99</v>
      </c>
      <c r="M61" s="6" t="s">
        <v>531</v>
      </c>
      <c r="N61" s="6" t="s">
        <v>532</v>
      </c>
      <c r="O61" s="6" t="s">
        <v>533</v>
      </c>
      <c r="P61" s="6" t="s">
        <v>534</v>
      </c>
      <c r="Q61" s="26">
        <v>0.125</v>
      </c>
      <c r="R61" s="6" t="s">
        <v>535</v>
      </c>
      <c r="S61" s="6" t="s">
        <v>536</v>
      </c>
      <c r="T61" s="6" t="s">
        <v>512</v>
      </c>
      <c r="U61" s="6">
        <v>0</v>
      </c>
      <c r="V61" s="6">
        <v>0</v>
      </c>
      <c r="W61" s="6">
        <v>1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1</v>
      </c>
      <c r="AF61" s="6">
        <v>0</v>
      </c>
      <c r="AG61" s="6">
        <v>0</v>
      </c>
      <c r="AH61" s="6" t="s">
        <v>530</v>
      </c>
      <c r="AI61" s="6" t="s">
        <v>380</v>
      </c>
    </row>
    <row r="62" spans="1:35" ht="14">
      <c r="A62" s="6">
        <f t="shared" si="1"/>
        <v>60</v>
      </c>
      <c r="B62" s="6" t="s">
        <v>245</v>
      </c>
      <c r="C62" s="6" t="s">
        <v>537</v>
      </c>
      <c r="D62" s="6" t="s">
        <v>380</v>
      </c>
      <c r="E62" s="22">
        <f>HLOOKUP('Output (Entree)'!$F$4,'Raw Data (Entree)'!$U$2:$BP$88,(A62+1),)</f>
        <v>0</v>
      </c>
      <c r="F62" s="23">
        <f>IF(D62='Output (Entree)'!$B$4,1,0)</f>
        <v>0</v>
      </c>
      <c r="G62" s="23">
        <f>IF(L62&lt;='Output (Entree)'!$C$4,(200-'Raw Data (Entree)'!L62),0)</f>
        <v>190.01</v>
      </c>
      <c r="H62" s="23">
        <v>4</v>
      </c>
      <c r="I62" s="24">
        <f>SUMPRODUCT(F62:H62,'Output (Entree)'!$B$5:$D$5)*E62</f>
        <v>0</v>
      </c>
      <c r="J62" s="25">
        <v>0</v>
      </c>
      <c r="K62" s="49">
        <f t="shared" si="0"/>
        <v>0</v>
      </c>
      <c r="L62" s="20">
        <v>9.99</v>
      </c>
      <c r="M62" s="6" t="s">
        <v>538</v>
      </c>
      <c r="N62" s="6" t="s">
        <v>539</v>
      </c>
      <c r="O62" s="6" t="s">
        <v>299</v>
      </c>
      <c r="P62" s="6" t="s">
        <v>540</v>
      </c>
      <c r="Q62" s="26">
        <v>0.13500000000000001</v>
      </c>
      <c r="R62" s="6" t="s">
        <v>75</v>
      </c>
      <c r="S62" s="6" t="s">
        <v>152</v>
      </c>
      <c r="T62" s="6" t="s">
        <v>512</v>
      </c>
      <c r="U62" s="6">
        <f>VLOOKUP($C62,'Food Pairing Data'!$C$2:$S$188,5)</f>
        <v>0</v>
      </c>
      <c r="V62" s="6">
        <f>VLOOKUP($C62,'Food Pairing Data'!$C$2:$S$188,6)</f>
        <v>0</v>
      </c>
      <c r="W62" s="6">
        <f>VLOOKUP($C62,'Food Pairing Data'!$C$2:$S$188,7)</f>
        <v>0</v>
      </c>
      <c r="X62" s="6">
        <f>VLOOKUP($C62,'Food Pairing Data'!$C$2:$S$188,8)</f>
        <v>0</v>
      </c>
      <c r="Y62" s="6">
        <f>VLOOKUP($C62,'Food Pairing Data'!$C$2:$S$188,9)</f>
        <v>0</v>
      </c>
      <c r="Z62" s="6">
        <f>VLOOKUP($C62,'Food Pairing Data'!$C$2:$S$188,10)</f>
        <v>0</v>
      </c>
      <c r="AA62" s="6">
        <f>VLOOKUP($C62,'Food Pairing Data'!$C$2:$S$188,11)</f>
        <v>0</v>
      </c>
      <c r="AB62" s="6">
        <f>VLOOKUP($C62,'Food Pairing Data'!$C$2:$S$188,12)</f>
        <v>0</v>
      </c>
      <c r="AC62" s="6">
        <f>VLOOKUP($C62,'Food Pairing Data'!$C$2:$S$188,13)</f>
        <v>0</v>
      </c>
      <c r="AD62" s="6">
        <f>VLOOKUP($C62,'Food Pairing Data'!$C$2:$S$188,14)</f>
        <v>1</v>
      </c>
      <c r="AE62" s="6">
        <f>VLOOKUP($C62,'Food Pairing Data'!$C$2:$S$188,15)</f>
        <v>0</v>
      </c>
      <c r="AF62" s="6">
        <f>VLOOKUP($C62,'Food Pairing Data'!$C$2:$S$188,16)</f>
        <v>0</v>
      </c>
      <c r="AG62" s="6">
        <f>VLOOKUP($C62,'Food Pairing Data'!$C$2:$S$188,17)</f>
        <v>0</v>
      </c>
      <c r="AH62" s="6" t="s">
        <v>537</v>
      </c>
      <c r="AI62" s="6" t="s">
        <v>380</v>
      </c>
    </row>
    <row r="63" spans="1:35" ht="14">
      <c r="A63" s="6">
        <f t="shared" si="1"/>
        <v>61</v>
      </c>
      <c r="B63" s="6" t="s">
        <v>23</v>
      </c>
      <c r="C63" s="6" t="s">
        <v>541</v>
      </c>
      <c r="D63" s="6" t="s">
        <v>380</v>
      </c>
      <c r="E63" s="22">
        <f>HLOOKUP('Output (Entree)'!$F$4,'Raw Data (Entree)'!$U$2:$BP$88,(A63+1),)</f>
        <v>0</v>
      </c>
      <c r="F63" s="23">
        <f>IF(D63='Output (Entree)'!$B$4,1,0)</f>
        <v>0</v>
      </c>
      <c r="G63" s="23">
        <f>IF(L63&lt;='Output (Entree)'!$C$4,(200-'Raw Data (Entree)'!L63),0)</f>
        <v>180.01</v>
      </c>
      <c r="H63" s="23">
        <v>3.5</v>
      </c>
      <c r="I63" s="24">
        <f>SUMPRODUCT(F63:H63,'Output (Entree)'!$B$5:$D$5)*E63</f>
        <v>0</v>
      </c>
      <c r="J63" s="25">
        <v>0</v>
      </c>
      <c r="K63" s="49">
        <f t="shared" si="0"/>
        <v>0</v>
      </c>
      <c r="L63" s="20">
        <v>19.989999999999998</v>
      </c>
      <c r="M63" s="6" t="s">
        <v>542</v>
      </c>
      <c r="N63" s="6" t="s">
        <v>543</v>
      </c>
      <c r="O63" s="6" t="s">
        <v>544</v>
      </c>
      <c r="P63" s="6" t="s">
        <v>540</v>
      </c>
      <c r="Q63" s="26">
        <v>0.09</v>
      </c>
      <c r="R63" s="6" t="s">
        <v>75</v>
      </c>
      <c r="S63" s="6" t="s">
        <v>150</v>
      </c>
      <c r="T63" s="6" t="s">
        <v>512</v>
      </c>
      <c r="U63" s="6">
        <f>VLOOKUP($C63,'Food Pairing Data'!$C$2:$S$188,5)</f>
        <v>0</v>
      </c>
      <c r="V63" s="6">
        <f>VLOOKUP($C63,'Food Pairing Data'!$C$2:$S$188,6)</f>
        <v>0</v>
      </c>
      <c r="W63" s="6">
        <f>VLOOKUP($C63,'Food Pairing Data'!$C$2:$S$188,7)</f>
        <v>0</v>
      </c>
      <c r="X63" s="6">
        <f>VLOOKUP($C63,'Food Pairing Data'!$C$2:$S$188,8)</f>
        <v>1</v>
      </c>
      <c r="Y63" s="6">
        <f>VLOOKUP($C63,'Food Pairing Data'!$C$2:$S$188,9)</f>
        <v>0</v>
      </c>
      <c r="Z63" s="6">
        <f>VLOOKUP($C63,'Food Pairing Data'!$C$2:$S$188,10)</f>
        <v>1</v>
      </c>
      <c r="AA63" s="6">
        <f>VLOOKUP($C63,'Food Pairing Data'!$C$2:$S$188,11)</f>
        <v>0</v>
      </c>
      <c r="AB63" s="6">
        <f>VLOOKUP($C63,'Food Pairing Data'!$C$2:$S$188,12)</f>
        <v>0</v>
      </c>
      <c r="AC63" s="6">
        <f>VLOOKUP($C63,'Food Pairing Data'!$C$2:$S$188,13)</f>
        <v>0</v>
      </c>
      <c r="AD63" s="6">
        <f>VLOOKUP($C63,'Food Pairing Data'!$C$2:$S$188,14)</f>
        <v>0</v>
      </c>
      <c r="AE63" s="6">
        <f>VLOOKUP($C63,'Food Pairing Data'!$C$2:$S$188,15)</f>
        <v>0</v>
      </c>
      <c r="AF63" s="6">
        <f>VLOOKUP($C63,'Food Pairing Data'!$C$2:$S$188,16)</f>
        <v>0</v>
      </c>
      <c r="AG63" s="6">
        <f>VLOOKUP($C63,'Food Pairing Data'!$C$2:$S$188,17)</f>
        <v>0</v>
      </c>
      <c r="AH63" s="6" t="s">
        <v>541</v>
      </c>
      <c r="AI63" s="6" t="s">
        <v>380</v>
      </c>
    </row>
    <row r="64" spans="1:35" ht="14">
      <c r="A64" s="6">
        <f t="shared" si="1"/>
        <v>62</v>
      </c>
      <c r="B64" s="6" t="s">
        <v>23</v>
      </c>
      <c r="C64" s="6" t="s">
        <v>545</v>
      </c>
      <c r="D64" s="6" t="s">
        <v>380</v>
      </c>
      <c r="E64" s="22">
        <f>HLOOKUP('Output (Entree)'!$F$4,'Raw Data (Entree)'!$U$2:$BP$88,(A64+1),)</f>
        <v>0</v>
      </c>
      <c r="F64" s="23">
        <f>IF(D64='Output (Entree)'!$B$4,1,0)</f>
        <v>0</v>
      </c>
      <c r="G64" s="23">
        <f>IF(L64&lt;='Output (Entree)'!$C$4,(200-'Raw Data (Entree)'!L64),0)</f>
        <v>180.01</v>
      </c>
      <c r="H64" s="23">
        <v>3.5</v>
      </c>
      <c r="I64" s="24">
        <f>SUMPRODUCT(F64:H64,'Output (Entree)'!$B$5:$D$5)*E64</f>
        <v>0</v>
      </c>
      <c r="J64" s="25">
        <v>0</v>
      </c>
      <c r="K64" s="49">
        <f t="shared" si="0"/>
        <v>0</v>
      </c>
      <c r="L64" s="20">
        <v>19.989999999999998</v>
      </c>
      <c r="M64" s="6" t="s">
        <v>546</v>
      </c>
      <c r="N64" s="6" t="s">
        <v>547</v>
      </c>
      <c r="O64" s="6" t="s">
        <v>548</v>
      </c>
      <c r="P64" s="6" t="s">
        <v>167</v>
      </c>
      <c r="Q64" s="26">
        <v>0.13</v>
      </c>
      <c r="R64" s="6" t="s">
        <v>523</v>
      </c>
      <c r="S64" s="6" t="s">
        <v>150</v>
      </c>
      <c r="T64" s="6" t="s">
        <v>512</v>
      </c>
      <c r="U64" s="6">
        <f>VLOOKUP($C64,'Food Pairing Data'!$C$2:$S$188,5)</f>
        <v>0</v>
      </c>
      <c r="V64" s="6">
        <f>VLOOKUP($C64,'Food Pairing Data'!$C$2:$S$188,6)</f>
        <v>0</v>
      </c>
      <c r="W64" s="6">
        <f>VLOOKUP($C64,'Food Pairing Data'!$C$2:$S$188,7)</f>
        <v>0</v>
      </c>
      <c r="X64" s="6">
        <f>VLOOKUP($C64,'Food Pairing Data'!$C$2:$S$188,8)</f>
        <v>0</v>
      </c>
      <c r="Y64" s="6">
        <f>VLOOKUP($C64,'Food Pairing Data'!$C$2:$S$188,9)</f>
        <v>0</v>
      </c>
      <c r="Z64" s="6">
        <f>VLOOKUP($C64,'Food Pairing Data'!$C$2:$S$188,10)</f>
        <v>0</v>
      </c>
      <c r="AA64" s="6">
        <f>VLOOKUP($C64,'Food Pairing Data'!$C$2:$S$188,11)</f>
        <v>0</v>
      </c>
      <c r="AB64" s="6">
        <f>VLOOKUP($C64,'Food Pairing Data'!$C$2:$S$188,12)</f>
        <v>0</v>
      </c>
      <c r="AC64" s="6">
        <f>VLOOKUP($C64,'Food Pairing Data'!$C$2:$S$188,13)</f>
        <v>0</v>
      </c>
      <c r="AD64" s="6">
        <f>VLOOKUP($C64,'Food Pairing Data'!$C$2:$S$188,14)</f>
        <v>1</v>
      </c>
      <c r="AE64" s="6">
        <f>VLOOKUP($C64,'Food Pairing Data'!$C$2:$S$188,15)</f>
        <v>0</v>
      </c>
      <c r="AF64" s="6">
        <f>VLOOKUP($C64,'Food Pairing Data'!$C$2:$S$188,16)</f>
        <v>0</v>
      </c>
      <c r="AG64" s="6">
        <f>VLOOKUP($C64,'Food Pairing Data'!$C$2:$S$188,17)</f>
        <v>0</v>
      </c>
      <c r="AH64" s="6" t="s">
        <v>545</v>
      </c>
      <c r="AI64" s="6" t="s">
        <v>380</v>
      </c>
    </row>
    <row r="65" spans="1:35" ht="14">
      <c r="A65" s="6">
        <f t="shared" si="1"/>
        <v>63</v>
      </c>
      <c r="B65" s="6" t="s">
        <v>23</v>
      </c>
      <c r="C65" s="6" t="s">
        <v>549</v>
      </c>
      <c r="D65" s="6" t="s">
        <v>380</v>
      </c>
      <c r="E65" s="22">
        <f>HLOOKUP('Output (Entree)'!$F$4,'Raw Data (Entree)'!$U$2:$BP$88,(A65+1),)</f>
        <v>1</v>
      </c>
      <c r="F65" s="23">
        <f>IF(D65='Output (Entree)'!$B$4,1,0)</f>
        <v>0</v>
      </c>
      <c r="G65" s="23">
        <f>IF(L65&lt;='Output (Entree)'!$C$4,(200-'Raw Data (Entree)'!L65),0)</f>
        <v>183.01</v>
      </c>
      <c r="H65" s="23">
        <v>3.5</v>
      </c>
      <c r="I65" s="24">
        <f>SUMPRODUCT(F65:H65,'Output (Entree)'!$B$5:$D$5)*E65</f>
        <v>39.052</v>
      </c>
      <c r="J65" s="25">
        <v>0</v>
      </c>
      <c r="K65" s="49">
        <f t="shared" si="0"/>
        <v>0</v>
      </c>
      <c r="L65" s="20">
        <v>16.989999999999998</v>
      </c>
      <c r="M65" s="6" t="s">
        <v>550</v>
      </c>
      <c r="N65" s="6" t="s">
        <v>551</v>
      </c>
      <c r="O65" s="6" t="s">
        <v>552</v>
      </c>
      <c r="P65" s="6" t="s">
        <v>300</v>
      </c>
      <c r="Q65" s="26">
        <v>0.13</v>
      </c>
      <c r="R65" s="6" t="s">
        <v>523</v>
      </c>
      <c r="S65" s="6" t="s">
        <v>529</v>
      </c>
      <c r="T65" s="6" t="s">
        <v>553</v>
      </c>
      <c r="U65" s="6">
        <f>VLOOKUP($C65,'Food Pairing Data'!$C$2:$S$188,5)</f>
        <v>0</v>
      </c>
      <c r="V65" s="6">
        <f>VLOOKUP($C65,'Food Pairing Data'!$C$2:$S$188,6)</f>
        <v>0</v>
      </c>
      <c r="W65" s="6">
        <f>VLOOKUP($C65,'Food Pairing Data'!$C$2:$S$188,7)</f>
        <v>1</v>
      </c>
      <c r="X65" s="6">
        <f>VLOOKUP($C65,'Food Pairing Data'!$C$2:$S$188,8)</f>
        <v>1</v>
      </c>
      <c r="Y65" s="6">
        <f>VLOOKUP($C65,'Food Pairing Data'!$C$2:$S$188,9)</f>
        <v>0</v>
      </c>
      <c r="Z65" s="6">
        <f>VLOOKUP($C65,'Food Pairing Data'!$C$2:$S$188,10)</f>
        <v>0</v>
      </c>
      <c r="AA65" s="6">
        <f>VLOOKUP($C65,'Food Pairing Data'!$C$2:$S$188,11)</f>
        <v>0</v>
      </c>
      <c r="AB65" s="6">
        <f>VLOOKUP($C65,'Food Pairing Data'!$C$2:$S$188,12)</f>
        <v>0</v>
      </c>
      <c r="AC65" s="6">
        <f>VLOOKUP($C65,'Food Pairing Data'!$C$2:$S$188,13)</f>
        <v>0</v>
      </c>
      <c r="AD65" s="6">
        <f>VLOOKUP($C65,'Food Pairing Data'!$C$2:$S$188,14)</f>
        <v>0</v>
      </c>
      <c r="AE65" s="6">
        <f>VLOOKUP($C65,'Food Pairing Data'!$C$2:$S$188,15)</f>
        <v>0</v>
      </c>
      <c r="AF65" s="6">
        <f>VLOOKUP($C65,'Food Pairing Data'!$C$2:$S$188,16)</f>
        <v>0</v>
      </c>
      <c r="AG65" s="6">
        <f>VLOOKUP($C65,'Food Pairing Data'!$C$2:$S$188,17)</f>
        <v>0</v>
      </c>
      <c r="AH65" s="6" t="s">
        <v>549</v>
      </c>
      <c r="AI65" s="6" t="s">
        <v>380</v>
      </c>
    </row>
    <row r="66" spans="1:35" ht="14">
      <c r="A66" s="6">
        <f t="shared" si="1"/>
        <v>64</v>
      </c>
      <c r="B66" s="6" t="s">
        <v>23</v>
      </c>
      <c r="C66" s="6" t="s">
        <v>554</v>
      </c>
      <c r="D66" s="6" t="s">
        <v>380</v>
      </c>
      <c r="E66" s="22">
        <f>HLOOKUP('Output (Entree)'!$F$4,'Raw Data (Entree)'!$U$2:$BP$88,(A66+1),)</f>
        <v>1</v>
      </c>
      <c r="F66" s="23">
        <f>IF(D66='Output (Entree)'!$B$4,1,0)</f>
        <v>0</v>
      </c>
      <c r="G66" s="23">
        <f>IF(L66&lt;='Output (Entree)'!$C$4,(200-'Raw Data (Entree)'!L66),0)</f>
        <v>189.01</v>
      </c>
      <c r="H66" s="23">
        <v>3</v>
      </c>
      <c r="I66" s="24">
        <f>SUMPRODUCT(F66:H66,'Output (Entree)'!$B$5:$D$5)*E66</f>
        <v>39.902000000000001</v>
      </c>
      <c r="J66" s="25">
        <v>0</v>
      </c>
      <c r="K66" s="49">
        <f t="shared" si="0"/>
        <v>0</v>
      </c>
      <c r="L66" s="20">
        <v>10.99</v>
      </c>
      <c r="M66" s="6" t="s">
        <v>164</v>
      </c>
      <c r="N66" s="6" t="s">
        <v>555</v>
      </c>
      <c r="O66" s="6" t="s">
        <v>556</v>
      </c>
      <c r="P66" s="6" t="s">
        <v>557</v>
      </c>
      <c r="Q66" s="26">
        <v>0.125</v>
      </c>
      <c r="R66" s="6" t="s">
        <v>518</v>
      </c>
      <c r="S66" s="6" t="s">
        <v>558</v>
      </c>
      <c r="T66" s="6" t="s">
        <v>148</v>
      </c>
      <c r="U66" s="6">
        <f>VLOOKUP($C66,'Food Pairing Data'!$C$2:$S$188,5)</f>
        <v>0</v>
      </c>
      <c r="V66" s="6">
        <f>VLOOKUP($C66,'Food Pairing Data'!$C$2:$S$188,6)</f>
        <v>0</v>
      </c>
      <c r="W66" s="6">
        <f>VLOOKUP($C66,'Food Pairing Data'!$C$2:$S$188,7)</f>
        <v>1</v>
      </c>
      <c r="X66" s="6">
        <f>VLOOKUP($C66,'Food Pairing Data'!$C$2:$S$188,8)</f>
        <v>1</v>
      </c>
      <c r="Y66" s="6">
        <f>VLOOKUP($C66,'Food Pairing Data'!$C$2:$S$188,9)</f>
        <v>0</v>
      </c>
      <c r="Z66" s="6">
        <f>VLOOKUP($C66,'Food Pairing Data'!$C$2:$S$188,10)</f>
        <v>0</v>
      </c>
      <c r="AA66" s="6">
        <f>VLOOKUP($C66,'Food Pairing Data'!$C$2:$S$188,11)</f>
        <v>0</v>
      </c>
      <c r="AB66" s="6">
        <f>VLOOKUP($C66,'Food Pairing Data'!$C$2:$S$188,12)</f>
        <v>0</v>
      </c>
      <c r="AC66" s="6">
        <f>VLOOKUP($C66,'Food Pairing Data'!$C$2:$S$188,13)</f>
        <v>0</v>
      </c>
      <c r="AD66" s="6">
        <f>VLOOKUP($C66,'Food Pairing Data'!$C$2:$S$188,14)</f>
        <v>0</v>
      </c>
      <c r="AE66" s="6">
        <f>VLOOKUP($C66,'Food Pairing Data'!$C$2:$S$188,15)</f>
        <v>0</v>
      </c>
      <c r="AF66" s="6">
        <f>VLOOKUP($C66,'Food Pairing Data'!$C$2:$S$188,16)</f>
        <v>0</v>
      </c>
      <c r="AG66" s="6">
        <f>VLOOKUP($C66,'Food Pairing Data'!$C$2:$S$188,17)</f>
        <v>0</v>
      </c>
      <c r="AH66" s="6" t="s">
        <v>554</v>
      </c>
      <c r="AI66" s="6" t="s">
        <v>380</v>
      </c>
    </row>
    <row r="67" spans="1:35" ht="14">
      <c r="A67" s="6">
        <f t="shared" si="1"/>
        <v>65</v>
      </c>
      <c r="B67" s="6" t="s">
        <v>23</v>
      </c>
      <c r="C67" s="6" t="s">
        <v>559</v>
      </c>
      <c r="D67" s="6" t="s">
        <v>380</v>
      </c>
      <c r="E67" s="22">
        <f>HLOOKUP('Output (Entree)'!$F$4,'Raw Data (Entree)'!$U$2:$BP$88,(A67+1),)</f>
        <v>0</v>
      </c>
      <c r="F67" s="23">
        <f>IF(D67='Output (Entree)'!$B$4,1,0)</f>
        <v>0</v>
      </c>
      <c r="G67" s="23">
        <f>IF(L67&lt;='Output (Entree)'!$C$4,(200-'Raw Data (Entree)'!L67),0)</f>
        <v>189.01</v>
      </c>
      <c r="H67" s="23">
        <v>3</v>
      </c>
      <c r="I67" s="24">
        <f>SUMPRODUCT(F67:H67,'Output (Entree)'!$B$5:$D$5)*E67</f>
        <v>0</v>
      </c>
      <c r="J67" s="25">
        <v>0</v>
      </c>
      <c r="K67" s="49">
        <f t="shared" si="0"/>
        <v>0</v>
      </c>
      <c r="L67" s="20">
        <v>10.99</v>
      </c>
      <c r="M67" s="6" t="s">
        <v>531</v>
      </c>
      <c r="N67" s="6" t="s">
        <v>560</v>
      </c>
      <c r="O67" s="6" t="s">
        <v>533</v>
      </c>
      <c r="P67" s="6" t="s">
        <v>561</v>
      </c>
      <c r="Q67" s="26">
        <v>0.13500000000000001</v>
      </c>
      <c r="R67" s="6" t="s">
        <v>87</v>
      </c>
      <c r="S67" s="6" t="s">
        <v>156</v>
      </c>
      <c r="T67" s="6" t="s">
        <v>562</v>
      </c>
      <c r="U67" s="6">
        <f>VLOOKUP($C67,'Food Pairing Data'!$C$2:$S$188,5)</f>
        <v>0</v>
      </c>
      <c r="V67" s="6">
        <f>VLOOKUP($C67,'Food Pairing Data'!$C$2:$S$188,6)</f>
        <v>0</v>
      </c>
      <c r="W67" s="6">
        <f>VLOOKUP($C67,'Food Pairing Data'!$C$2:$S$188,7)</f>
        <v>0</v>
      </c>
      <c r="X67" s="6">
        <f>VLOOKUP($C67,'Food Pairing Data'!$C$2:$S$188,8)</f>
        <v>0</v>
      </c>
      <c r="Y67" s="6">
        <f>VLOOKUP($C67,'Food Pairing Data'!$C$2:$S$188,9)</f>
        <v>0</v>
      </c>
      <c r="Z67" s="6">
        <f>VLOOKUP($C67,'Food Pairing Data'!$C$2:$S$188,10)</f>
        <v>0</v>
      </c>
      <c r="AA67" s="6">
        <f>VLOOKUP($C67,'Food Pairing Data'!$C$2:$S$188,11)</f>
        <v>0</v>
      </c>
      <c r="AB67" s="6">
        <f>VLOOKUP($C67,'Food Pairing Data'!$C$2:$S$188,12)</f>
        <v>0</v>
      </c>
      <c r="AC67" s="6">
        <f>VLOOKUP($C67,'Food Pairing Data'!$C$2:$S$188,13)</f>
        <v>0</v>
      </c>
      <c r="AD67" s="6">
        <f>VLOOKUP($C67,'Food Pairing Data'!$C$2:$S$188,14)</f>
        <v>1</v>
      </c>
      <c r="AE67" s="6">
        <f>VLOOKUP($C67,'Food Pairing Data'!$C$2:$S$188,15)</f>
        <v>0</v>
      </c>
      <c r="AF67" s="6">
        <f>VLOOKUP($C67,'Food Pairing Data'!$C$2:$S$188,16)</f>
        <v>0</v>
      </c>
      <c r="AG67" s="6">
        <f>VLOOKUP($C67,'Food Pairing Data'!$C$2:$S$188,17)</f>
        <v>0</v>
      </c>
      <c r="AH67" s="6" t="s">
        <v>559</v>
      </c>
      <c r="AI67" s="6" t="s">
        <v>380</v>
      </c>
    </row>
    <row r="68" spans="1:35" ht="14">
      <c r="A68" s="6">
        <f t="shared" si="1"/>
        <v>66</v>
      </c>
      <c r="B68" s="6" t="s">
        <v>245</v>
      </c>
      <c r="C68" s="6" t="s">
        <v>563</v>
      </c>
      <c r="D68" s="6" t="s">
        <v>380</v>
      </c>
      <c r="E68" s="22">
        <f>HLOOKUP('Output (Entree)'!$F$4,'Raw Data (Entree)'!$U$2:$BP$88,(A68+1),)</f>
        <v>1</v>
      </c>
      <c r="F68" s="23">
        <f>IF(D68='Output (Entree)'!$B$4,1,0)</f>
        <v>0</v>
      </c>
      <c r="G68" s="23">
        <f>IF(L68&lt;='Output (Entree)'!$C$4,(200-'Raw Data (Entree)'!L68),0)</f>
        <v>190.01</v>
      </c>
      <c r="H68" s="23">
        <v>3</v>
      </c>
      <c r="I68" s="24">
        <f>SUMPRODUCT(F68:H68,'Output (Entree)'!$B$5:$D$5)*E68</f>
        <v>40.102000000000004</v>
      </c>
      <c r="J68" s="25">
        <v>0</v>
      </c>
      <c r="K68" s="49">
        <f t="shared" ref="K68:K88" si="2">J68</f>
        <v>0</v>
      </c>
      <c r="L68" s="20">
        <v>9.99</v>
      </c>
      <c r="M68" s="6" t="s">
        <v>164</v>
      </c>
      <c r="N68" s="6" t="s">
        <v>564</v>
      </c>
      <c r="O68" s="6" t="s">
        <v>565</v>
      </c>
      <c r="P68" s="6" t="s">
        <v>566</v>
      </c>
      <c r="Q68" s="26">
        <v>0.115</v>
      </c>
      <c r="R68" s="6" t="s">
        <v>36</v>
      </c>
      <c r="S68" s="6" t="s">
        <v>90</v>
      </c>
      <c r="T68" s="6" t="s">
        <v>147</v>
      </c>
      <c r="U68" s="6">
        <f>VLOOKUP($C68,'Food Pairing Data'!$C$2:$S$188,5)</f>
        <v>0</v>
      </c>
      <c r="V68" s="6">
        <f>VLOOKUP($C68,'Food Pairing Data'!$C$2:$S$188,6)</f>
        <v>0</v>
      </c>
      <c r="W68" s="6">
        <f>VLOOKUP($C68,'Food Pairing Data'!$C$2:$S$188,7)</f>
        <v>1</v>
      </c>
      <c r="X68" s="6">
        <f>VLOOKUP($C68,'Food Pairing Data'!$C$2:$S$188,8)</f>
        <v>1</v>
      </c>
      <c r="Y68" s="6">
        <f>VLOOKUP($C68,'Food Pairing Data'!$C$2:$S$188,9)</f>
        <v>0</v>
      </c>
      <c r="Z68" s="6">
        <f>VLOOKUP($C68,'Food Pairing Data'!$C$2:$S$188,10)</f>
        <v>0</v>
      </c>
      <c r="AA68" s="6">
        <f>VLOOKUP($C68,'Food Pairing Data'!$C$2:$S$188,11)</f>
        <v>0</v>
      </c>
      <c r="AB68" s="6">
        <f>VLOOKUP($C68,'Food Pairing Data'!$C$2:$S$188,12)</f>
        <v>0</v>
      </c>
      <c r="AC68" s="6">
        <f>VLOOKUP($C68,'Food Pairing Data'!$C$2:$S$188,13)</f>
        <v>0</v>
      </c>
      <c r="AD68" s="6">
        <f>VLOOKUP($C68,'Food Pairing Data'!$C$2:$S$188,14)</f>
        <v>0</v>
      </c>
      <c r="AE68" s="6">
        <f>VLOOKUP($C68,'Food Pairing Data'!$C$2:$S$188,15)</f>
        <v>0</v>
      </c>
      <c r="AF68" s="6">
        <f>VLOOKUP($C68,'Food Pairing Data'!$C$2:$S$188,16)</f>
        <v>0</v>
      </c>
      <c r="AG68" s="6">
        <f>VLOOKUP($C68,'Food Pairing Data'!$C$2:$S$188,17)</f>
        <v>0</v>
      </c>
      <c r="AH68" s="6" t="s">
        <v>563</v>
      </c>
      <c r="AI68" s="6" t="s">
        <v>380</v>
      </c>
    </row>
    <row r="69" spans="1:35" ht="14">
      <c r="A69" s="6">
        <f t="shared" ref="A69:A88" si="3">A68+1</f>
        <v>67</v>
      </c>
      <c r="B69" s="6" t="s">
        <v>245</v>
      </c>
      <c r="C69" s="6" t="s">
        <v>567</v>
      </c>
      <c r="D69" s="6" t="s">
        <v>380</v>
      </c>
      <c r="E69" s="22">
        <f>HLOOKUP('Output (Entree)'!$F$4,'Raw Data (Entree)'!$U$2:$BP$88,(A69+1),)</f>
        <v>0</v>
      </c>
      <c r="F69" s="23">
        <f>IF(D69='Output (Entree)'!$B$4,1,0)</f>
        <v>0</v>
      </c>
      <c r="G69" s="23">
        <f>IF(L69&lt;='Output (Entree)'!$C$4,(200-'Raw Data (Entree)'!L69),0)</f>
        <v>193.01</v>
      </c>
      <c r="H69" s="23">
        <v>3</v>
      </c>
      <c r="I69" s="24">
        <f>SUMPRODUCT(F69:H69,'Output (Entree)'!$B$5:$D$5)*E69</f>
        <v>0</v>
      </c>
      <c r="J69" s="25">
        <v>0</v>
      </c>
      <c r="K69" s="49">
        <f t="shared" si="2"/>
        <v>0</v>
      </c>
      <c r="L69" s="20">
        <v>6.99</v>
      </c>
      <c r="M69" s="6" t="s">
        <v>296</v>
      </c>
      <c r="N69" s="6" t="s">
        <v>568</v>
      </c>
      <c r="O69" s="6" t="s">
        <v>569</v>
      </c>
      <c r="P69" s="6" t="s">
        <v>570</v>
      </c>
      <c r="Q69" s="26">
        <v>9.5000000000000001E-2</v>
      </c>
      <c r="R69" s="6" t="s">
        <v>75</v>
      </c>
      <c r="S69" s="6" t="s">
        <v>92</v>
      </c>
      <c r="T69" s="6" t="s">
        <v>141</v>
      </c>
      <c r="U69" s="6">
        <f>VLOOKUP($C69,'Food Pairing Data'!$C$2:$S$188,5)</f>
        <v>0</v>
      </c>
      <c r="V69" s="6">
        <f>VLOOKUP($C69,'Food Pairing Data'!$C$2:$S$188,6)</f>
        <v>0</v>
      </c>
      <c r="W69" s="6">
        <f>VLOOKUP($C69,'Food Pairing Data'!$C$2:$S$188,7)</f>
        <v>0</v>
      </c>
      <c r="X69" s="6">
        <f>VLOOKUP($C69,'Food Pairing Data'!$C$2:$S$188,8)</f>
        <v>0</v>
      </c>
      <c r="Y69" s="6">
        <f>VLOOKUP($C69,'Food Pairing Data'!$C$2:$S$188,9)</f>
        <v>0</v>
      </c>
      <c r="Z69" s="6">
        <f>VLOOKUP($C69,'Food Pairing Data'!$C$2:$S$188,10)</f>
        <v>0</v>
      </c>
      <c r="AA69" s="6">
        <f>VLOOKUP($C69,'Food Pairing Data'!$C$2:$S$188,11)</f>
        <v>0</v>
      </c>
      <c r="AB69" s="6">
        <f>VLOOKUP($C69,'Food Pairing Data'!$C$2:$S$188,12)</f>
        <v>0</v>
      </c>
      <c r="AC69" s="6">
        <f>VLOOKUP($C69,'Food Pairing Data'!$C$2:$S$188,13)</f>
        <v>0</v>
      </c>
      <c r="AD69" s="6">
        <f>VLOOKUP($C69,'Food Pairing Data'!$C$2:$S$188,14)</f>
        <v>1</v>
      </c>
      <c r="AE69" s="6">
        <f>VLOOKUP($C69,'Food Pairing Data'!$C$2:$S$188,15)</f>
        <v>0</v>
      </c>
      <c r="AF69" s="6">
        <f>VLOOKUP($C69,'Food Pairing Data'!$C$2:$S$188,16)</f>
        <v>0</v>
      </c>
      <c r="AG69" s="6">
        <f>VLOOKUP($C69,'Food Pairing Data'!$C$2:$S$188,17)</f>
        <v>0</v>
      </c>
      <c r="AH69" s="6" t="s">
        <v>567</v>
      </c>
      <c r="AI69" s="6" t="s">
        <v>380</v>
      </c>
    </row>
    <row r="70" spans="1:35" ht="14">
      <c r="A70" s="6">
        <f t="shared" si="3"/>
        <v>68</v>
      </c>
      <c r="B70" s="6" t="s">
        <v>23</v>
      </c>
      <c r="C70" s="6" t="s">
        <v>571</v>
      </c>
      <c r="D70" s="6" t="s">
        <v>380</v>
      </c>
      <c r="E70" s="22">
        <f>HLOOKUP('Output (Entree)'!$F$4,'Raw Data (Entree)'!$U$2:$BP$88,(A70+1),)</f>
        <v>0</v>
      </c>
      <c r="F70" s="23">
        <f>IF(D70='Output (Entree)'!$B$4,1,0)</f>
        <v>0</v>
      </c>
      <c r="G70" s="23">
        <f>IF(L70&lt;='Output (Entree)'!$C$4,(200-'Raw Data (Entree)'!L70),0)</f>
        <v>186.01</v>
      </c>
      <c r="H70" s="23">
        <v>2.5</v>
      </c>
      <c r="I70" s="24">
        <f>SUMPRODUCT(F70:H70,'Output (Entree)'!$B$5:$D$5)*E70</f>
        <v>0</v>
      </c>
      <c r="J70" s="25">
        <v>0</v>
      </c>
      <c r="K70" s="49">
        <f t="shared" si="2"/>
        <v>0</v>
      </c>
      <c r="L70" s="20">
        <v>13.99</v>
      </c>
      <c r="M70" s="6" t="s">
        <v>546</v>
      </c>
      <c r="N70" s="6" t="s">
        <v>547</v>
      </c>
      <c r="O70" s="6" t="s">
        <v>533</v>
      </c>
      <c r="P70" s="6" t="s">
        <v>297</v>
      </c>
      <c r="Q70" s="26">
        <v>0.13500000000000001</v>
      </c>
      <c r="R70" s="6" t="s">
        <v>61</v>
      </c>
      <c r="S70" s="6" t="s">
        <v>142</v>
      </c>
      <c r="T70" s="6" t="s">
        <v>102</v>
      </c>
      <c r="U70" s="6">
        <f>VLOOKUP($C70,'Food Pairing Data'!$C$2:$S$188,5)</f>
        <v>0</v>
      </c>
      <c r="V70" s="6">
        <f>VLOOKUP($C70,'Food Pairing Data'!$C$2:$S$188,6)</f>
        <v>0</v>
      </c>
      <c r="W70" s="6">
        <f>VLOOKUP($C70,'Food Pairing Data'!$C$2:$S$188,7)</f>
        <v>0</v>
      </c>
      <c r="X70" s="6">
        <f>VLOOKUP($C70,'Food Pairing Data'!$C$2:$S$188,8)</f>
        <v>0</v>
      </c>
      <c r="Y70" s="6">
        <f>VLOOKUP($C70,'Food Pairing Data'!$C$2:$S$188,9)</f>
        <v>0</v>
      </c>
      <c r="Z70" s="6">
        <f>VLOOKUP($C70,'Food Pairing Data'!$C$2:$S$188,10)</f>
        <v>0</v>
      </c>
      <c r="AA70" s="6">
        <f>VLOOKUP($C70,'Food Pairing Data'!$C$2:$S$188,11)</f>
        <v>0</v>
      </c>
      <c r="AB70" s="6">
        <f>VLOOKUP($C70,'Food Pairing Data'!$C$2:$S$188,12)</f>
        <v>0</v>
      </c>
      <c r="AC70" s="6">
        <f>VLOOKUP($C70,'Food Pairing Data'!$C$2:$S$188,13)</f>
        <v>0</v>
      </c>
      <c r="AD70" s="6">
        <f>VLOOKUP($C70,'Food Pairing Data'!$C$2:$S$188,14)</f>
        <v>1</v>
      </c>
      <c r="AE70" s="6">
        <f>VLOOKUP($C70,'Food Pairing Data'!$C$2:$S$188,15)</f>
        <v>0</v>
      </c>
      <c r="AF70" s="6">
        <f>VLOOKUP($C70,'Food Pairing Data'!$C$2:$S$188,16)</f>
        <v>0</v>
      </c>
      <c r="AG70" s="6">
        <f>VLOOKUP($C70,'Food Pairing Data'!$C$2:$S$188,17)</f>
        <v>0</v>
      </c>
      <c r="AH70" s="6" t="s">
        <v>571</v>
      </c>
      <c r="AI70" s="6" t="s">
        <v>380</v>
      </c>
    </row>
    <row r="71" spans="1:35" ht="14">
      <c r="A71" s="6">
        <f t="shared" si="3"/>
        <v>69</v>
      </c>
      <c r="B71" s="6" t="s">
        <v>23</v>
      </c>
      <c r="C71" s="6" t="s">
        <v>572</v>
      </c>
      <c r="D71" s="6" t="s">
        <v>573</v>
      </c>
      <c r="E71" s="22">
        <f>HLOOKUP('Output (Entree)'!$F$4,'Raw Data (Entree)'!$U$2:$BP$88,(A71+1),)</f>
        <v>0</v>
      </c>
      <c r="F71" s="23">
        <f>IF(D71='Output (Entree)'!$B$4,1,0)</f>
        <v>0</v>
      </c>
      <c r="G71" s="23">
        <f>IF(L71&lt;='Output (Entree)'!$C$4,(200-'Raw Data (Entree)'!L71),0)</f>
        <v>180.01</v>
      </c>
      <c r="H71" s="23">
        <v>5</v>
      </c>
      <c r="I71" s="24">
        <f>SUMPRODUCT(F71:H71,'Output (Entree)'!$B$5:$D$5)*E71</f>
        <v>0</v>
      </c>
      <c r="J71" s="25">
        <v>0</v>
      </c>
      <c r="K71" s="49">
        <f t="shared" si="2"/>
        <v>0</v>
      </c>
      <c r="L71" s="20">
        <v>19.989999999999998</v>
      </c>
      <c r="M71" s="6" t="s">
        <v>574</v>
      </c>
      <c r="N71" s="6" t="s">
        <v>575</v>
      </c>
      <c r="O71" s="6" t="s">
        <v>416</v>
      </c>
      <c r="P71" s="6" t="s">
        <v>417</v>
      </c>
      <c r="Q71" s="26">
        <v>0.115</v>
      </c>
      <c r="R71" s="6" t="s">
        <v>56</v>
      </c>
      <c r="S71" s="6" t="s">
        <v>418</v>
      </c>
      <c r="T71" s="6" t="s">
        <v>148</v>
      </c>
      <c r="U71" s="6">
        <f>VLOOKUP($C71,'Food Pairing Data'!$C$2:$S$188,5)</f>
        <v>0</v>
      </c>
      <c r="V71" s="6">
        <f>VLOOKUP($C71,'Food Pairing Data'!$C$2:$S$188,6)</f>
        <v>0</v>
      </c>
      <c r="W71" s="6">
        <f>VLOOKUP($C71,'Food Pairing Data'!$C$2:$S$188,7)</f>
        <v>0</v>
      </c>
      <c r="X71" s="6">
        <f>VLOOKUP($C71,'Food Pairing Data'!$C$2:$S$188,8)</f>
        <v>0</v>
      </c>
      <c r="Y71" s="6">
        <f>VLOOKUP($C71,'Food Pairing Data'!$C$2:$S$188,9)</f>
        <v>0</v>
      </c>
      <c r="Z71" s="6">
        <f>VLOOKUP($C71,'Food Pairing Data'!$C$2:$S$188,10)</f>
        <v>0</v>
      </c>
      <c r="AA71" s="6">
        <f>VLOOKUP($C71,'Food Pairing Data'!$C$2:$S$188,11)</f>
        <v>0</v>
      </c>
      <c r="AB71" s="6">
        <f>VLOOKUP($C71,'Food Pairing Data'!$C$2:$S$188,12)</f>
        <v>0</v>
      </c>
      <c r="AC71" s="6">
        <f>VLOOKUP($C71,'Food Pairing Data'!$C$2:$S$188,13)</f>
        <v>0</v>
      </c>
      <c r="AD71" s="6">
        <f>VLOOKUP($C71,'Food Pairing Data'!$C$2:$S$188,14)</f>
        <v>1</v>
      </c>
      <c r="AE71" s="6">
        <f>VLOOKUP($C71,'Food Pairing Data'!$C$2:$S$188,15)</f>
        <v>0</v>
      </c>
      <c r="AF71" s="6">
        <f>VLOOKUP($C71,'Food Pairing Data'!$C$2:$S$188,16)</f>
        <v>0</v>
      </c>
      <c r="AG71" s="6">
        <f>VLOOKUP($C71,'Food Pairing Data'!$C$2:$S$188,17)</f>
        <v>0</v>
      </c>
      <c r="AH71" s="6" t="s">
        <v>572</v>
      </c>
      <c r="AI71" s="6" t="s">
        <v>573</v>
      </c>
    </row>
    <row r="72" spans="1:35" ht="14">
      <c r="A72" s="6">
        <f t="shared" si="3"/>
        <v>70</v>
      </c>
      <c r="B72" s="6" t="s">
        <v>23</v>
      </c>
      <c r="C72" s="6" t="s">
        <v>419</v>
      </c>
      <c r="D72" s="6" t="s">
        <v>573</v>
      </c>
      <c r="E72" s="22">
        <f>HLOOKUP('Output (Entree)'!$F$4,'Raw Data (Entree)'!$U$2:$BP$88,(A72+1),)</f>
        <v>0</v>
      </c>
      <c r="F72" s="23">
        <f>IF(D72='Output (Entree)'!$B$4,1,0)</f>
        <v>0</v>
      </c>
      <c r="G72" s="23">
        <f>IF(L72&lt;='Output (Entree)'!$C$4,(200-'Raw Data (Entree)'!L72),0)</f>
        <v>181.01</v>
      </c>
      <c r="H72" s="23">
        <v>5</v>
      </c>
      <c r="I72" s="24">
        <f>SUMPRODUCT(F72:H72,'Output (Entree)'!$B$5:$D$5)*E72</f>
        <v>0</v>
      </c>
      <c r="J72" s="25">
        <v>0</v>
      </c>
      <c r="K72" s="49">
        <f t="shared" si="2"/>
        <v>0</v>
      </c>
      <c r="L72" s="20">
        <v>18.989999999999998</v>
      </c>
      <c r="M72" s="6" t="s">
        <v>525</v>
      </c>
      <c r="N72" s="6" t="s">
        <v>580</v>
      </c>
      <c r="O72" s="6" t="s">
        <v>421</v>
      </c>
      <c r="P72" s="6" t="s">
        <v>422</v>
      </c>
      <c r="Q72" s="26">
        <v>0.14000000000000001</v>
      </c>
      <c r="R72" s="6" t="s">
        <v>523</v>
      </c>
      <c r="S72" s="6" t="s">
        <v>558</v>
      </c>
      <c r="T72" s="6" t="s">
        <v>102</v>
      </c>
      <c r="U72" s="6">
        <f>VLOOKUP($C72,'Food Pairing Data'!$C$2:$S$188,5)</f>
        <v>0</v>
      </c>
      <c r="V72" s="6">
        <f>VLOOKUP($C72,'Food Pairing Data'!$C$2:$S$188,6)</f>
        <v>0</v>
      </c>
      <c r="W72" s="6">
        <f>VLOOKUP($C72,'Food Pairing Data'!$C$2:$S$188,7)</f>
        <v>0</v>
      </c>
      <c r="X72" s="6">
        <f>VLOOKUP($C72,'Food Pairing Data'!$C$2:$S$188,8)</f>
        <v>1</v>
      </c>
      <c r="Y72" s="6">
        <f>VLOOKUP($C72,'Food Pairing Data'!$C$2:$S$188,9)</f>
        <v>0</v>
      </c>
      <c r="Z72" s="6">
        <f>VLOOKUP($C72,'Food Pairing Data'!$C$2:$S$188,10)</f>
        <v>1</v>
      </c>
      <c r="AA72" s="6">
        <f>VLOOKUP($C72,'Food Pairing Data'!$C$2:$S$188,11)</f>
        <v>0</v>
      </c>
      <c r="AB72" s="6">
        <f>VLOOKUP($C72,'Food Pairing Data'!$C$2:$S$188,12)</f>
        <v>0</v>
      </c>
      <c r="AC72" s="6">
        <f>VLOOKUP($C72,'Food Pairing Data'!$C$2:$S$188,13)</f>
        <v>0</v>
      </c>
      <c r="AD72" s="6">
        <f>VLOOKUP($C72,'Food Pairing Data'!$C$2:$S$188,14)</f>
        <v>0</v>
      </c>
      <c r="AE72" s="6">
        <f>VLOOKUP($C72,'Food Pairing Data'!$C$2:$S$188,15)</f>
        <v>0</v>
      </c>
      <c r="AF72" s="6">
        <f>VLOOKUP($C72,'Food Pairing Data'!$C$2:$S$188,16)</f>
        <v>0</v>
      </c>
      <c r="AG72" s="6">
        <f>VLOOKUP($C72,'Food Pairing Data'!$C$2:$S$188,17)</f>
        <v>0</v>
      </c>
      <c r="AH72" s="6" t="s">
        <v>419</v>
      </c>
      <c r="AI72" s="6" t="s">
        <v>573</v>
      </c>
    </row>
    <row r="73" spans="1:35" ht="14">
      <c r="A73" s="6">
        <f t="shared" si="3"/>
        <v>71</v>
      </c>
      <c r="B73" s="6" t="s">
        <v>23</v>
      </c>
      <c r="C73" s="6" t="s">
        <v>423</v>
      </c>
      <c r="D73" s="6" t="s">
        <v>573</v>
      </c>
      <c r="E73" s="22">
        <f>HLOOKUP('Output (Entree)'!$F$4,'Raw Data (Entree)'!$U$2:$BP$88,(A73+1),)</f>
        <v>1</v>
      </c>
      <c r="F73" s="23">
        <f>IF(D73='Output (Entree)'!$B$4,1,0)</f>
        <v>0</v>
      </c>
      <c r="G73" s="23">
        <f>IF(L73&lt;='Output (Entree)'!$C$4,(200-'Raw Data (Entree)'!L73),0)</f>
        <v>185.01</v>
      </c>
      <c r="H73" s="23">
        <v>4.5</v>
      </c>
      <c r="I73" s="24">
        <f>SUMPRODUCT(F73:H73,'Output (Entree)'!$B$5:$D$5)*E73</f>
        <v>40.152000000000001</v>
      </c>
      <c r="J73" s="25">
        <v>0</v>
      </c>
      <c r="K73" s="49">
        <f t="shared" si="2"/>
        <v>0</v>
      </c>
      <c r="L73" s="20">
        <v>14.99</v>
      </c>
      <c r="M73" s="6" t="s">
        <v>164</v>
      </c>
      <c r="N73" s="6" t="s">
        <v>424</v>
      </c>
      <c r="O73" s="6" t="s">
        <v>425</v>
      </c>
      <c r="P73" s="6" t="s">
        <v>540</v>
      </c>
      <c r="Q73" s="26">
        <v>0.13</v>
      </c>
      <c r="R73" s="6" t="s">
        <v>56</v>
      </c>
      <c r="S73" s="6" t="s">
        <v>518</v>
      </c>
      <c r="T73" s="6" t="s">
        <v>149</v>
      </c>
      <c r="U73" s="6">
        <f>VLOOKUP($C73,'Food Pairing Data'!$C$2:$S$188,5)</f>
        <v>0</v>
      </c>
      <c r="V73" s="6">
        <f>VLOOKUP($C73,'Food Pairing Data'!$C$2:$S$188,6)</f>
        <v>0</v>
      </c>
      <c r="W73" s="6">
        <f>VLOOKUP($C73,'Food Pairing Data'!$C$2:$S$188,7)</f>
        <v>1</v>
      </c>
      <c r="X73" s="6">
        <f>VLOOKUP($C73,'Food Pairing Data'!$C$2:$S$188,8)</f>
        <v>1</v>
      </c>
      <c r="Y73" s="6">
        <f>VLOOKUP($C73,'Food Pairing Data'!$C$2:$S$188,9)</f>
        <v>0</v>
      </c>
      <c r="Z73" s="6">
        <f>VLOOKUP($C73,'Food Pairing Data'!$C$2:$S$188,10)</f>
        <v>0</v>
      </c>
      <c r="AA73" s="6">
        <f>VLOOKUP($C73,'Food Pairing Data'!$C$2:$S$188,11)</f>
        <v>0</v>
      </c>
      <c r="AB73" s="6">
        <f>VLOOKUP($C73,'Food Pairing Data'!$C$2:$S$188,12)</f>
        <v>0</v>
      </c>
      <c r="AC73" s="6">
        <f>VLOOKUP($C73,'Food Pairing Data'!$C$2:$S$188,13)</f>
        <v>0</v>
      </c>
      <c r="AD73" s="6">
        <f>VLOOKUP($C73,'Food Pairing Data'!$C$2:$S$188,14)</f>
        <v>0</v>
      </c>
      <c r="AE73" s="6">
        <f>VLOOKUP($C73,'Food Pairing Data'!$C$2:$S$188,15)</f>
        <v>0</v>
      </c>
      <c r="AF73" s="6">
        <f>VLOOKUP($C73,'Food Pairing Data'!$C$2:$S$188,16)</f>
        <v>0</v>
      </c>
      <c r="AG73" s="6">
        <f>VLOOKUP($C73,'Food Pairing Data'!$C$2:$S$188,17)</f>
        <v>0</v>
      </c>
      <c r="AH73" s="6" t="s">
        <v>423</v>
      </c>
      <c r="AI73" s="6" t="s">
        <v>573</v>
      </c>
    </row>
    <row r="74" spans="1:35" ht="14">
      <c r="A74" s="6">
        <f t="shared" si="3"/>
        <v>72</v>
      </c>
      <c r="B74" s="6" t="s">
        <v>23</v>
      </c>
      <c r="C74" s="6" t="s">
        <v>426</v>
      </c>
      <c r="D74" s="6" t="s">
        <v>573</v>
      </c>
      <c r="E74" s="22">
        <f>HLOOKUP('Output (Entree)'!$F$4,'Raw Data (Entree)'!$U$2:$BP$88,(A74+1),)</f>
        <v>0</v>
      </c>
      <c r="F74" s="23">
        <f>IF(D74='Output (Entree)'!$B$4,1,0)</f>
        <v>0</v>
      </c>
      <c r="G74" s="23">
        <f>IF(L74&lt;='Output (Entree)'!$C$4,(200-'Raw Data (Entree)'!L74),0)</f>
        <v>183.01</v>
      </c>
      <c r="H74" s="23">
        <v>4</v>
      </c>
      <c r="I74" s="24">
        <f>SUMPRODUCT(F74:H74,'Output (Entree)'!$B$5:$D$5)*E74</f>
        <v>0</v>
      </c>
      <c r="J74" s="25">
        <v>0</v>
      </c>
      <c r="K74" s="49">
        <f t="shared" si="2"/>
        <v>0</v>
      </c>
      <c r="L74" s="20">
        <v>16.989999999999998</v>
      </c>
      <c r="M74" s="6" t="s">
        <v>525</v>
      </c>
      <c r="N74" s="6" t="s">
        <v>427</v>
      </c>
      <c r="O74" s="6" t="s">
        <v>428</v>
      </c>
      <c r="P74" s="6" t="s">
        <v>429</v>
      </c>
      <c r="Q74" s="26">
        <v>0.14000000000000001</v>
      </c>
      <c r="R74" s="6" t="s">
        <v>63</v>
      </c>
      <c r="S74" s="6" t="s">
        <v>56</v>
      </c>
      <c r="T74" s="6" t="s">
        <v>553</v>
      </c>
      <c r="U74" s="6">
        <f>VLOOKUP($C74,'Food Pairing Data'!$C$2:$S$188,5)</f>
        <v>0</v>
      </c>
      <c r="V74" s="6">
        <f>VLOOKUP($C74,'Food Pairing Data'!$C$2:$S$188,6)</f>
        <v>0</v>
      </c>
      <c r="W74" s="6">
        <f>VLOOKUP($C74,'Food Pairing Data'!$C$2:$S$188,7)</f>
        <v>0</v>
      </c>
      <c r="X74" s="6">
        <f>VLOOKUP($C74,'Food Pairing Data'!$C$2:$S$188,8)</f>
        <v>1</v>
      </c>
      <c r="Y74" s="6">
        <f>VLOOKUP($C74,'Food Pairing Data'!$C$2:$S$188,9)</f>
        <v>0</v>
      </c>
      <c r="Z74" s="6">
        <f>VLOOKUP($C74,'Food Pairing Data'!$C$2:$S$188,10)</f>
        <v>1</v>
      </c>
      <c r="AA74" s="6">
        <f>VLOOKUP($C74,'Food Pairing Data'!$C$2:$S$188,11)</f>
        <v>0</v>
      </c>
      <c r="AB74" s="6">
        <f>VLOOKUP($C74,'Food Pairing Data'!$C$2:$S$188,12)</f>
        <v>0</v>
      </c>
      <c r="AC74" s="6">
        <f>VLOOKUP($C74,'Food Pairing Data'!$C$2:$S$188,13)</f>
        <v>0</v>
      </c>
      <c r="AD74" s="6">
        <f>VLOOKUP($C74,'Food Pairing Data'!$C$2:$S$188,14)</f>
        <v>0</v>
      </c>
      <c r="AE74" s="6">
        <f>VLOOKUP($C74,'Food Pairing Data'!$C$2:$S$188,15)</f>
        <v>0</v>
      </c>
      <c r="AF74" s="6">
        <f>VLOOKUP($C74,'Food Pairing Data'!$C$2:$S$188,16)</f>
        <v>0</v>
      </c>
      <c r="AG74" s="6">
        <f>VLOOKUP($C74,'Food Pairing Data'!$C$2:$S$188,17)</f>
        <v>0</v>
      </c>
      <c r="AH74" s="6" t="s">
        <v>426</v>
      </c>
      <c r="AI74" s="6" t="s">
        <v>573</v>
      </c>
    </row>
    <row r="75" spans="1:35" ht="14">
      <c r="A75" s="6">
        <f t="shared" si="3"/>
        <v>73</v>
      </c>
      <c r="B75" s="6" t="s">
        <v>245</v>
      </c>
      <c r="C75" s="6" t="s">
        <v>601</v>
      </c>
      <c r="D75" s="6" t="s">
        <v>573</v>
      </c>
      <c r="E75" s="22">
        <f>HLOOKUP('Output (Entree)'!$F$4,'Raw Data (Entree)'!$U$2:$BP$88,(A75+1),)</f>
        <v>0</v>
      </c>
      <c r="F75" s="23">
        <f>IF(D75='Output (Entree)'!$B$4,1,0)</f>
        <v>0</v>
      </c>
      <c r="G75" s="23">
        <f>IF(L75&lt;='Output (Entree)'!$C$4,(200-'Raw Data (Entree)'!L75),0)</f>
        <v>190.01</v>
      </c>
      <c r="H75" s="23">
        <v>4</v>
      </c>
      <c r="I75" s="24">
        <f>SUMPRODUCT(F75:H75,'Output (Entree)'!$B$5:$D$5)*E75</f>
        <v>0</v>
      </c>
      <c r="J75" s="25">
        <v>0</v>
      </c>
      <c r="K75" s="49">
        <f t="shared" si="2"/>
        <v>0</v>
      </c>
      <c r="L75" s="20">
        <v>9.99</v>
      </c>
      <c r="M75" s="6" t="s">
        <v>525</v>
      </c>
      <c r="N75" s="6" t="s">
        <v>602</v>
      </c>
      <c r="O75" s="6" t="s">
        <v>603</v>
      </c>
      <c r="P75" s="6" t="s">
        <v>604</v>
      </c>
      <c r="Q75" s="26">
        <v>0.12</v>
      </c>
      <c r="R75" s="6" t="s">
        <v>518</v>
      </c>
      <c r="S75" s="6" t="s">
        <v>90</v>
      </c>
      <c r="T75" s="6" t="s">
        <v>102</v>
      </c>
      <c r="U75" s="6">
        <f>VLOOKUP($C75,'Food Pairing Data'!$C$2:$S$188,5)</f>
        <v>0</v>
      </c>
      <c r="V75" s="6">
        <f>VLOOKUP($C75,'Food Pairing Data'!$C$2:$S$188,6)</f>
        <v>0</v>
      </c>
      <c r="W75" s="6">
        <f>VLOOKUP($C75,'Food Pairing Data'!$C$2:$S$188,7)</f>
        <v>0</v>
      </c>
      <c r="X75" s="6">
        <f>VLOOKUP($C75,'Food Pairing Data'!$C$2:$S$188,8)</f>
        <v>0</v>
      </c>
      <c r="Y75" s="6">
        <f>VLOOKUP($C75,'Food Pairing Data'!$C$2:$S$188,9)</f>
        <v>0</v>
      </c>
      <c r="Z75" s="6">
        <f>VLOOKUP($C75,'Food Pairing Data'!$C$2:$S$188,10)</f>
        <v>0</v>
      </c>
      <c r="AA75" s="6">
        <f>VLOOKUP($C75,'Food Pairing Data'!$C$2:$S$188,11)</f>
        <v>0</v>
      </c>
      <c r="AB75" s="6">
        <f>VLOOKUP($C75,'Food Pairing Data'!$C$2:$S$188,12)</f>
        <v>0</v>
      </c>
      <c r="AC75" s="6">
        <f>VLOOKUP($C75,'Food Pairing Data'!$C$2:$S$188,13)</f>
        <v>0</v>
      </c>
      <c r="AD75" s="6">
        <f>VLOOKUP($C75,'Food Pairing Data'!$C$2:$S$188,14)</f>
        <v>1</v>
      </c>
      <c r="AE75" s="6">
        <f>VLOOKUP($C75,'Food Pairing Data'!$C$2:$S$188,15)</f>
        <v>0</v>
      </c>
      <c r="AF75" s="6">
        <f>VLOOKUP($C75,'Food Pairing Data'!$C$2:$S$188,16)</f>
        <v>0</v>
      </c>
      <c r="AG75" s="6">
        <f>VLOOKUP($C75,'Food Pairing Data'!$C$2:$S$188,17)</f>
        <v>0</v>
      </c>
      <c r="AH75" s="6" t="s">
        <v>601</v>
      </c>
      <c r="AI75" s="6" t="s">
        <v>573</v>
      </c>
    </row>
    <row r="76" spans="1:35" ht="14">
      <c r="A76" s="6">
        <f t="shared" si="3"/>
        <v>74</v>
      </c>
      <c r="B76" s="6" t="s">
        <v>161</v>
      </c>
      <c r="C76" s="6" t="s">
        <v>605</v>
      </c>
      <c r="D76" s="6" t="s">
        <v>606</v>
      </c>
      <c r="E76" s="22">
        <f>HLOOKUP('Output (Entree)'!$F$4,'Raw Data (Entree)'!$U$2:$BP$88,(A76+1),)</f>
        <v>0</v>
      </c>
      <c r="F76" s="23">
        <f>IF(D76='Output (Entree)'!$B$4,1,0)</f>
        <v>0</v>
      </c>
      <c r="G76" s="23">
        <f>IF(L76&lt;='Output (Entree)'!$C$4,(200-'Raw Data (Entree)'!L76),0)</f>
        <v>145.01</v>
      </c>
      <c r="H76" s="23">
        <v>5</v>
      </c>
      <c r="I76" s="24">
        <f>SUMPRODUCT(F76:H76,'Output (Entree)'!$B$5:$D$5)*E76</f>
        <v>0</v>
      </c>
      <c r="J76" s="25">
        <v>0</v>
      </c>
      <c r="K76" s="49">
        <f t="shared" si="2"/>
        <v>0</v>
      </c>
      <c r="L76" s="20">
        <v>54.99</v>
      </c>
      <c r="M76" s="6" t="s">
        <v>525</v>
      </c>
      <c r="N76" s="6" t="s">
        <v>607</v>
      </c>
      <c r="O76" s="6" t="s">
        <v>608</v>
      </c>
      <c r="P76" s="6" t="s">
        <v>540</v>
      </c>
      <c r="Q76" s="26">
        <v>0.125</v>
      </c>
      <c r="R76" s="6" t="s">
        <v>74</v>
      </c>
      <c r="S76" s="6" t="s">
        <v>86</v>
      </c>
      <c r="T76" s="6" t="s">
        <v>104</v>
      </c>
      <c r="U76" s="6">
        <f>VLOOKUP($C76,'Food Pairing Data'!$C$2:$S$188,5)</f>
        <v>0</v>
      </c>
      <c r="V76" s="6">
        <f>VLOOKUP($C76,'Food Pairing Data'!$C$2:$S$188,6)</f>
        <v>0</v>
      </c>
      <c r="W76" s="6">
        <f>VLOOKUP($C76,'Food Pairing Data'!$C$2:$S$188,7)</f>
        <v>0</v>
      </c>
      <c r="X76" s="6">
        <f>VLOOKUP($C76,'Food Pairing Data'!$C$2:$S$188,8)</f>
        <v>0</v>
      </c>
      <c r="Y76" s="6">
        <f>VLOOKUP($C76,'Food Pairing Data'!$C$2:$S$188,9)</f>
        <v>0</v>
      </c>
      <c r="Z76" s="6">
        <f>VLOOKUP($C76,'Food Pairing Data'!$C$2:$S$188,10)</f>
        <v>0</v>
      </c>
      <c r="AA76" s="6">
        <f>VLOOKUP($C76,'Food Pairing Data'!$C$2:$S$188,11)</f>
        <v>0</v>
      </c>
      <c r="AB76" s="6">
        <f>VLOOKUP($C76,'Food Pairing Data'!$C$2:$S$188,12)</f>
        <v>0</v>
      </c>
      <c r="AC76" s="6">
        <f>VLOOKUP($C76,'Food Pairing Data'!$C$2:$S$188,13)</f>
        <v>0</v>
      </c>
      <c r="AD76" s="6">
        <f>VLOOKUP($C76,'Food Pairing Data'!$C$2:$S$188,14)</f>
        <v>1</v>
      </c>
      <c r="AE76" s="6">
        <f>VLOOKUP($C76,'Food Pairing Data'!$C$2:$S$188,15)</f>
        <v>0</v>
      </c>
      <c r="AF76" s="6">
        <f>VLOOKUP($C76,'Food Pairing Data'!$C$2:$S$188,16)</f>
        <v>0</v>
      </c>
      <c r="AG76" s="6">
        <f>VLOOKUP($C76,'Food Pairing Data'!$C$2:$S$188,17)</f>
        <v>0</v>
      </c>
      <c r="AH76" s="6" t="s">
        <v>605</v>
      </c>
      <c r="AI76" s="6" t="s">
        <v>606</v>
      </c>
    </row>
    <row r="77" spans="1:35" ht="14">
      <c r="A77" s="6">
        <f t="shared" si="3"/>
        <v>75</v>
      </c>
      <c r="B77" s="6" t="s">
        <v>181</v>
      </c>
      <c r="C77" s="6" t="s">
        <v>609</v>
      </c>
      <c r="D77" s="6" t="s">
        <v>606</v>
      </c>
      <c r="E77" s="22">
        <f>HLOOKUP('Output (Entree)'!$F$4,'Raw Data (Entree)'!$U$2:$BP$88,(A77+1),)</f>
        <v>0</v>
      </c>
      <c r="F77" s="23">
        <f>IF(D77='Output (Entree)'!$B$4,1,0)</f>
        <v>0</v>
      </c>
      <c r="G77" s="23">
        <f>IF(L77&lt;='Output (Entree)'!$C$4,(200-'Raw Data (Entree)'!L77),0)</f>
        <v>162.01</v>
      </c>
      <c r="H77" s="23">
        <v>5</v>
      </c>
      <c r="I77" s="24">
        <f>SUMPRODUCT(F77:H77,'Output (Entree)'!$B$5:$D$5)*E77</f>
        <v>0</v>
      </c>
      <c r="J77" s="25">
        <v>0</v>
      </c>
      <c r="K77" s="49">
        <f t="shared" si="2"/>
        <v>0</v>
      </c>
      <c r="L77" s="20">
        <v>37.99</v>
      </c>
      <c r="M77" s="6" t="s">
        <v>525</v>
      </c>
      <c r="N77" s="6" t="s">
        <v>610</v>
      </c>
      <c r="O77" s="6" t="s">
        <v>611</v>
      </c>
      <c r="P77" s="6" t="s">
        <v>612</v>
      </c>
      <c r="Q77" s="26">
        <v>0.12</v>
      </c>
      <c r="R77" s="6" t="s">
        <v>518</v>
      </c>
      <c r="S77" s="6" t="s">
        <v>74</v>
      </c>
      <c r="T77" s="6" t="s">
        <v>53</v>
      </c>
      <c r="U77" s="6">
        <f>VLOOKUP($C77,'Food Pairing Data'!$C$2:$S$188,5)</f>
        <v>0</v>
      </c>
      <c r="V77" s="6">
        <f>VLOOKUP($C77,'Food Pairing Data'!$C$2:$S$188,6)</f>
        <v>0</v>
      </c>
      <c r="W77" s="6">
        <f>VLOOKUP($C77,'Food Pairing Data'!$C$2:$S$188,7)</f>
        <v>0</v>
      </c>
      <c r="X77" s="6">
        <f>VLOOKUP($C77,'Food Pairing Data'!$C$2:$S$188,8)</f>
        <v>1</v>
      </c>
      <c r="Y77" s="6">
        <f>VLOOKUP($C77,'Food Pairing Data'!$C$2:$S$188,9)</f>
        <v>0</v>
      </c>
      <c r="Z77" s="6">
        <f>VLOOKUP($C77,'Food Pairing Data'!$C$2:$S$188,10)</f>
        <v>1</v>
      </c>
      <c r="AA77" s="6">
        <f>VLOOKUP($C77,'Food Pairing Data'!$C$2:$S$188,11)</f>
        <v>0</v>
      </c>
      <c r="AB77" s="6">
        <f>VLOOKUP($C77,'Food Pairing Data'!$C$2:$S$188,12)</f>
        <v>0</v>
      </c>
      <c r="AC77" s="6">
        <f>VLOOKUP($C77,'Food Pairing Data'!$C$2:$S$188,13)</f>
        <v>0</v>
      </c>
      <c r="AD77" s="6">
        <f>VLOOKUP($C77,'Food Pairing Data'!$C$2:$S$188,14)</f>
        <v>0</v>
      </c>
      <c r="AE77" s="6">
        <f>VLOOKUP($C77,'Food Pairing Data'!$C$2:$S$188,15)</f>
        <v>0</v>
      </c>
      <c r="AF77" s="6">
        <f>VLOOKUP($C77,'Food Pairing Data'!$C$2:$S$188,16)</f>
        <v>0</v>
      </c>
      <c r="AG77" s="6">
        <f>VLOOKUP($C77,'Food Pairing Data'!$C$2:$S$188,17)</f>
        <v>0</v>
      </c>
      <c r="AH77" s="6" t="s">
        <v>609</v>
      </c>
      <c r="AI77" s="6" t="s">
        <v>606</v>
      </c>
    </row>
    <row r="78" spans="1:35" ht="14">
      <c r="A78" s="6">
        <f t="shared" si="3"/>
        <v>76</v>
      </c>
      <c r="B78" s="6" t="s">
        <v>23</v>
      </c>
      <c r="C78" s="6" t="s">
        <v>572</v>
      </c>
      <c r="D78" s="6" t="s">
        <v>606</v>
      </c>
      <c r="E78" s="22">
        <f>HLOOKUP('Output (Entree)'!$F$4,'Raw Data (Entree)'!$U$2:$BP$88,(A78+1),)</f>
        <v>0</v>
      </c>
      <c r="F78" s="23">
        <f>IF(D78='Output (Entree)'!$B$4,1,0)</f>
        <v>0</v>
      </c>
      <c r="G78" s="23">
        <f>IF(L78&lt;='Output (Entree)'!$C$4,(200-'Raw Data (Entree)'!L78),0)</f>
        <v>180.01</v>
      </c>
      <c r="H78" s="23">
        <v>5</v>
      </c>
      <c r="I78" s="24">
        <f>SUMPRODUCT(F78:H78,'Output (Entree)'!$B$5:$D$5)*E78</f>
        <v>0</v>
      </c>
      <c r="J78" s="25">
        <v>0</v>
      </c>
      <c r="K78" s="49">
        <f t="shared" si="2"/>
        <v>0</v>
      </c>
      <c r="L78" s="20">
        <v>19.989999999999998</v>
      </c>
      <c r="M78" s="6" t="s">
        <v>574</v>
      </c>
      <c r="N78" s="6" t="s">
        <v>575</v>
      </c>
      <c r="O78" s="6" t="s">
        <v>416</v>
      </c>
      <c r="P78" s="6" t="s">
        <v>417</v>
      </c>
      <c r="Q78" s="26">
        <v>0.115</v>
      </c>
      <c r="R78" s="6" t="s">
        <v>56</v>
      </c>
      <c r="S78" s="6" t="s">
        <v>78</v>
      </c>
      <c r="T78" s="6" t="s">
        <v>148</v>
      </c>
      <c r="U78" s="6">
        <f>VLOOKUP($C78,'Food Pairing Data'!$C$2:$S$188,5)</f>
        <v>0</v>
      </c>
      <c r="V78" s="6">
        <f>VLOOKUP($C78,'Food Pairing Data'!$C$2:$S$188,6)</f>
        <v>0</v>
      </c>
      <c r="W78" s="6">
        <f>VLOOKUP($C78,'Food Pairing Data'!$C$2:$S$188,7)</f>
        <v>0</v>
      </c>
      <c r="X78" s="6">
        <f>VLOOKUP($C78,'Food Pairing Data'!$C$2:$S$188,8)</f>
        <v>0</v>
      </c>
      <c r="Y78" s="6">
        <f>VLOOKUP($C78,'Food Pairing Data'!$C$2:$S$188,9)</f>
        <v>0</v>
      </c>
      <c r="Z78" s="6">
        <f>VLOOKUP($C78,'Food Pairing Data'!$C$2:$S$188,10)</f>
        <v>0</v>
      </c>
      <c r="AA78" s="6">
        <f>VLOOKUP($C78,'Food Pairing Data'!$C$2:$S$188,11)</f>
        <v>0</v>
      </c>
      <c r="AB78" s="6">
        <f>VLOOKUP($C78,'Food Pairing Data'!$C$2:$S$188,12)</f>
        <v>0</v>
      </c>
      <c r="AC78" s="6">
        <f>VLOOKUP($C78,'Food Pairing Data'!$C$2:$S$188,13)</f>
        <v>0</v>
      </c>
      <c r="AD78" s="6">
        <f>VLOOKUP($C78,'Food Pairing Data'!$C$2:$S$188,14)</f>
        <v>1</v>
      </c>
      <c r="AE78" s="6">
        <f>VLOOKUP($C78,'Food Pairing Data'!$C$2:$S$188,15)</f>
        <v>0</v>
      </c>
      <c r="AF78" s="6">
        <f>VLOOKUP($C78,'Food Pairing Data'!$C$2:$S$188,16)</f>
        <v>0</v>
      </c>
      <c r="AG78" s="6">
        <f>VLOOKUP($C78,'Food Pairing Data'!$C$2:$S$188,17)</f>
        <v>0</v>
      </c>
      <c r="AH78" s="6" t="s">
        <v>572</v>
      </c>
      <c r="AI78" s="6" t="s">
        <v>606</v>
      </c>
    </row>
    <row r="79" spans="1:35" ht="14">
      <c r="A79" s="6">
        <f t="shared" si="3"/>
        <v>77</v>
      </c>
      <c r="B79" s="6" t="s">
        <v>245</v>
      </c>
      <c r="C79" s="6" t="s">
        <v>613</v>
      </c>
      <c r="D79" s="6" t="s">
        <v>606</v>
      </c>
      <c r="E79" s="22">
        <f>HLOOKUP('Output (Entree)'!$F$4,'Raw Data (Entree)'!$U$2:$BP$88,(A79+1),)</f>
        <v>0</v>
      </c>
      <c r="F79" s="23">
        <f>IF(D79='Output (Entree)'!$B$4,1,0)</f>
        <v>0</v>
      </c>
      <c r="G79" s="23">
        <f>IF(L79&lt;='Output (Entree)'!$C$4,(200-'Raw Data (Entree)'!L79),0)</f>
        <v>191.01</v>
      </c>
      <c r="H79" s="23">
        <v>4.5</v>
      </c>
      <c r="I79" s="24">
        <f>SUMPRODUCT(F79:H79,'Output (Entree)'!$B$5:$D$5)*E79</f>
        <v>0</v>
      </c>
      <c r="J79" s="25">
        <v>0</v>
      </c>
      <c r="K79" s="49">
        <f t="shared" si="2"/>
        <v>0</v>
      </c>
      <c r="L79" s="20">
        <v>8.99</v>
      </c>
      <c r="M79" s="6" t="s">
        <v>525</v>
      </c>
      <c r="N79" s="6" t="s">
        <v>602</v>
      </c>
      <c r="O79" s="6" t="s">
        <v>614</v>
      </c>
      <c r="P79" s="6" t="s">
        <v>615</v>
      </c>
      <c r="Q79" s="26">
        <v>0.11</v>
      </c>
      <c r="R79" s="6" t="s">
        <v>168</v>
      </c>
      <c r="S79" s="6" t="s">
        <v>616</v>
      </c>
      <c r="T79" s="6" t="s">
        <v>147</v>
      </c>
      <c r="U79" s="6">
        <f>VLOOKUP($C79,'Food Pairing Data'!$C$2:$S$188,5)</f>
        <v>0</v>
      </c>
      <c r="V79" s="6">
        <f>VLOOKUP($C79,'Food Pairing Data'!$C$2:$S$188,6)</f>
        <v>0</v>
      </c>
      <c r="W79" s="6">
        <f>VLOOKUP($C79,'Food Pairing Data'!$C$2:$S$188,7)</f>
        <v>0</v>
      </c>
      <c r="X79" s="6">
        <f>VLOOKUP($C79,'Food Pairing Data'!$C$2:$S$188,8)</f>
        <v>0</v>
      </c>
      <c r="Y79" s="6">
        <f>VLOOKUP($C79,'Food Pairing Data'!$C$2:$S$188,9)</f>
        <v>0</v>
      </c>
      <c r="Z79" s="6">
        <f>VLOOKUP($C79,'Food Pairing Data'!$C$2:$S$188,10)</f>
        <v>0</v>
      </c>
      <c r="AA79" s="6">
        <f>VLOOKUP($C79,'Food Pairing Data'!$C$2:$S$188,11)</f>
        <v>0</v>
      </c>
      <c r="AB79" s="6">
        <f>VLOOKUP($C79,'Food Pairing Data'!$C$2:$S$188,12)</f>
        <v>0</v>
      </c>
      <c r="AC79" s="6">
        <f>VLOOKUP($C79,'Food Pairing Data'!$C$2:$S$188,13)</f>
        <v>0</v>
      </c>
      <c r="AD79" s="6">
        <f>VLOOKUP($C79,'Food Pairing Data'!$C$2:$S$188,14)</f>
        <v>1</v>
      </c>
      <c r="AE79" s="6">
        <f>VLOOKUP($C79,'Food Pairing Data'!$C$2:$S$188,15)</f>
        <v>0</v>
      </c>
      <c r="AF79" s="6">
        <f>VLOOKUP($C79,'Food Pairing Data'!$C$2:$S$188,16)</f>
        <v>0</v>
      </c>
      <c r="AG79" s="6">
        <f>VLOOKUP($C79,'Food Pairing Data'!$C$2:$S$188,17)</f>
        <v>0</v>
      </c>
      <c r="AH79" s="6" t="s">
        <v>613</v>
      </c>
      <c r="AI79" s="6" t="s">
        <v>606</v>
      </c>
    </row>
    <row r="80" spans="1:35" ht="14">
      <c r="A80" s="6">
        <f t="shared" si="3"/>
        <v>78</v>
      </c>
      <c r="B80" s="6" t="s">
        <v>161</v>
      </c>
      <c r="C80" s="6" t="s">
        <v>617</v>
      </c>
      <c r="D80" s="6" t="s">
        <v>606</v>
      </c>
      <c r="E80" s="22">
        <f>HLOOKUP('Output (Entree)'!$F$4,'Raw Data (Entree)'!$U$2:$BP$88,(A80+1),)</f>
        <v>0</v>
      </c>
      <c r="F80" s="23">
        <f>IF(D80='Output (Entree)'!$B$4,1,0)</f>
        <v>0</v>
      </c>
      <c r="G80" s="23">
        <f>IF(L80&lt;='Output (Entree)'!$C$4,(200-'Raw Data (Entree)'!L80),0)</f>
        <v>142.01</v>
      </c>
      <c r="H80" s="23">
        <v>4</v>
      </c>
      <c r="I80" s="24">
        <f>SUMPRODUCT(F80:H80,'Output (Entree)'!$B$5:$D$5)*E80</f>
        <v>0</v>
      </c>
      <c r="J80" s="25">
        <v>0</v>
      </c>
      <c r="K80" s="49">
        <f t="shared" si="2"/>
        <v>0</v>
      </c>
      <c r="L80" s="20">
        <v>57.99</v>
      </c>
      <c r="M80" s="6" t="s">
        <v>525</v>
      </c>
      <c r="N80" s="6" t="s">
        <v>618</v>
      </c>
      <c r="O80" s="6" t="s">
        <v>619</v>
      </c>
      <c r="P80" s="6" t="s">
        <v>620</v>
      </c>
      <c r="Q80" s="26">
        <v>0.12</v>
      </c>
      <c r="R80" s="6" t="s">
        <v>75</v>
      </c>
      <c r="S80" s="6" t="s">
        <v>74</v>
      </c>
      <c r="T80" s="6" t="s">
        <v>148</v>
      </c>
      <c r="U80" s="6">
        <v>0</v>
      </c>
      <c r="V80" s="6">
        <v>0</v>
      </c>
      <c r="W80" s="6">
        <v>0</v>
      </c>
      <c r="X80" s="6">
        <v>1</v>
      </c>
      <c r="Y80" s="6">
        <v>1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 t="s">
        <v>617</v>
      </c>
      <c r="AI80" s="6" t="s">
        <v>606</v>
      </c>
    </row>
    <row r="81" spans="1:35" ht="14">
      <c r="A81" s="6">
        <f t="shared" si="3"/>
        <v>79</v>
      </c>
      <c r="B81" s="6" t="s">
        <v>23</v>
      </c>
      <c r="C81" s="6" t="s">
        <v>621</v>
      </c>
      <c r="D81" s="6" t="s">
        <v>606</v>
      </c>
      <c r="E81" s="22">
        <f>HLOOKUP('Output (Entree)'!$F$4,'Raw Data (Entree)'!$U$2:$BP$88,(A81+1),)</f>
        <v>1</v>
      </c>
      <c r="F81" s="23">
        <f>IF(D81='Output (Entree)'!$B$4,1,0)</f>
        <v>0</v>
      </c>
      <c r="G81" s="23">
        <f>IF(L81&lt;='Output (Entree)'!$C$4,(200-'Raw Data (Entree)'!L81),0)</f>
        <v>184.01</v>
      </c>
      <c r="H81" s="23">
        <v>4</v>
      </c>
      <c r="I81" s="24">
        <f>SUMPRODUCT(F81:H81,'Output (Entree)'!$B$5:$D$5)*E81</f>
        <v>39.601999999999997</v>
      </c>
      <c r="J81" s="25">
        <v>0</v>
      </c>
      <c r="K81" s="49">
        <f t="shared" si="2"/>
        <v>0</v>
      </c>
      <c r="L81" s="20">
        <v>15.99</v>
      </c>
      <c r="M81" s="6" t="s">
        <v>574</v>
      </c>
      <c r="O81" s="6" t="s">
        <v>622</v>
      </c>
      <c r="P81" s="6" t="s">
        <v>623</v>
      </c>
      <c r="Q81" s="26">
        <v>0.115</v>
      </c>
      <c r="R81" s="6" t="s">
        <v>74</v>
      </c>
      <c r="S81" s="6" t="s">
        <v>624</v>
      </c>
      <c r="T81" s="6" t="s">
        <v>53</v>
      </c>
      <c r="U81" s="6">
        <f>VLOOKUP($C81,'Food Pairing Data'!$C$2:$S$188,5)</f>
        <v>0</v>
      </c>
      <c r="V81" s="6">
        <f>VLOOKUP($C81,'Food Pairing Data'!$C$2:$S$188,6)</f>
        <v>0</v>
      </c>
      <c r="W81" s="6">
        <f>VLOOKUP($C81,'Food Pairing Data'!$C$2:$S$188,7)</f>
        <v>1</v>
      </c>
      <c r="X81" s="6">
        <f>VLOOKUP($C81,'Food Pairing Data'!$C$2:$S$188,8)</f>
        <v>1</v>
      </c>
      <c r="Y81" s="6">
        <f>VLOOKUP($C81,'Food Pairing Data'!$C$2:$S$188,9)</f>
        <v>0</v>
      </c>
      <c r="Z81" s="6">
        <f>VLOOKUP($C81,'Food Pairing Data'!$C$2:$S$188,10)</f>
        <v>0</v>
      </c>
      <c r="AA81" s="6">
        <f>VLOOKUP($C81,'Food Pairing Data'!$C$2:$S$188,11)</f>
        <v>0</v>
      </c>
      <c r="AB81" s="6">
        <f>VLOOKUP($C81,'Food Pairing Data'!$C$2:$S$188,12)</f>
        <v>0</v>
      </c>
      <c r="AC81" s="6">
        <f>VLOOKUP($C81,'Food Pairing Data'!$C$2:$S$188,13)</f>
        <v>0</v>
      </c>
      <c r="AD81" s="6">
        <f>VLOOKUP($C81,'Food Pairing Data'!$C$2:$S$188,14)</f>
        <v>0</v>
      </c>
      <c r="AE81" s="6">
        <f>VLOOKUP($C81,'Food Pairing Data'!$C$2:$S$188,15)</f>
        <v>0</v>
      </c>
      <c r="AF81" s="6">
        <f>VLOOKUP($C81,'Food Pairing Data'!$C$2:$S$188,16)</f>
        <v>0</v>
      </c>
      <c r="AG81" s="6">
        <f>VLOOKUP($C81,'Food Pairing Data'!$C$2:$S$188,17)</f>
        <v>0</v>
      </c>
      <c r="AH81" s="6" t="s">
        <v>621</v>
      </c>
      <c r="AI81" s="6" t="s">
        <v>606</v>
      </c>
    </row>
    <row r="82" spans="1:35" ht="14">
      <c r="A82" s="6">
        <f t="shared" si="3"/>
        <v>80</v>
      </c>
      <c r="B82" s="6" t="s">
        <v>245</v>
      </c>
      <c r="C82" s="6" t="s">
        <v>601</v>
      </c>
      <c r="D82" s="6" t="s">
        <v>606</v>
      </c>
      <c r="E82" s="22">
        <f>HLOOKUP('Output (Entree)'!$F$4,'Raw Data (Entree)'!$U$2:$BP$88,(A82+1),)</f>
        <v>0</v>
      </c>
      <c r="F82" s="23">
        <f>IF(D82='Output (Entree)'!$B$4,1,0)</f>
        <v>0</v>
      </c>
      <c r="G82" s="23">
        <f>IF(L82&lt;='Output (Entree)'!$C$4,(200-'Raw Data (Entree)'!L82),0)</f>
        <v>190.01</v>
      </c>
      <c r="H82" s="23">
        <v>4</v>
      </c>
      <c r="I82" s="24">
        <f>SUMPRODUCT(F82:H82,'Output (Entree)'!$B$5:$D$5)*E82</f>
        <v>0</v>
      </c>
      <c r="J82" s="25">
        <v>0</v>
      </c>
      <c r="K82" s="49">
        <f t="shared" si="2"/>
        <v>0</v>
      </c>
      <c r="L82" s="20">
        <v>9.99</v>
      </c>
      <c r="M82" s="6" t="s">
        <v>525</v>
      </c>
      <c r="N82" s="6" t="s">
        <v>602</v>
      </c>
      <c r="O82" s="6" t="s">
        <v>603</v>
      </c>
      <c r="P82" s="6" t="s">
        <v>604</v>
      </c>
      <c r="Q82" s="26">
        <v>0.12</v>
      </c>
      <c r="R82" s="6" t="s">
        <v>518</v>
      </c>
      <c r="S82" s="6" t="s">
        <v>625</v>
      </c>
      <c r="T82" s="6" t="s">
        <v>512</v>
      </c>
      <c r="U82" s="6">
        <f>VLOOKUP($C82,'Food Pairing Data'!$C$2:$S$188,5)</f>
        <v>0</v>
      </c>
      <c r="V82" s="6">
        <f>VLOOKUP($C82,'Food Pairing Data'!$C$2:$S$188,6)</f>
        <v>0</v>
      </c>
      <c r="W82" s="6">
        <f>VLOOKUP($C82,'Food Pairing Data'!$C$2:$S$188,7)</f>
        <v>0</v>
      </c>
      <c r="X82" s="6">
        <f>VLOOKUP($C82,'Food Pairing Data'!$C$2:$S$188,8)</f>
        <v>0</v>
      </c>
      <c r="Y82" s="6">
        <f>VLOOKUP($C82,'Food Pairing Data'!$C$2:$S$188,9)</f>
        <v>0</v>
      </c>
      <c r="Z82" s="6">
        <f>VLOOKUP($C82,'Food Pairing Data'!$C$2:$S$188,10)</f>
        <v>0</v>
      </c>
      <c r="AA82" s="6">
        <f>VLOOKUP($C82,'Food Pairing Data'!$C$2:$S$188,11)</f>
        <v>0</v>
      </c>
      <c r="AB82" s="6">
        <f>VLOOKUP($C82,'Food Pairing Data'!$C$2:$S$188,12)</f>
        <v>0</v>
      </c>
      <c r="AC82" s="6">
        <f>VLOOKUP($C82,'Food Pairing Data'!$C$2:$S$188,13)</f>
        <v>0</v>
      </c>
      <c r="AD82" s="6">
        <f>VLOOKUP($C82,'Food Pairing Data'!$C$2:$S$188,14)</f>
        <v>1</v>
      </c>
      <c r="AE82" s="6">
        <f>VLOOKUP($C82,'Food Pairing Data'!$C$2:$S$188,15)</f>
        <v>0</v>
      </c>
      <c r="AF82" s="6">
        <f>VLOOKUP($C82,'Food Pairing Data'!$C$2:$S$188,16)</f>
        <v>0</v>
      </c>
      <c r="AG82" s="6">
        <f>VLOOKUP($C82,'Food Pairing Data'!$C$2:$S$188,17)</f>
        <v>0</v>
      </c>
      <c r="AH82" s="6" t="s">
        <v>601</v>
      </c>
      <c r="AI82" s="6" t="s">
        <v>606</v>
      </c>
    </row>
    <row r="83" spans="1:35" ht="14">
      <c r="A83" s="6">
        <f t="shared" si="3"/>
        <v>81</v>
      </c>
      <c r="B83" s="6" t="s">
        <v>23</v>
      </c>
      <c r="C83" s="6" t="s">
        <v>626</v>
      </c>
      <c r="D83" s="6" t="s">
        <v>606</v>
      </c>
      <c r="E83" s="22">
        <f>HLOOKUP('Output (Entree)'!$F$4,'Raw Data (Entree)'!$U$2:$BP$88,(A83+1),)</f>
        <v>0</v>
      </c>
      <c r="F83" s="23">
        <f>IF(D83='Output (Entree)'!$B$4,1,0)</f>
        <v>0</v>
      </c>
      <c r="G83" s="23">
        <f>IF(L83&lt;='Output (Entree)'!$C$4,(200-'Raw Data (Entree)'!L83),0)</f>
        <v>185.01</v>
      </c>
      <c r="H83" s="23">
        <v>3.5</v>
      </c>
      <c r="I83" s="24">
        <f>SUMPRODUCT(F83:H83,'Output (Entree)'!$B$5:$D$5)*E83</f>
        <v>0</v>
      </c>
      <c r="J83" s="25">
        <v>0</v>
      </c>
      <c r="K83" s="49">
        <f t="shared" si="2"/>
        <v>0</v>
      </c>
      <c r="L83" s="20">
        <v>14.99</v>
      </c>
      <c r="M83" s="6" t="s">
        <v>164</v>
      </c>
      <c r="N83" s="6" t="s">
        <v>627</v>
      </c>
      <c r="O83" s="6" t="s">
        <v>628</v>
      </c>
      <c r="P83" s="6" t="s">
        <v>300</v>
      </c>
      <c r="Q83" s="26">
        <v>0.05</v>
      </c>
      <c r="R83" s="6" t="s">
        <v>168</v>
      </c>
      <c r="S83" s="6" t="s">
        <v>85</v>
      </c>
      <c r="T83" s="6" t="s">
        <v>102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1</v>
      </c>
      <c r="AA83" s="6">
        <v>0</v>
      </c>
      <c r="AB83" s="6">
        <v>0</v>
      </c>
      <c r="AC83" s="6">
        <v>0</v>
      </c>
      <c r="AD83" s="6">
        <v>1</v>
      </c>
      <c r="AE83" s="6">
        <v>0</v>
      </c>
      <c r="AF83" s="6">
        <v>0</v>
      </c>
      <c r="AG83" s="6">
        <v>1</v>
      </c>
      <c r="AH83" s="6" t="s">
        <v>626</v>
      </c>
      <c r="AI83" s="6" t="s">
        <v>606</v>
      </c>
    </row>
    <row r="84" spans="1:35" ht="14">
      <c r="A84" s="6">
        <f t="shared" si="3"/>
        <v>82</v>
      </c>
      <c r="B84" s="6" t="s">
        <v>23</v>
      </c>
      <c r="C84" s="6" t="s">
        <v>629</v>
      </c>
      <c r="D84" s="6" t="s">
        <v>606</v>
      </c>
      <c r="E84" s="22">
        <f>HLOOKUP('Output (Entree)'!$F$4,'Raw Data (Entree)'!$U$2:$BP$88,(A84+1),)</f>
        <v>0</v>
      </c>
      <c r="F84" s="23">
        <f>IF(D84='Output (Entree)'!$B$4,1,0)</f>
        <v>0</v>
      </c>
      <c r="G84" s="23">
        <f>IF(L84&lt;='Output (Entree)'!$C$4,(200-'Raw Data (Entree)'!L84),0)</f>
        <v>187.01</v>
      </c>
      <c r="H84" s="23">
        <v>3.5</v>
      </c>
      <c r="I84" s="24">
        <f>SUMPRODUCT(F84:H84,'Output (Entree)'!$B$5:$D$5)*E84</f>
        <v>0</v>
      </c>
      <c r="J84" s="25">
        <v>0</v>
      </c>
      <c r="K84" s="49">
        <f t="shared" si="2"/>
        <v>0</v>
      </c>
      <c r="L84" s="20">
        <v>12.99</v>
      </c>
      <c r="M84" s="6" t="s">
        <v>164</v>
      </c>
      <c r="N84" s="6" t="s">
        <v>630</v>
      </c>
      <c r="O84" s="6" t="s">
        <v>631</v>
      </c>
      <c r="P84" s="6" t="s">
        <v>557</v>
      </c>
      <c r="Q84" s="26">
        <v>0.115</v>
      </c>
      <c r="R84" s="6" t="s">
        <v>68</v>
      </c>
      <c r="S84" s="6" t="s">
        <v>84</v>
      </c>
      <c r="T84" s="6" t="s">
        <v>104</v>
      </c>
      <c r="U84" s="6">
        <f>VLOOKUP($C84,'Food Pairing Data'!$C$2:$S$188,5)</f>
        <v>0</v>
      </c>
      <c r="V84" s="6">
        <f>VLOOKUP($C84,'Food Pairing Data'!$C$2:$S$188,6)</f>
        <v>0</v>
      </c>
      <c r="W84" s="6">
        <f>VLOOKUP($C84,'Food Pairing Data'!$C$2:$S$188,7)</f>
        <v>0</v>
      </c>
      <c r="X84" s="6">
        <f>VLOOKUP($C84,'Food Pairing Data'!$C$2:$S$188,8)</f>
        <v>0</v>
      </c>
      <c r="Y84" s="6">
        <f>VLOOKUP($C84,'Food Pairing Data'!$C$2:$S$188,9)</f>
        <v>0</v>
      </c>
      <c r="Z84" s="6">
        <f>VLOOKUP($C84,'Food Pairing Data'!$C$2:$S$188,10)</f>
        <v>0</v>
      </c>
      <c r="AA84" s="6">
        <f>VLOOKUP($C84,'Food Pairing Data'!$C$2:$S$188,11)</f>
        <v>0</v>
      </c>
      <c r="AB84" s="6">
        <f>VLOOKUP($C84,'Food Pairing Data'!$C$2:$S$188,12)</f>
        <v>0</v>
      </c>
      <c r="AC84" s="6">
        <f>VLOOKUP($C84,'Food Pairing Data'!$C$2:$S$188,13)</f>
        <v>0</v>
      </c>
      <c r="AD84" s="6">
        <f>VLOOKUP($C84,'Food Pairing Data'!$C$2:$S$188,14)</f>
        <v>1</v>
      </c>
      <c r="AE84" s="6">
        <f>VLOOKUP($C84,'Food Pairing Data'!$C$2:$S$188,15)</f>
        <v>0</v>
      </c>
      <c r="AF84" s="6">
        <f>VLOOKUP($C84,'Food Pairing Data'!$C$2:$S$188,16)</f>
        <v>0</v>
      </c>
      <c r="AG84" s="6">
        <f>VLOOKUP($C84,'Food Pairing Data'!$C$2:$S$188,17)</f>
        <v>0</v>
      </c>
      <c r="AH84" s="6" t="s">
        <v>629</v>
      </c>
      <c r="AI84" s="6" t="s">
        <v>606</v>
      </c>
    </row>
    <row r="85" spans="1:35" ht="14">
      <c r="A85" s="6">
        <f t="shared" si="3"/>
        <v>83</v>
      </c>
      <c r="B85" s="6" t="s">
        <v>23</v>
      </c>
      <c r="C85" s="6" t="s">
        <v>632</v>
      </c>
      <c r="D85" s="6" t="s">
        <v>295</v>
      </c>
      <c r="E85" s="22">
        <f>HLOOKUP('Output (Entree)'!$F$4,'Raw Data (Entree)'!$U$2:$BP$88,(A85+1),)</f>
        <v>0</v>
      </c>
      <c r="F85" s="23">
        <f>IF(D85='Output (Entree)'!$B$4,1,0)</f>
        <v>0</v>
      </c>
      <c r="G85" s="23">
        <f>IF(L85&lt;='Output (Entree)'!$C$4,(200-'Raw Data (Entree)'!L85),0)</f>
        <v>183.01</v>
      </c>
      <c r="H85" s="23">
        <v>5</v>
      </c>
      <c r="I85" s="24">
        <f>SUMPRODUCT(F85:H85,'Output (Entree)'!$B$5:$D$5)*E85</f>
        <v>0</v>
      </c>
      <c r="J85" s="25">
        <v>0</v>
      </c>
      <c r="K85" s="49">
        <f t="shared" si="2"/>
        <v>0</v>
      </c>
      <c r="L85" s="20">
        <v>16.989999999999998</v>
      </c>
      <c r="M85" s="6" t="s">
        <v>574</v>
      </c>
      <c r="N85" s="6" t="s">
        <v>633</v>
      </c>
      <c r="P85" s="6" t="s">
        <v>540</v>
      </c>
      <c r="Q85" s="26">
        <v>0.15</v>
      </c>
      <c r="R85" s="6" t="s">
        <v>96</v>
      </c>
      <c r="S85" s="6" t="s">
        <v>97</v>
      </c>
      <c r="T85" s="6" t="s">
        <v>53</v>
      </c>
      <c r="U85" s="6">
        <f>VLOOKUP($C85,'Food Pairing Data'!$C$2:$S$188,5)</f>
        <v>0</v>
      </c>
      <c r="V85" s="6">
        <f>VLOOKUP($C85,'Food Pairing Data'!$C$2:$S$188,6)</f>
        <v>0</v>
      </c>
      <c r="W85" s="6">
        <f>VLOOKUP($C85,'Food Pairing Data'!$C$2:$S$188,7)</f>
        <v>0</v>
      </c>
      <c r="X85" s="6">
        <f>VLOOKUP($C85,'Food Pairing Data'!$C$2:$S$188,8)</f>
        <v>0</v>
      </c>
      <c r="Y85" s="6">
        <f>VLOOKUP($C85,'Food Pairing Data'!$C$2:$S$188,9)</f>
        <v>0</v>
      </c>
      <c r="Z85" s="6">
        <f>VLOOKUP($C85,'Food Pairing Data'!$C$2:$S$188,10)</f>
        <v>0</v>
      </c>
      <c r="AA85" s="6">
        <f>VLOOKUP($C85,'Food Pairing Data'!$C$2:$S$188,11)</f>
        <v>0</v>
      </c>
      <c r="AB85" s="6">
        <f>VLOOKUP($C85,'Food Pairing Data'!$C$2:$S$188,12)</f>
        <v>0</v>
      </c>
      <c r="AC85" s="6">
        <f>VLOOKUP($C85,'Food Pairing Data'!$C$2:$S$188,13)</f>
        <v>0</v>
      </c>
      <c r="AD85" s="6">
        <f>VLOOKUP($C85,'Food Pairing Data'!$C$2:$S$188,14)</f>
        <v>1</v>
      </c>
      <c r="AE85" s="6">
        <f>VLOOKUP($C85,'Food Pairing Data'!$C$2:$S$188,15)</f>
        <v>0</v>
      </c>
      <c r="AF85" s="6">
        <f>VLOOKUP($C85,'Food Pairing Data'!$C$2:$S$188,16)</f>
        <v>0</v>
      </c>
      <c r="AG85" s="6">
        <f>VLOOKUP($C85,'Food Pairing Data'!$C$2:$S$188,17)</f>
        <v>0</v>
      </c>
      <c r="AH85" s="6" t="s">
        <v>632</v>
      </c>
      <c r="AI85" s="6" t="s">
        <v>295</v>
      </c>
    </row>
    <row r="86" spans="1:35" ht="14">
      <c r="A86" s="6">
        <f t="shared" si="3"/>
        <v>84</v>
      </c>
      <c r="B86" s="6" t="s">
        <v>23</v>
      </c>
      <c r="C86" s="6" t="s">
        <v>634</v>
      </c>
      <c r="D86" s="6" t="s">
        <v>295</v>
      </c>
      <c r="E86" s="22">
        <f>HLOOKUP('Output (Entree)'!$F$4,'Raw Data (Entree)'!$U$2:$BP$88,(A86+1),)</f>
        <v>0</v>
      </c>
      <c r="F86" s="23">
        <f>IF(D86='Output (Entree)'!$B$4,1,0)</f>
        <v>0</v>
      </c>
      <c r="G86" s="23">
        <f>IF(L86&lt;='Output (Entree)'!$C$4,(200-'Raw Data (Entree)'!L86),0)</f>
        <v>183.01</v>
      </c>
      <c r="H86" s="23">
        <v>4.5</v>
      </c>
      <c r="I86" s="24">
        <f>SUMPRODUCT(F86:H86,'Output (Entree)'!$B$5:$D$5)*E86</f>
        <v>0</v>
      </c>
      <c r="J86" s="25">
        <v>0</v>
      </c>
      <c r="K86" s="49">
        <f t="shared" si="2"/>
        <v>0</v>
      </c>
      <c r="L86" s="20">
        <v>16.989999999999998</v>
      </c>
      <c r="M86" s="6" t="s">
        <v>635</v>
      </c>
      <c r="N86" s="6" t="s">
        <v>636</v>
      </c>
      <c r="P86" s="6" t="s">
        <v>637</v>
      </c>
      <c r="Q86" s="26">
        <v>0.14599999999999999</v>
      </c>
      <c r="R86" s="6" t="s">
        <v>153</v>
      </c>
      <c r="S86" s="6" t="s">
        <v>91</v>
      </c>
      <c r="T86" s="6" t="s">
        <v>141</v>
      </c>
      <c r="U86" s="6">
        <f>VLOOKUP($C86,'Food Pairing Data'!$C$2:$S$188,5)</f>
        <v>0</v>
      </c>
      <c r="V86" s="6">
        <f>VLOOKUP($C86,'Food Pairing Data'!$C$2:$S$188,6)</f>
        <v>0</v>
      </c>
      <c r="W86" s="6">
        <f>VLOOKUP($C86,'Food Pairing Data'!$C$2:$S$188,7)</f>
        <v>0</v>
      </c>
      <c r="X86" s="6">
        <f>VLOOKUP($C86,'Food Pairing Data'!$C$2:$S$188,8)</f>
        <v>1</v>
      </c>
      <c r="Y86" s="6">
        <f>VLOOKUP($C86,'Food Pairing Data'!$C$2:$S$188,9)</f>
        <v>0</v>
      </c>
      <c r="Z86" s="6">
        <f>VLOOKUP($C86,'Food Pairing Data'!$C$2:$S$188,10)</f>
        <v>1</v>
      </c>
      <c r="AA86" s="6">
        <f>VLOOKUP($C86,'Food Pairing Data'!$C$2:$S$188,11)</f>
        <v>0</v>
      </c>
      <c r="AB86" s="6">
        <f>VLOOKUP($C86,'Food Pairing Data'!$C$2:$S$188,12)</f>
        <v>0</v>
      </c>
      <c r="AC86" s="6">
        <f>VLOOKUP($C86,'Food Pairing Data'!$C$2:$S$188,13)</f>
        <v>0</v>
      </c>
      <c r="AD86" s="6">
        <f>VLOOKUP($C86,'Food Pairing Data'!$C$2:$S$188,14)</f>
        <v>0</v>
      </c>
      <c r="AE86" s="6">
        <f>VLOOKUP($C86,'Food Pairing Data'!$C$2:$S$188,15)</f>
        <v>0</v>
      </c>
      <c r="AF86" s="6">
        <f>VLOOKUP($C86,'Food Pairing Data'!$C$2:$S$188,16)</f>
        <v>0</v>
      </c>
      <c r="AG86" s="6">
        <f>VLOOKUP($C86,'Food Pairing Data'!$C$2:$S$188,17)</f>
        <v>0</v>
      </c>
      <c r="AH86" s="6" t="s">
        <v>634</v>
      </c>
      <c r="AI86" s="6" t="s">
        <v>295</v>
      </c>
    </row>
    <row r="87" spans="1:35" ht="14">
      <c r="A87" s="6">
        <f t="shared" si="3"/>
        <v>85</v>
      </c>
      <c r="B87" s="6" t="s">
        <v>23</v>
      </c>
      <c r="C87" s="6" t="s">
        <v>638</v>
      </c>
      <c r="D87" s="6" t="s">
        <v>295</v>
      </c>
      <c r="E87" s="22">
        <f>HLOOKUP('Output (Entree)'!$F$4,'Raw Data (Entree)'!$U$2:$BP$88,(A87+1),)</f>
        <v>0</v>
      </c>
      <c r="F87" s="23">
        <f>IF(D87='Output (Entree)'!$B$4,1,0)</f>
        <v>0</v>
      </c>
      <c r="G87" s="23">
        <f>IF(L87&lt;='Output (Entree)'!$C$4,(200-'Raw Data (Entree)'!L87),0)</f>
        <v>185.01</v>
      </c>
      <c r="H87" s="23">
        <v>4.5</v>
      </c>
      <c r="I87" s="24">
        <f>SUMPRODUCT(F87:H87,'Output (Entree)'!$B$5:$D$5)*E87</f>
        <v>0</v>
      </c>
      <c r="J87" s="25">
        <v>0</v>
      </c>
      <c r="K87" s="49">
        <f t="shared" si="2"/>
        <v>0</v>
      </c>
      <c r="L87" s="20">
        <v>14.99</v>
      </c>
      <c r="M87" s="6" t="s">
        <v>574</v>
      </c>
      <c r="N87" s="6" t="s">
        <v>639</v>
      </c>
      <c r="O87" s="6" t="s">
        <v>640</v>
      </c>
      <c r="P87" s="6" t="s">
        <v>641</v>
      </c>
      <c r="Q87" s="26">
        <v>0.15</v>
      </c>
      <c r="R87" s="6" t="s">
        <v>96</v>
      </c>
      <c r="S87" s="6" t="s">
        <v>642</v>
      </c>
      <c r="T87" s="6" t="s">
        <v>643</v>
      </c>
      <c r="U87" s="6">
        <f>VLOOKUP($C87,'Food Pairing Data'!$C$2:$S$188,5)</f>
        <v>0</v>
      </c>
      <c r="V87" s="6">
        <f>VLOOKUP($C87,'Food Pairing Data'!$C$2:$S$188,6)</f>
        <v>0</v>
      </c>
      <c r="W87" s="6">
        <f>VLOOKUP($C87,'Food Pairing Data'!$C$2:$S$188,7)</f>
        <v>0</v>
      </c>
      <c r="X87" s="6">
        <f>VLOOKUP($C87,'Food Pairing Data'!$C$2:$S$188,8)</f>
        <v>0</v>
      </c>
      <c r="Y87" s="6">
        <f>VLOOKUP($C87,'Food Pairing Data'!$C$2:$S$188,9)</f>
        <v>0</v>
      </c>
      <c r="Z87" s="6">
        <f>VLOOKUP($C87,'Food Pairing Data'!$C$2:$S$188,10)</f>
        <v>0</v>
      </c>
      <c r="AA87" s="6">
        <f>VLOOKUP($C87,'Food Pairing Data'!$C$2:$S$188,11)</f>
        <v>0</v>
      </c>
      <c r="AB87" s="6">
        <f>VLOOKUP($C87,'Food Pairing Data'!$C$2:$S$188,12)</f>
        <v>0</v>
      </c>
      <c r="AC87" s="6">
        <f>VLOOKUP($C87,'Food Pairing Data'!$C$2:$S$188,13)</f>
        <v>0</v>
      </c>
      <c r="AD87" s="6">
        <f>VLOOKUP($C87,'Food Pairing Data'!$C$2:$S$188,14)</f>
        <v>1</v>
      </c>
      <c r="AE87" s="6">
        <f>VLOOKUP($C87,'Food Pairing Data'!$C$2:$S$188,15)</f>
        <v>0</v>
      </c>
      <c r="AF87" s="6">
        <f>VLOOKUP($C87,'Food Pairing Data'!$C$2:$S$188,16)</f>
        <v>0</v>
      </c>
      <c r="AG87" s="6">
        <f>VLOOKUP($C87,'Food Pairing Data'!$C$2:$S$188,17)</f>
        <v>0</v>
      </c>
      <c r="AH87" s="6" t="s">
        <v>638</v>
      </c>
      <c r="AI87" s="6" t="s">
        <v>295</v>
      </c>
    </row>
    <row r="88" spans="1:35" ht="15" thickBot="1">
      <c r="A88" s="6">
        <f t="shared" si="3"/>
        <v>86</v>
      </c>
      <c r="B88" s="6" t="s">
        <v>23</v>
      </c>
      <c r="C88" s="6" t="s">
        <v>491</v>
      </c>
      <c r="D88" s="6" t="s">
        <v>295</v>
      </c>
      <c r="E88" s="27">
        <f>HLOOKUP('Output (Entree)'!$F$4,'Raw Data (Entree)'!$U$2:$BP$88,(A88+1),)</f>
        <v>1</v>
      </c>
      <c r="F88" s="28">
        <f>IF(D88='Output (Entree)'!$B$4,1,0)</f>
        <v>0</v>
      </c>
      <c r="G88" s="28">
        <f>IF(L88&lt;='Output (Entree)'!$C$4,(200-'Raw Data (Entree)'!L88),0)</f>
        <v>180.01</v>
      </c>
      <c r="H88" s="28">
        <v>4</v>
      </c>
      <c r="I88" s="29">
        <f>SUMPRODUCT(F88:H88,'Output (Entree)'!$B$5:$D$5)*E88</f>
        <v>38.802</v>
      </c>
      <c r="J88" s="30">
        <v>0</v>
      </c>
      <c r="K88" s="49">
        <f t="shared" si="2"/>
        <v>0</v>
      </c>
      <c r="L88" s="20">
        <v>19.989999999999998</v>
      </c>
      <c r="M88" s="6" t="s">
        <v>296</v>
      </c>
      <c r="N88" s="6" t="s">
        <v>492</v>
      </c>
      <c r="O88" s="6" t="s">
        <v>493</v>
      </c>
      <c r="P88" s="6" t="s">
        <v>297</v>
      </c>
      <c r="Q88" s="26">
        <v>0.19</v>
      </c>
      <c r="R88" s="6" t="s">
        <v>69</v>
      </c>
      <c r="S88" s="6" t="s">
        <v>616</v>
      </c>
      <c r="T88" s="6" t="s">
        <v>147</v>
      </c>
      <c r="U88" s="6">
        <f>VLOOKUP($C88,'Food Pairing Data'!$C$2:$S$188,5)</f>
        <v>0</v>
      </c>
      <c r="V88" s="6">
        <f>VLOOKUP($C88,'Food Pairing Data'!$C$2:$S$188,6)</f>
        <v>0</v>
      </c>
      <c r="W88" s="6">
        <f>VLOOKUP($C88,'Food Pairing Data'!$C$2:$S$188,7)</f>
        <v>1</v>
      </c>
      <c r="X88" s="6">
        <f>VLOOKUP($C88,'Food Pairing Data'!$C$2:$S$188,8)</f>
        <v>1</v>
      </c>
      <c r="Y88" s="6">
        <f>VLOOKUP($C88,'Food Pairing Data'!$C$2:$S$188,9)</f>
        <v>0</v>
      </c>
      <c r="Z88" s="6">
        <f>VLOOKUP($C88,'Food Pairing Data'!$C$2:$S$188,10)</f>
        <v>0</v>
      </c>
      <c r="AA88" s="6">
        <f>VLOOKUP($C88,'Food Pairing Data'!$C$2:$S$188,11)</f>
        <v>0</v>
      </c>
      <c r="AB88" s="6">
        <f>VLOOKUP($C88,'Food Pairing Data'!$C$2:$S$188,12)</f>
        <v>0</v>
      </c>
      <c r="AC88" s="6">
        <f>VLOOKUP($C88,'Food Pairing Data'!$C$2:$S$188,13)</f>
        <v>0</v>
      </c>
      <c r="AD88" s="6">
        <f>VLOOKUP($C88,'Food Pairing Data'!$C$2:$S$188,14)</f>
        <v>0</v>
      </c>
      <c r="AE88" s="6">
        <f>VLOOKUP($C88,'Food Pairing Data'!$C$2:$S$188,15)</f>
        <v>0</v>
      </c>
      <c r="AF88" s="6">
        <f>VLOOKUP($C88,'Food Pairing Data'!$C$2:$S$188,16)</f>
        <v>0</v>
      </c>
      <c r="AG88" s="6">
        <f>VLOOKUP($C88,'Food Pairing Data'!$C$2:$S$188,17)</f>
        <v>0</v>
      </c>
      <c r="AH88" s="6" t="s">
        <v>491</v>
      </c>
      <c r="AI88" s="6" t="s">
        <v>295</v>
      </c>
    </row>
    <row r="89" spans="1:35">
      <c r="J89" s="31">
        <f>SUM(J3:J88)</f>
        <v>1.0000000000000004</v>
      </c>
      <c r="K89" s="31"/>
      <c r="U89" s="6">
        <f>SUM(U3:U88)</f>
        <v>3</v>
      </c>
      <c r="V89" s="6">
        <f t="shared" ref="V89:AG89" si="4">SUM(V3:V88)</f>
        <v>3</v>
      </c>
      <c r="W89" s="6">
        <f t="shared" si="4"/>
        <v>15</v>
      </c>
      <c r="X89" s="6">
        <f t="shared" si="4"/>
        <v>25</v>
      </c>
      <c r="Y89" s="6">
        <f t="shared" si="4"/>
        <v>1</v>
      </c>
      <c r="Z89" s="6">
        <f t="shared" si="4"/>
        <v>16</v>
      </c>
      <c r="AA89" s="6">
        <f t="shared" si="4"/>
        <v>0</v>
      </c>
      <c r="AB89" s="6">
        <f t="shared" si="4"/>
        <v>0</v>
      </c>
      <c r="AC89" s="6">
        <f t="shared" si="4"/>
        <v>0</v>
      </c>
      <c r="AD89" s="6">
        <f t="shared" si="4"/>
        <v>53</v>
      </c>
      <c r="AE89" s="6">
        <f t="shared" si="4"/>
        <v>1</v>
      </c>
      <c r="AF89" s="6">
        <f t="shared" si="4"/>
        <v>0</v>
      </c>
      <c r="AG89" s="6">
        <f t="shared" si="4"/>
        <v>1</v>
      </c>
    </row>
    <row r="90" spans="1:35">
      <c r="J90" s="6" t="s">
        <v>302</v>
      </c>
    </row>
    <row r="91" spans="1:35" ht="14">
      <c r="E91" s="38" t="s">
        <v>713</v>
      </c>
      <c r="J91" s="31">
        <v>1</v>
      </c>
      <c r="K91" s="31"/>
      <c r="L91" s="20"/>
    </row>
    <row r="92" spans="1:35">
      <c r="E92" s="38" t="s">
        <v>305</v>
      </c>
      <c r="F92" s="6" t="s">
        <v>44</v>
      </c>
      <c r="G92" s="6" t="s">
        <v>714</v>
      </c>
      <c r="H92" s="38" t="s">
        <v>715</v>
      </c>
    </row>
    <row r="93" spans="1:35">
      <c r="E93" s="6">
        <f>'Output (Entree)'!B5</f>
        <v>0.1</v>
      </c>
      <c r="F93" s="6">
        <f>'Output (Entree)'!C5</f>
        <v>0.2</v>
      </c>
      <c r="G93" s="6">
        <f>'Output (Entree)'!D5</f>
        <v>0.7</v>
      </c>
      <c r="H93" s="6">
        <f>SUM(E93:G93)</f>
        <v>1</v>
      </c>
      <c r="I93" s="38" t="s">
        <v>302</v>
      </c>
      <c r="J93" s="6">
        <v>1</v>
      </c>
      <c r="L93" s="15"/>
    </row>
    <row r="95" spans="1:35" ht="14" thickBot="1">
      <c r="G95" s="6" t="s">
        <v>303</v>
      </c>
    </row>
    <row r="96" spans="1:35" ht="14" thickBot="1">
      <c r="G96" s="32">
        <f>SUMPRODUCT(I3:I88,J3:J88)</f>
        <v>41.452000000000019</v>
      </c>
    </row>
    <row r="98" spans="3:9">
      <c r="C98" s="6" t="s">
        <v>304</v>
      </c>
      <c r="D98" s="6" t="s">
        <v>305</v>
      </c>
      <c r="E98" s="6" t="s">
        <v>44</v>
      </c>
      <c r="F98" s="6" t="s">
        <v>45</v>
      </c>
      <c r="G98" s="6" t="s">
        <v>46</v>
      </c>
      <c r="H98" s="6" t="s">
        <v>47</v>
      </c>
      <c r="I98" s="38" t="s">
        <v>105</v>
      </c>
    </row>
    <row r="99" spans="3:9">
      <c r="C99" s="6" t="str">
        <f>VLOOKUP($J$89,$K$3:$AI$88,24,FALSE)</f>
        <v>Astica Malbec</v>
      </c>
      <c r="D99" s="6" t="str">
        <f>VLOOKUP($J$89,$K$3:$AI$88,25,FALSE)</f>
        <v>Red</v>
      </c>
      <c r="E99" s="6">
        <f>VLOOKUP($J$89,$K$3:$AI$88,2,FALSE)</f>
        <v>8.99</v>
      </c>
      <c r="F99" s="6" t="str">
        <f>VLOOKUP($J$89,$K$3:$AI$88,3,FALSE)</f>
        <v>Argentina</v>
      </c>
      <c r="G99" s="6" t="str">
        <f>VLOOKUP($J$89,$K$3:$AI$88,4,FALSE)</f>
        <v>Cuyo</v>
      </c>
      <c r="H99" s="6" t="str">
        <f>VLOOKUP($J$89,$K$3:$AI$88,5,FALSE)</f>
        <v>Malbec</v>
      </c>
      <c r="I99" s="6" t="str">
        <f>VLOOKUP($J$89,$K$3:$AI$88,10,FALSE)</f>
        <v>Seafood</v>
      </c>
    </row>
  </sheetData>
  <sheetCalcPr fullCalcOnLoad="1"/>
  <mergeCells count="3">
    <mergeCell ref="V1:AS1"/>
    <mergeCell ref="AT1:BG1"/>
    <mergeCell ref="BH1:BP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2" enableFormatConditionsCalculation="0"/>
  <dimension ref="A1:J16"/>
  <sheetViews>
    <sheetView workbookViewId="0">
      <selection activeCell="D30" sqref="D30"/>
    </sheetView>
  </sheetViews>
  <sheetFormatPr baseColWidth="10" defaultColWidth="10.7109375" defaultRowHeight="13"/>
  <cols>
    <col min="1" max="1" width="23.28515625" style="6" customWidth="1"/>
    <col min="2" max="2" width="17.42578125" style="6" customWidth="1"/>
    <col min="3" max="4" width="10.7109375" style="6"/>
    <col min="5" max="5" width="14.5703125" style="6" bestFit="1" customWidth="1"/>
    <col min="6" max="6" width="16.42578125" style="6" customWidth="1"/>
    <col min="7" max="7" width="7.5703125" style="6" customWidth="1"/>
    <col min="8" max="9" width="10.7109375" style="6"/>
    <col min="10" max="10" width="12.42578125" style="6" customWidth="1"/>
    <col min="11" max="16384" width="10.7109375" style="6"/>
  </cols>
  <sheetData>
    <row r="1" spans="1:10" ht="14" thickBot="1"/>
    <row r="2" spans="1:10">
      <c r="A2" s="137" t="s">
        <v>716</v>
      </c>
      <c r="B2" s="75" t="s">
        <v>3</v>
      </c>
      <c r="C2" s="77" t="s">
        <v>4</v>
      </c>
      <c r="D2" s="77" t="s">
        <v>5</v>
      </c>
      <c r="E2" s="77" t="s">
        <v>6</v>
      </c>
      <c r="F2" s="55"/>
      <c r="H2" s="139" t="s">
        <v>106</v>
      </c>
      <c r="I2" s="140"/>
      <c r="J2" s="141"/>
    </row>
    <row r="3" spans="1:10" ht="14">
      <c r="A3" s="138"/>
      <c r="B3" s="76" t="s">
        <v>307</v>
      </c>
      <c r="C3" s="78" t="s">
        <v>308</v>
      </c>
      <c r="D3" s="78" t="s">
        <v>42</v>
      </c>
      <c r="E3" s="78" t="s">
        <v>43</v>
      </c>
      <c r="F3" s="56"/>
      <c r="H3" s="42">
        <v>1</v>
      </c>
      <c r="I3" s="43" t="s">
        <v>499</v>
      </c>
      <c r="J3" s="44"/>
    </row>
    <row r="4" spans="1:10" ht="14">
      <c r="A4" s="50" t="s">
        <v>7</v>
      </c>
      <c r="B4" s="79" t="s">
        <v>717</v>
      </c>
      <c r="C4" s="80">
        <v>20</v>
      </c>
      <c r="D4" s="81">
        <v>3</v>
      </c>
      <c r="E4" s="80">
        <v>13</v>
      </c>
      <c r="F4" s="82" t="str">
        <f>VLOOKUP(E4,H3:I15,2)</f>
        <v>Sweet</v>
      </c>
      <c r="H4" s="42">
        <f>H3+1</f>
        <v>2</v>
      </c>
      <c r="I4" s="43" t="s">
        <v>500</v>
      </c>
      <c r="J4" s="44"/>
    </row>
    <row r="5" spans="1:10" ht="15" thickBot="1">
      <c r="A5" s="57" t="s">
        <v>2</v>
      </c>
      <c r="B5" s="83">
        <v>0.1</v>
      </c>
      <c r="C5" s="84">
        <v>0.8</v>
      </c>
      <c r="D5" s="85">
        <f>1-B5-C5</f>
        <v>9.9999999999999978E-2</v>
      </c>
      <c r="E5" s="62"/>
      <c r="F5" s="58"/>
      <c r="H5" s="42">
        <f t="shared" ref="H5:H15" si="0">H4+1</f>
        <v>3</v>
      </c>
      <c r="I5" s="43" t="s">
        <v>501</v>
      </c>
      <c r="J5" s="44"/>
    </row>
    <row r="6" spans="1:10" ht="14">
      <c r="D6" s="72">
        <f>SUM(B5:D5)</f>
        <v>1</v>
      </c>
      <c r="H6" s="42">
        <f t="shared" si="0"/>
        <v>4</v>
      </c>
      <c r="I6" s="43" t="s">
        <v>502</v>
      </c>
      <c r="J6" s="44"/>
    </row>
    <row r="7" spans="1:10" ht="15" thickBot="1">
      <c r="D7" s="73" t="s">
        <v>313</v>
      </c>
      <c r="H7" s="42">
        <f t="shared" si="0"/>
        <v>5</v>
      </c>
      <c r="I7" s="43" t="s">
        <v>503</v>
      </c>
      <c r="J7" s="44"/>
    </row>
    <row r="8" spans="1:10" ht="14">
      <c r="A8" s="135" t="s">
        <v>0</v>
      </c>
      <c r="B8" s="136"/>
      <c r="D8" s="74">
        <v>1</v>
      </c>
      <c r="H8" s="42">
        <f t="shared" si="0"/>
        <v>6</v>
      </c>
      <c r="I8" s="43" t="s">
        <v>504</v>
      </c>
      <c r="J8" s="44"/>
    </row>
    <row r="9" spans="1:10" ht="14">
      <c r="A9" s="50" t="s">
        <v>304</v>
      </c>
      <c r="B9" s="51" t="str">
        <f>'Raw Data (Dessert)'!C99</f>
        <v>Bartenura Moscato</v>
      </c>
      <c r="H9" s="42">
        <f t="shared" si="0"/>
        <v>7</v>
      </c>
      <c r="I9" s="43" t="s">
        <v>505</v>
      </c>
      <c r="J9" s="44"/>
    </row>
    <row r="10" spans="1:10" ht="14">
      <c r="A10" s="50" t="s">
        <v>305</v>
      </c>
      <c r="B10" s="51" t="str">
        <f>'Raw Data (Dessert)'!D99</f>
        <v>Sparkling</v>
      </c>
      <c r="H10" s="42">
        <f t="shared" si="0"/>
        <v>8</v>
      </c>
      <c r="I10" s="43" t="s">
        <v>506</v>
      </c>
      <c r="J10" s="44"/>
    </row>
    <row r="11" spans="1:10" ht="14">
      <c r="A11" s="50" t="s">
        <v>44</v>
      </c>
      <c r="B11" s="52">
        <f>'Raw Data (Dessert)'!E99</f>
        <v>14.99</v>
      </c>
      <c r="H11" s="42">
        <f t="shared" si="0"/>
        <v>9</v>
      </c>
      <c r="I11" s="43" t="s">
        <v>507</v>
      </c>
      <c r="J11" s="44"/>
    </row>
    <row r="12" spans="1:10" ht="14">
      <c r="A12" s="50" t="s">
        <v>45</v>
      </c>
      <c r="B12" s="51" t="str">
        <f>'Raw Data (Dessert)'!F99</f>
        <v>Italy</v>
      </c>
      <c r="H12" s="42">
        <f t="shared" si="0"/>
        <v>10</v>
      </c>
      <c r="I12" s="43" t="s">
        <v>669</v>
      </c>
      <c r="J12" s="44"/>
    </row>
    <row r="13" spans="1:10" ht="14">
      <c r="A13" s="50" t="s">
        <v>46</v>
      </c>
      <c r="B13" s="51" t="str">
        <f>'Raw Data (Dessert)'!G99</f>
        <v xml:space="preserve">Lombardy › Pavia </v>
      </c>
      <c r="H13" s="42">
        <f t="shared" si="0"/>
        <v>11</v>
      </c>
      <c r="I13" s="43" t="s">
        <v>670</v>
      </c>
      <c r="J13" s="44"/>
    </row>
    <row r="14" spans="1:10" ht="14">
      <c r="A14" s="50" t="s">
        <v>47</v>
      </c>
      <c r="B14" s="51" t="str">
        <f>'Raw Data (Dessert)'!H99</f>
        <v>Moscato</v>
      </c>
      <c r="H14" s="42">
        <f t="shared" si="0"/>
        <v>12</v>
      </c>
      <c r="I14" s="43" t="s">
        <v>56</v>
      </c>
      <c r="J14" s="44"/>
    </row>
    <row r="15" spans="1:10" ht="15" thickBot="1">
      <c r="A15" s="53" t="s">
        <v>1</v>
      </c>
      <c r="B15" s="54" t="str">
        <f>'Raw Data (Dessert)'!I99</f>
        <v>Beef stew</v>
      </c>
      <c r="H15" s="42">
        <f t="shared" si="0"/>
        <v>13</v>
      </c>
      <c r="I15" s="43" t="s">
        <v>295</v>
      </c>
      <c r="J15" s="44"/>
    </row>
    <row r="16" spans="1:10">
      <c r="H16" s="8"/>
      <c r="I16" s="45"/>
      <c r="J16" s="46"/>
    </row>
  </sheetData>
  <sheetCalcPr fullCalcOnLoad="1"/>
  <mergeCells count="3">
    <mergeCell ref="A8:B8"/>
    <mergeCell ref="A2:A3"/>
    <mergeCell ref="H2:J2"/>
  </mergeCells>
  <phoneticPr fontId="4" type="noConversion"/>
  <pageMargins left="0.75" right="0.75" top="1" bottom="1" header="0.5" footer="0.5"/>
  <legacyDrawing r:id="rId1"/>
  <extLst>
    <ext xmlns:mx="http://schemas.microsoft.com/office/mac/excel/2008/main" uri="http://schemas.microsoft.com/office/mac/excel/2008/main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3" enableFormatConditionsCalculation="0"/>
  <dimension ref="A1:BP99"/>
  <sheetViews>
    <sheetView topLeftCell="A31" workbookViewId="0">
      <selection activeCell="AG25" sqref="AG25"/>
    </sheetView>
  </sheetViews>
  <sheetFormatPr baseColWidth="10" defaultColWidth="7.5703125" defaultRowHeight="13"/>
  <cols>
    <col min="1" max="1" width="7.140625" style="6" customWidth="1"/>
    <col min="2" max="2" width="0.140625" style="6" customWidth="1"/>
    <col min="3" max="3" width="45.28515625" style="6" customWidth="1"/>
    <col min="4" max="5" width="10.85546875" style="6" customWidth="1"/>
    <col min="6" max="6" width="8.7109375" style="6" bestFit="1" customWidth="1"/>
    <col min="7" max="7" width="17.7109375" style="6" customWidth="1"/>
    <col min="8" max="8" width="10.5703125" style="6" bestFit="1" customWidth="1"/>
    <col min="9" max="9" width="17.7109375" style="6" bestFit="1" customWidth="1"/>
    <col min="10" max="12" width="9.7109375" style="6" customWidth="1"/>
    <col min="13" max="13" width="11.7109375" style="6" customWidth="1"/>
    <col min="14" max="14" width="11" style="6" customWidth="1"/>
    <col min="15" max="15" width="41.140625" style="6" customWidth="1"/>
    <col min="16" max="16" width="21.85546875" style="6" customWidth="1"/>
    <col min="17" max="18" width="7.5703125" style="6"/>
    <col min="19" max="19" width="11.42578125" style="6" customWidth="1"/>
    <col min="20" max="20" width="12.28515625" style="6" customWidth="1"/>
    <col min="21" max="21" width="16.42578125" style="6" customWidth="1"/>
    <col min="22" max="22" width="8.28515625" style="6" bestFit="1" customWidth="1"/>
    <col min="23" max="16384" width="7.5703125" style="6"/>
  </cols>
  <sheetData>
    <row r="1" spans="1:68"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  <c r="BP1" s="146"/>
    </row>
    <row r="2" spans="1:68" ht="15" thickBot="1">
      <c r="A2" s="13" t="s">
        <v>38</v>
      </c>
      <c r="B2" s="14" t="s">
        <v>39</v>
      </c>
      <c r="C2" s="14" t="s">
        <v>40</v>
      </c>
      <c r="D2" s="14" t="s">
        <v>41</v>
      </c>
      <c r="E2" s="14" t="s">
        <v>496</v>
      </c>
      <c r="F2" s="14" t="s">
        <v>311</v>
      </c>
      <c r="G2" s="14" t="s">
        <v>494</v>
      </c>
      <c r="H2" s="14" t="s">
        <v>42</v>
      </c>
      <c r="I2" s="14" t="s">
        <v>648</v>
      </c>
      <c r="J2" s="14" t="s">
        <v>43</v>
      </c>
      <c r="K2" s="14"/>
      <c r="L2" s="14" t="s">
        <v>44</v>
      </c>
      <c r="M2" s="14" t="s">
        <v>45</v>
      </c>
      <c r="N2" s="14" t="s">
        <v>46</v>
      </c>
      <c r="O2" s="14" t="s">
        <v>47</v>
      </c>
      <c r="P2" s="14" t="s">
        <v>48</v>
      </c>
      <c r="Q2" s="14" t="s">
        <v>49</v>
      </c>
      <c r="R2" s="14" t="s">
        <v>50</v>
      </c>
      <c r="S2" s="14" t="s">
        <v>51</v>
      </c>
      <c r="T2" s="14" t="s">
        <v>52</v>
      </c>
      <c r="U2" s="2" t="s">
        <v>499</v>
      </c>
      <c r="V2" s="2" t="s">
        <v>500</v>
      </c>
      <c r="W2" s="2" t="s">
        <v>501</v>
      </c>
      <c r="X2" s="2" t="s">
        <v>502</v>
      </c>
      <c r="Y2" s="2" t="s">
        <v>503</v>
      </c>
      <c r="Z2" s="2" t="s">
        <v>504</v>
      </c>
      <c r="AA2" s="2" t="s">
        <v>505</v>
      </c>
      <c r="AB2" s="2" t="s">
        <v>506</v>
      </c>
      <c r="AC2" s="2" t="s">
        <v>507</v>
      </c>
      <c r="AD2" s="2" t="s">
        <v>669</v>
      </c>
      <c r="AE2" s="2" t="s">
        <v>670</v>
      </c>
      <c r="AF2" s="2" t="s">
        <v>56</v>
      </c>
      <c r="AG2" s="2" t="s">
        <v>295</v>
      </c>
      <c r="AH2" s="1" t="s">
        <v>160</v>
      </c>
      <c r="AI2" s="14" t="s">
        <v>41</v>
      </c>
      <c r="AJ2" s="15"/>
      <c r="AK2" s="15"/>
      <c r="AL2" s="15"/>
      <c r="AM2" s="15"/>
      <c r="AN2" s="15"/>
      <c r="AO2" s="15"/>
      <c r="AP2" s="15"/>
      <c r="AQ2" s="15"/>
      <c r="AR2" s="15"/>
    </row>
    <row r="3" spans="1:68" ht="14">
      <c r="A3" s="6">
        <v>1</v>
      </c>
      <c r="B3" s="6" t="s">
        <v>161</v>
      </c>
      <c r="C3" s="6" t="s">
        <v>162</v>
      </c>
      <c r="D3" s="6" t="s">
        <v>163</v>
      </c>
      <c r="E3" s="16">
        <f>HLOOKUP('Output (Dessert)'!$F$4,'Raw Data (Dessert)'!$U$2:$AH$88,(A3+1),)</f>
        <v>0</v>
      </c>
      <c r="F3" s="17">
        <f>IF(D3='Output (Dessert)'!$B$4,1,0)</f>
        <v>1</v>
      </c>
      <c r="G3" s="17">
        <f>IF(L3&lt;='Output (Dessert)'!$C$4,(200-'Raw Data (Dessert)'!L3),0)</f>
        <v>0</v>
      </c>
      <c r="H3" s="17">
        <v>5</v>
      </c>
      <c r="I3" s="18">
        <f>SUMPRODUCT(F3:H3,'Output (Dessert)'!$B$5:$D$5)*E3</f>
        <v>0</v>
      </c>
      <c r="J3" s="19">
        <v>0</v>
      </c>
      <c r="K3" s="49">
        <f>J3</f>
        <v>0</v>
      </c>
      <c r="L3" s="20">
        <v>110</v>
      </c>
      <c r="M3" s="6" t="s">
        <v>164</v>
      </c>
      <c r="N3" s="6" t="s">
        <v>165</v>
      </c>
      <c r="O3" s="6" t="s">
        <v>166</v>
      </c>
      <c r="P3" s="6" t="s">
        <v>167</v>
      </c>
      <c r="Q3" s="21">
        <v>0.14499999999999999</v>
      </c>
      <c r="R3" s="6" t="s">
        <v>53</v>
      </c>
      <c r="S3" s="6" t="s">
        <v>89</v>
      </c>
      <c r="T3" s="6" t="s">
        <v>168</v>
      </c>
      <c r="U3" s="6">
        <f>VLOOKUP($C3,'Food Pairing Data'!$C$2:$S$188,5)</f>
        <v>0</v>
      </c>
      <c r="V3" s="6">
        <f>VLOOKUP($C3,'Food Pairing Data'!$C$2:$S$188,6)</f>
        <v>0</v>
      </c>
      <c r="W3" s="6">
        <f>VLOOKUP($C3,'Food Pairing Data'!$C$2:$S$188,7)</f>
        <v>0</v>
      </c>
      <c r="X3" s="6">
        <f>VLOOKUP($C3,'Food Pairing Data'!$C$2:$S$188,8)</f>
        <v>0</v>
      </c>
      <c r="Y3" s="6">
        <f>VLOOKUP($C3,'Food Pairing Data'!$C$2:$S$188,9)</f>
        <v>0</v>
      </c>
      <c r="Z3" s="6">
        <f>VLOOKUP($C3,'Food Pairing Data'!$C$2:$S$188,10)</f>
        <v>0</v>
      </c>
      <c r="AA3" s="6">
        <f>VLOOKUP($C3,'Food Pairing Data'!$C$2:$S$188,11)</f>
        <v>0</v>
      </c>
      <c r="AB3" s="6">
        <f>VLOOKUP($C3,'Food Pairing Data'!$C$2:$S$188,12)</f>
        <v>0</v>
      </c>
      <c r="AC3" s="6">
        <f>VLOOKUP($C3,'Food Pairing Data'!$C$2:$S$188,13)</f>
        <v>0</v>
      </c>
      <c r="AD3" s="6">
        <f>VLOOKUP($C3,'Food Pairing Data'!$C$2:$S$188,14)</f>
        <v>1</v>
      </c>
      <c r="AE3" s="6">
        <f>VLOOKUP($C3,'Food Pairing Data'!$C$2:$S$188,15)</f>
        <v>0</v>
      </c>
      <c r="AF3" s="6">
        <f>VLOOKUP($C3,'Food Pairing Data'!$C$2:$S$188,16)</f>
        <v>0</v>
      </c>
      <c r="AG3" s="6">
        <f>VLOOKUP($C3,'Food Pairing Data'!$C$2:$S$188,17)</f>
        <v>0</v>
      </c>
      <c r="AH3" s="6" t="s">
        <v>162</v>
      </c>
      <c r="AI3" s="6" t="s">
        <v>163</v>
      </c>
    </row>
    <row r="4" spans="1:68" ht="14">
      <c r="A4" s="6">
        <f>A3+1</f>
        <v>2</v>
      </c>
      <c r="B4" s="6" t="s">
        <v>161</v>
      </c>
      <c r="C4" s="6" t="s">
        <v>169</v>
      </c>
      <c r="D4" s="6" t="s">
        <v>163</v>
      </c>
      <c r="E4" s="22">
        <f>HLOOKUP('Output (Dessert)'!$F$4,'Raw Data (Dessert)'!$U$2:$BP$88,(A4+1),)</f>
        <v>0</v>
      </c>
      <c r="F4" s="23">
        <f>IF(D4='Output (Dessert)'!$B$4,1,0)</f>
        <v>1</v>
      </c>
      <c r="G4" s="23">
        <f>IF(L4&lt;='Output (Dessert)'!$C$4,(200-'Raw Data (Dessert)'!L4),0)</f>
        <v>0</v>
      </c>
      <c r="H4" s="23">
        <v>5</v>
      </c>
      <c r="I4" s="24">
        <f>SUMPRODUCT(F4:H4,'Output (Dessert)'!$B$5:$D$5)*E4</f>
        <v>0</v>
      </c>
      <c r="J4" s="25">
        <v>0</v>
      </c>
      <c r="K4" s="49">
        <f t="shared" ref="K4:K67" si="0">J4</f>
        <v>0</v>
      </c>
      <c r="L4" s="20">
        <v>79.989999999999995</v>
      </c>
      <c r="M4" s="6" t="s">
        <v>170</v>
      </c>
      <c r="N4" s="6" t="s">
        <v>171</v>
      </c>
      <c r="O4" s="6" t="s">
        <v>172</v>
      </c>
      <c r="P4" s="6" t="s">
        <v>173</v>
      </c>
      <c r="Q4" s="26" t="s">
        <v>174</v>
      </c>
      <c r="R4" s="6" t="s">
        <v>65</v>
      </c>
      <c r="S4" s="6" t="s">
        <v>91</v>
      </c>
      <c r="T4" s="6" t="s">
        <v>58</v>
      </c>
      <c r="U4" s="6">
        <f>VLOOKUP($C4,'Food Pairing Data'!$C$2:$S$188,5)</f>
        <v>0</v>
      </c>
      <c r="V4" s="6">
        <f>VLOOKUP($C4,'Food Pairing Data'!$C$2:$S$188,6)</f>
        <v>0</v>
      </c>
      <c r="W4" s="6">
        <f>VLOOKUP($C4,'Food Pairing Data'!$C$2:$S$188,7)</f>
        <v>0</v>
      </c>
      <c r="X4" s="6">
        <f>VLOOKUP($C4,'Food Pairing Data'!$C$2:$S$188,8)</f>
        <v>0</v>
      </c>
      <c r="Y4" s="6">
        <f>VLOOKUP($C4,'Food Pairing Data'!$C$2:$S$188,9)</f>
        <v>0</v>
      </c>
      <c r="Z4" s="6">
        <f>VLOOKUP($C4,'Food Pairing Data'!$C$2:$S$188,10)</f>
        <v>0</v>
      </c>
      <c r="AA4" s="6">
        <f>VLOOKUP($C4,'Food Pairing Data'!$C$2:$S$188,11)</f>
        <v>0</v>
      </c>
      <c r="AB4" s="6">
        <f>VLOOKUP($C4,'Food Pairing Data'!$C$2:$S$188,12)</f>
        <v>0</v>
      </c>
      <c r="AC4" s="6">
        <f>VLOOKUP($C4,'Food Pairing Data'!$C$2:$S$188,13)</f>
        <v>0</v>
      </c>
      <c r="AD4" s="6">
        <f>VLOOKUP($C4,'Food Pairing Data'!$C$2:$S$188,14)</f>
        <v>1</v>
      </c>
      <c r="AE4" s="6">
        <f>VLOOKUP($C4,'Food Pairing Data'!$C$2:$S$188,15)</f>
        <v>0</v>
      </c>
      <c r="AF4" s="6">
        <f>VLOOKUP($C4,'Food Pairing Data'!$C$2:$S$188,16)</f>
        <v>0</v>
      </c>
      <c r="AG4" s="6">
        <f>VLOOKUP($C4,'Food Pairing Data'!$C$2:$S$188,17)</f>
        <v>0</v>
      </c>
      <c r="AH4" s="6" t="s">
        <v>169</v>
      </c>
      <c r="AI4" s="6" t="s">
        <v>163</v>
      </c>
    </row>
    <row r="5" spans="1:68" ht="14">
      <c r="A5" s="6">
        <f t="shared" ref="A5:A68" si="1">A4+1</f>
        <v>3</v>
      </c>
      <c r="B5" s="6" t="s">
        <v>161</v>
      </c>
      <c r="C5" s="6" t="s">
        <v>175</v>
      </c>
      <c r="D5" s="6" t="s">
        <v>163</v>
      </c>
      <c r="E5" s="22">
        <f>HLOOKUP('Output (Dessert)'!$F$4,'Raw Data (Dessert)'!$U$2:$BP$88,(A5+1),)</f>
        <v>0</v>
      </c>
      <c r="F5" s="23">
        <f>IF(D5='Output (Dessert)'!$B$4,1,0)</f>
        <v>1</v>
      </c>
      <c r="G5" s="23">
        <f>IF(L5&lt;='Output (Dessert)'!$C$4,(200-'Raw Data (Dessert)'!L5),0)</f>
        <v>0</v>
      </c>
      <c r="H5" s="23">
        <v>5</v>
      </c>
      <c r="I5" s="24">
        <f>SUMPRODUCT(F5:H5,'Output (Dessert)'!$B$5:$D$5)*E5</f>
        <v>0</v>
      </c>
      <c r="J5" s="25">
        <v>0</v>
      </c>
      <c r="K5" s="49">
        <f t="shared" si="0"/>
        <v>0</v>
      </c>
      <c r="L5" s="20">
        <v>49.99</v>
      </c>
      <c r="M5" s="6" t="s">
        <v>176</v>
      </c>
      <c r="N5" s="6" t="s">
        <v>177</v>
      </c>
      <c r="O5" s="6" t="s">
        <v>178</v>
      </c>
      <c r="P5" s="6" t="s">
        <v>179</v>
      </c>
      <c r="Q5" s="26" t="s">
        <v>180</v>
      </c>
      <c r="R5" s="6" t="s">
        <v>55</v>
      </c>
      <c r="S5" s="6" t="s">
        <v>89</v>
      </c>
      <c r="T5" s="6" t="s">
        <v>58</v>
      </c>
      <c r="U5" s="6">
        <f>VLOOKUP($C5,'Food Pairing Data'!$C$2:$S$188,5)</f>
        <v>0</v>
      </c>
      <c r="V5" s="6">
        <f>VLOOKUP($C5,'Food Pairing Data'!$C$2:$S$188,6)</f>
        <v>0</v>
      </c>
      <c r="W5" s="6">
        <f>VLOOKUP($C5,'Food Pairing Data'!$C$2:$S$188,7)</f>
        <v>0</v>
      </c>
      <c r="X5" s="6">
        <f>VLOOKUP($C5,'Food Pairing Data'!$C$2:$S$188,8)</f>
        <v>1</v>
      </c>
      <c r="Y5" s="6">
        <f>VLOOKUP($C5,'Food Pairing Data'!$C$2:$S$188,9)</f>
        <v>0</v>
      </c>
      <c r="Z5" s="6">
        <f>VLOOKUP($C5,'Food Pairing Data'!$C$2:$S$188,10)</f>
        <v>1</v>
      </c>
      <c r="AA5" s="6">
        <f>VLOOKUP($C5,'Food Pairing Data'!$C$2:$S$188,11)</f>
        <v>0</v>
      </c>
      <c r="AB5" s="6">
        <f>VLOOKUP($C5,'Food Pairing Data'!$C$2:$S$188,12)</f>
        <v>0</v>
      </c>
      <c r="AC5" s="6">
        <f>VLOOKUP($C5,'Food Pairing Data'!$C$2:$S$188,13)</f>
        <v>0</v>
      </c>
      <c r="AD5" s="6">
        <f>VLOOKUP($C5,'Food Pairing Data'!$C$2:$S$188,14)</f>
        <v>0</v>
      </c>
      <c r="AE5" s="6">
        <f>VLOOKUP($C5,'Food Pairing Data'!$C$2:$S$188,15)</f>
        <v>0</v>
      </c>
      <c r="AF5" s="6">
        <f>VLOOKUP($C5,'Food Pairing Data'!$C$2:$S$188,16)</f>
        <v>0</v>
      </c>
      <c r="AG5" s="6">
        <f>VLOOKUP($C5,'Food Pairing Data'!$C$2:$S$188,17)</f>
        <v>0</v>
      </c>
      <c r="AH5" s="6" t="s">
        <v>175</v>
      </c>
      <c r="AI5" s="6" t="s">
        <v>163</v>
      </c>
    </row>
    <row r="6" spans="1:68" ht="14">
      <c r="A6" s="6">
        <f t="shared" si="1"/>
        <v>4</v>
      </c>
      <c r="B6" s="6" t="s">
        <v>181</v>
      </c>
      <c r="C6" s="6" t="s">
        <v>182</v>
      </c>
      <c r="D6" s="6" t="s">
        <v>163</v>
      </c>
      <c r="E6" s="22">
        <f>HLOOKUP('Output (Dessert)'!$F$4,'Raw Data (Dessert)'!$U$2:$BP$88,(A6+1),)</f>
        <v>0</v>
      </c>
      <c r="F6" s="23">
        <f>IF(D6='Output (Dessert)'!$B$4,1,0)</f>
        <v>1</v>
      </c>
      <c r="G6" s="23">
        <f>IF(L6&lt;='Output (Dessert)'!$C$4,(200-'Raw Data (Dessert)'!L6),0)</f>
        <v>0</v>
      </c>
      <c r="H6" s="23">
        <v>5</v>
      </c>
      <c r="I6" s="24">
        <f>SUMPRODUCT(F6:H6,'Output (Dessert)'!$B$5:$D$5)*E6</f>
        <v>0</v>
      </c>
      <c r="J6" s="25">
        <v>0</v>
      </c>
      <c r="K6" s="49">
        <f t="shared" si="0"/>
        <v>0</v>
      </c>
      <c r="L6" s="20">
        <v>34.99</v>
      </c>
      <c r="M6" s="6" t="s">
        <v>183</v>
      </c>
      <c r="N6" s="6" t="s">
        <v>184</v>
      </c>
      <c r="O6" s="6" t="s">
        <v>185</v>
      </c>
      <c r="P6" s="6" t="s">
        <v>186</v>
      </c>
      <c r="Q6" s="26" t="s">
        <v>180</v>
      </c>
      <c r="R6" s="6" t="s">
        <v>72</v>
      </c>
      <c r="S6" s="6" t="s">
        <v>64</v>
      </c>
      <c r="T6" s="6" t="s">
        <v>58</v>
      </c>
      <c r="U6" s="6">
        <f>VLOOKUP($C6,'Food Pairing Data'!$C$2:$S$188,5)</f>
        <v>0</v>
      </c>
      <c r="V6" s="6">
        <f>VLOOKUP($C6,'Food Pairing Data'!$C$2:$S$188,6)</f>
        <v>0</v>
      </c>
      <c r="W6" s="6">
        <f>VLOOKUP($C6,'Food Pairing Data'!$C$2:$S$188,7)</f>
        <v>0</v>
      </c>
      <c r="X6" s="6">
        <f>VLOOKUP($C6,'Food Pairing Data'!$C$2:$S$188,8)</f>
        <v>0</v>
      </c>
      <c r="Y6" s="6">
        <f>VLOOKUP($C6,'Food Pairing Data'!$C$2:$S$188,9)</f>
        <v>0</v>
      </c>
      <c r="Z6" s="6">
        <f>VLOOKUP($C6,'Food Pairing Data'!$C$2:$S$188,10)</f>
        <v>0</v>
      </c>
      <c r="AA6" s="6">
        <f>VLOOKUP($C6,'Food Pairing Data'!$C$2:$S$188,11)</f>
        <v>0</v>
      </c>
      <c r="AB6" s="6">
        <f>VLOOKUP($C6,'Food Pairing Data'!$C$2:$S$188,12)</f>
        <v>0</v>
      </c>
      <c r="AC6" s="6">
        <f>VLOOKUP($C6,'Food Pairing Data'!$C$2:$S$188,13)</f>
        <v>0</v>
      </c>
      <c r="AD6" s="6">
        <f>VLOOKUP($C6,'Food Pairing Data'!$C$2:$S$188,14)</f>
        <v>1</v>
      </c>
      <c r="AE6" s="6">
        <f>VLOOKUP($C6,'Food Pairing Data'!$C$2:$S$188,15)</f>
        <v>0</v>
      </c>
      <c r="AF6" s="6">
        <f>VLOOKUP($C6,'Food Pairing Data'!$C$2:$S$188,16)</f>
        <v>0</v>
      </c>
      <c r="AG6" s="6">
        <f>VLOOKUP($C6,'Food Pairing Data'!$C$2:$S$188,17)</f>
        <v>0</v>
      </c>
      <c r="AH6" s="6" t="s">
        <v>182</v>
      </c>
      <c r="AI6" s="6" t="s">
        <v>163</v>
      </c>
    </row>
    <row r="7" spans="1:68" ht="14">
      <c r="A7" s="6">
        <f t="shared" si="1"/>
        <v>5</v>
      </c>
      <c r="B7" s="6" t="s">
        <v>181</v>
      </c>
      <c r="C7" s="6" t="s">
        <v>11</v>
      </c>
      <c r="D7" s="6" t="s">
        <v>163</v>
      </c>
      <c r="E7" s="22">
        <f>HLOOKUP('Output (Dessert)'!$F$4,'Raw Data (Dessert)'!$U$2:$BP$88,(A7+1),)</f>
        <v>0</v>
      </c>
      <c r="F7" s="23">
        <f>IF(D7='Output (Dessert)'!$B$4,1,0)</f>
        <v>1</v>
      </c>
      <c r="G7" s="23">
        <f>IF(L7&lt;='Output (Dessert)'!$C$4,(200-'Raw Data (Dessert)'!L7),0)</f>
        <v>0</v>
      </c>
      <c r="H7" s="23">
        <v>5</v>
      </c>
      <c r="I7" s="24">
        <f>SUMPRODUCT(F7:H7,'Output (Dessert)'!$B$5:$D$5)*E7</f>
        <v>0</v>
      </c>
      <c r="J7" s="25">
        <v>0</v>
      </c>
      <c r="K7" s="49">
        <f t="shared" si="0"/>
        <v>0</v>
      </c>
      <c r="L7" s="20">
        <v>29.99</v>
      </c>
      <c r="M7" s="6" t="s">
        <v>176</v>
      </c>
      <c r="N7" s="6" t="s">
        <v>12</v>
      </c>
      <c r="O7" s="6" t="s">
        <v>13</v>
      </c>
      <c r="P7" s="6" t="s">
        <v>186</v>
      </c>
      <c r="Q7" s="26" t="s">
        <v>174</v>
      </c>
      <c r="R7" s="6" t="s">
        <v>14</v>
      </c>
      <c r="S7" s="6" t="s">
        <v>64</v>
      </c>
      <c r="T7" s="6" t="s">
        <v>58</v>
      </c>
      <c r="U7" s="6">
        <f>VLOOKUP($C7,'Food Pairing Data'!$C$2:$S$188,5)</f>
        <v>0</v>
      </c>
      <c r="V7" s="6">
        <f>VLOOKUP($C7,'Food Pairing Data'!$C$2:$S$188,6)</f>
        <v>0</v>
      </c>
      <c r="W7" s="6">
        <f>VLOOKUP($C7,'Food Pairing Data'!$C$2:$S$188,7)</f>
        <v>0</v>
      </c>
      <c r="X7" s="6">
        <f>VLOOKUP($C7,'Food Pairing Data'!$C$2:$S$188,8)</f>
        <v>1</v>
      </c>
      <c r="Y7" s="6">
        <f>VLOOKUP($C7,'Food Pairing Data'!$C$2:$S$188,9)</f>
        <v>0</v>
      </c>
      <c r="Z7" s="6">
        <f>VLOOKUP($C7,'Food Pairing Data'!$C$2:$S$188,10)</f>
        <v>1</v>
      </c>
      <c r="AA7" s="6">
        <f>VLOOKUP($C7,'Food Pairing Data'!$C$2:$S$188,11)</f>
        <v>0</v>
      </c>
      <c r="AB7" s="6">
        <f>VLOOKUP($C7,'Food Pairing Data'!$C$2:$S$188,12)</f>
        <v>0</v>
      </c>
      <c r="AC7" s="6">
        <f>VLOOKUP($C7,'Food Pairing Data'!$C$2:$S$188,13)</f>
        <v>0</v>
      </c>
      <c r="AD7" s="6">
        <f>VLOOKUP($C7,'Food Pairing Data'!$C$2:$S$188,14)</f>
        <v>0</v>
      </c>
      <c r="AE7" s="6">
        <f>VLOOKUP($C7,'Food Pairing Data'!$C$2:$S$188,15)</f>
        <v>0</v>
      </c>
      <c r="AF7" s="6">
        <f>VLOOKUP($C7,'Food Pairing Data'!$C$2:$S$188,16)</f>
        <v>0</v>
      </c>
      <c r="AG7" s="6">
        <f>VLOOKUP($C7,'Food Pairing Data'!$C$2:$S$188,17)</f>
        <v>0</v>
      </c>
      <c r="AH7" s="6" t="s">
        <v>11</v>
      </c>
      <c r="AI7" s="6" t="s">
        <v>163</v>
      </c>
    </row>
    <row r="8" spans="1:68" ht="14">
      <c r="A8" s="6">
        <f t="shared" si="1"/>
        <v>6</v>
      </c>
      <c r="B8" s="6" t="s">
        <v>181</v>
      </c>
      <c r="C8" s="6" t="s">
        <v>15</v>
      </c>
      <c r="D8" s="6" t="s">
        <v>163</v>
      </c>
      <c r="E8" s="22">
        <f>HLOOKUP('Output (Dessert)'!$F$4,'Raw Data (Dessert)'!$U$2:$BP$88,(A8+1),)</f>
        <v>1</v>
      </c>
      <c r="F8" s="23">
        <f>IF(D8='Output (Dessert)'!$B$4,1,0)</f>
        <v>1</v>
      </c>
      <c r="G8" s="23">
        <f>IF(L8&lt;='Output (Dessert)'!$C$4,(200-'Raw Data (Dessert)'!L8),0)</f>
        <v>0</v>
      </c>
      <c r="H8" s="23">
        <v>5</v>
      </c>
      <c r="I8" s="24">
        <f>SUMPRODUCT(F8:H8,'Output (Dessert)'!$B$5:$D$5)*E8</f>
        <v>0.59999999999999987</v>
      </c>
      <c r="J8" s="25">
        <v>0</v>
      </c>
      <c r="K8" s="49">
        <f t="shared" si="0"/>
        <v>0</v>
      </c>
      <c r="L8" s="20">
        <v>25.99</v>
      </c>
      <c r="M8" s="6" t="s">
        <v>183</v>
      </c>
      <c r="N8" s="6" t="s">
        <v>184</v>
      </c>
      <c r="O8" s="6" t="s">
        <v>16</v>
      </c>
      <c r="P8" s="6" t="s">
        <v>173</v>
      </c>
      <c r="Q8" s="26" t="s">
        <v>180</v>
      </c>
      <c r="R8" s="6" t="s">
        <v>53</v>
      </c>
      <c r="S8" s="6" t="s">
        <v>154</v>
      </c>
      <c r="T8" s="6" t="s">
        <v>58</v>
      </c>
      <c r="U8" s="6">
        <f>VLOOKUP($C8,'Food Pairing Data'!$C$2:$S$188,5)</f>
        <v>0</v>
      </c>
      <c r="V8" s="6">
        <f>VLOOKUP($C8,'Food Pairing Data'!$C$2:$S$188,6)</f>
        <v>0</v>
      </c>
      <c r="W8" s="6">
        <f>VLOOKUP($C8,'Food Pairing Data'!$C$2:$S$188,7)</f>
        <v>0</v>
      </c>
      <c r="X8" s="6">
        <f>VLOOKUP($C8,'Food Pairing Data'!$C$2:$S$188,8)</f>
        <v>0</v>
      </c>
      <c r="Y8" s="6">
        <f>VLOOKUP($C8,'Food Pairing Data'!$C$2:$S$188,9)</f>
        <v>0</v>
      </c>
      <c r="Z8" s="6">
        <f>VLOOKUP($C8,'Food Pairing Data'!$C$2:$S$188,10)</f>
        <v>0</v>
      </c>
      <c r="AA8" s="6">
        <f>VLOOKUP($C8,'Food Pairing Data'!$C$2:$S$188,11)</f>
        <v>0</v>
      </c>
      <c r="AB8" s="6">
        <f>VLOOKUP($C8,'Food Pairing Data'!$C$2:$S$188,12)</f>
        <v>0</v>
      </c>
      <c r="AC8" s="6">
        <f>VLOOKUP($C8,'Food Pairing Data'!$C$2:$S$188,13)</f>
        <v>0</v>
      </c>
      <c r="AD8" s="6">
        <f>VLOOKUP($C8,'Food Pairing Data'!$C$2:$S$188,14)</f>
        <v>1</v>
      </c>
      <c r="AE8" s="6">
        <f>VLOOKUP($C8,'Food Pairing Data'!$C$2:$S$188,15)</f>
        <v>0</v>
      </c>
      <c r="AF8" s="6">
        <f>VLOOKUP($C8,'Food Pairing Data'!$C$2:$S$188,16)</f>
        <v>0</v>
      </c>
      <c r="AG8" s="6">
        <v>1</v>
      </c>
      <c r="AH8" s="6" t="s">
        <v>15</v>
      </c>
      <c r="AI8" s="6" t="s">
        <v>163</v>
      </c>
    </row>
    <row r="9" spans="1:68" ht="14">
      <c r="A9" s="6">
        <f t="shared" si="1"/>
        <v>7</v>
      </c>
      <c r="B9" s="6" t="s">
        <v>181</v>
      </c>
      <c r="C9" s="6" t="s">
        <v>17</v>
      </c>
      <c r="D9" s="6" t="s">
        <v>163</v>
      </c>
      <c r="E9" s="22">
        <f>HLOOKUP('Output (Dessert)'!$F$4,'Raw Data (Dessert)'!$U$2:$BP$88,(A9+1),)</f>
        <v>0</v>
      </c>
      <c r="F9" s="23">
        <f>IF(D9='Output (Dessert)'!$B$4,1,0)</f>
        <v>1</v>
      </c>
      <c r="G9" s="23">
        <f>IF(L9&lt;='Output (Dessert)'!$C$4,(200-'Raw Data (Dessert)'!L9),0)</f>
        <v>0</v>
      </c>
      <c r="H9" s="23">
        <v>5</v>
      </c>
      <c r="I9" s="24">
        <f>SUMPRODUCT(F9:H9,'Output (Dessert)'!$B$5:$D$5)*E9</f>
        <v>0</v>
      </c>
      <c r="J9" s="25">
        <v>0</v>
      </c>
      <c r="K9" s="49">
        <f t="shared" si="0"/>
        <v>0</v>
      </c>
      <c r="L9" s="20">
        <v>22.99</v>
      </c>
      <c r="M9" s="6" t="s">
        <v>18</v>
      </c>
      <c r="N9" s="6" t="s">
        <v>19</v>
      </c>
      <c r="O9" s="6" t="s">
        <v>20</v>
      </c>
      <c r="P9" s="6" t="s">
        <v>21</v>
      </c>
      <c r="Q9" s="26" t="s">
        <v>174</v>
      </c>
      <c r="R9" s="6" t="s">
        <v>53</v>
      </c>
      <c r="S9" s="6" t="s">
        <v>65</v>
      </c>
      <c r="T9" s="6" t="s">
        <v>22</v>
      </c>
      <c r="U9" s="6">
        <f>VLOOKUP($C9,'Food Pairing Data'!$C$2:$S$188,5)</f>
        <v>0</v>
      </c>
      <c r="V9" s="6">
        <f>VLOOKUP($C9,'Food Pairing Data'!$C$2:$S$188,6)</f>
        <v>0</v>
      </c>
      <c r="W9" s="6">
        <f>VLOOKUP($C9,'Food Pairing Data'!$C$2:$S$188,7)</f>
        <v>1</v>
      </c>
      <c r="X9" s="6">
        <f>VLOOKUP($C9,'Food Pairing Data'!$C$2:$S$188,8)</f>
        <v>1</v>
      </c>
      <c r="Y9" s="6">
        <f>VLOOKUP($C9,'Food Pairing Data'!$C$2:$S$188,9)</f>
        <v>0</v>
      </c>
      <c r="Z9" s="6">
        <f>VLOOKUP($C9,'Food Pairing Data'!$C$2:$S$188,10)</f>
        <v>0</v>
      </c>
      <c r="AA9" s="6">
        <f>VLOOKUP($C9,'Food Pairing Data'!$C$2:$S$188,11)</f>
        <v>0</v>
      </c>
      <c r="AB9" s="6">
        <f>VLOOKUP($C9,'Food Pairing Data'!$C$2:$S$188,12)</f>
        <v>0</v>
      </c>
      <c r="AC9" s="6">
        <f>VLOOKUP($C9,'Food Pairing Data'!$C$2:$S$188,13)</f>
        <v>0</v>
      </c>
      <c r="AD9" s="6">
        <f>VLOOKUP($C9,'Food Pairing Data'!$C$2:$S$188,14)</f>
        <v>0</v>
      </c>
      <c r="AE9" s="6">
        <f>VLOOKUP($C9,'Food Pairing Data'!$C$2:$S$188,15)</f>
        <v>0</v>
      </c>
      <c r="AF9" s="6">
        <f>VLOOKUP($C9,'Food Pairing Data'!$C$2:$S$188,16)</f>
        <v>0</v>
      </c>
      <c r="AG9" s="6">
        <f>VLOOKUP($C9,'Food Pairing Data'!$C$2:$S$188,17)</f>
        <v>0</v>
      </c>
      <c r="AH9" s="6" t="s">
        <v>17</v>
      </c>
      <c r="AI9" s="6" t="s">
        <v>163</v>
      </c>
    </row>
    <row r="10" spans="1:68" ht="14">
      <c r="A10" s="6">
        <f t="shared" si="1"/>
        <v>8</v>
      </c>
      <c r="B10" s="6" t="s">
        <v>23</v>
      </c>
      <c r="C10" s="6" t="s">
        <v>24</v>
      </c>
      <c r="D10" s="6" t="s">
        <v>163</v>
      </c>
      <c r="E10" s="22">
        <f>HLOOKUP('Output (Dessert)'!$F$4,'Raw Data (Dessert)'!$U$2:$BP$88,(A10+1),)</f>
        <v>0</v>
      </c>
      <c r="F10" s="23">
        <f>IF(D10='Output (Dessert)'!$B$4,1,0)</f>
        <v>1</v>
      </c>
      <c r="G10" s="23">
        <f>IF(L10&lt;='Output (Dessert)'!$C$4,(200-'Raw Data (Dessert)'!L10),0)</f>
        <v>180.01</v>
      </c>
      <c r="H10" s="23">
        <v>5</v>
      </c>
      <c r="I10" s="24">
        <f>SUMPRODUCT(F10:H10,'Output (Dessert)'!$B$5:$D$5)*E10</f>
        <v>0</v>
      </c>
      <c r="J10" s="25">
        <v>0</v>
      </c>
      <c r="K10" s="49">
        <f t="shared" si="0"/>
        <v>0</v>
      </c>
      <c r="L10" s="20">
        <v>19.989999999999998</v>
      </c>
      <c r="M10" s="6" t="s">
        <v>25</v>
      </c>
      <c r="N10" s="6" t="s">
        <v>26</v>
      </c>
      <c r="O10" s="6" t="s">
        <v>27</v>
      </c>
      <c r="P10" s="6" t="s">
        <v>21</v>
      </c>
      <c r="Q10" s="26" t="s">
        <v>28</v>
      </c>
      <c r="R10" s="6" t="s">
        <v>29</v>
      </c>
      <c r="S10" s="6" t="s">
        <v>29</v>
      </c>
      <c r="T10" s="6" t="s">
        <v>22</v>
      </c>
      <c r="U10" s="37">
        <v>1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37">
        <v>0</v>
      </c>
      <c r="AH10" s="6" t="s">
        <v>24</v>
      </c>
      <c r="AI10" s="6" t="s">
        <v>163</v>
      </c>
    </row>
    <row r="11" spans="1:68" ht="14">
      <c r="A11" s="6">
        <f t="shared" si="1"/>
        <v>9</v>
      </c>
      <c r="B11" s="6" t="s">
        <v>23</v>
      </c>
      <c r="C11" s="6" t="s">
        <v>30</v>
      </c>
      <c r="D11" s="6" t="s">
        <v>163</v>
      </c>
      <c r="E11" s="22">
        <f>HLOOKUP('Output (Dessert)'!$F$4,'Raw Data (Dessert)'!$U$2:$BP$88,(A11+1),)</f>
        <v>0</v>
      </c>
      <c r="F11" s="23">
        <f>IF(D11='Output (Dessert)'!$B$4,1,0)</f>
        <v>1</v>
      </c>
      <c r="G11" s="23">
        <f>IF(L11&lt;='Output (Dessert)'!$C$4,(200-'Raw Data (Dessert)'!L11),0)</f>
        <v>180.01</v>
      </c>
      <c r="H11" s="23">
        <v>5</v>
      </c>
      <c r="I11" s="24">
        <f>SUMPRODUCT(F11:H11,'Output (Dessert)'!$B$5:$D$5)*E11</f>
        <v>0</v>
      </c>
      <c r="J11" s="25">
        <v>0</v>
      </c>
      <c r="K11" s="49">
        <f t="shared" si="0"/>
        <v>0</v>
      </c>
      <c r="L11" s="20">
        <v>19.989999999999998</v>
      </c>
      <c r="M11" s="6" t="s">
        <v>176</v>
      </c>
      <c r="N11" s="6" t="s">
        <v>31</v>
      </c>
      <c r="O11" s="6" t="s">
        <v>32</v>
      </c>
      <c r="P11" s="6" t="s">
        <v>33</v>
      </c>
      <c r="Q11" s="26" t="s">
        <v>34</v>
      </c>
      <c r="R11" s="6" t="s">
        <v>69</v>
      </c>
      <c r="S11" s="6" t="s">
        <v>57</v>
      </c>
      <c r="T11" s="6" t="s">
        <v>22</v>
      </c>
      <c r="U11" s="6">
        <f>VLOOKUP($C11,'Food Pairing Data'!$C$2:$S$188,5)</f>
        <v>0</v>
      </c>
      <c r="V11" s="6">
        <f>VLOOKUP($C11,'Food Pairing Data'!$C$2:$S$188,6)</f>
        <v>0</v>
      </c>
      <c r="W11" s="6">
        <f>VLOOKUP($C11,'Food Pairing Data'!$C$2:$S$188,7)</f>
        <v>0</v>
      </c>
      <c r="X11" s="6">
        <f>VLOOKUP($C11,'Food Pairing Data'!$C$2:$S$188,8)</f>
        <v>0</v>
      </c>
      <c r="Y11" s="6">
        <f>VLOOKUP($C11,'Food Pairing Data'!$C$2:$S$188,9)</f>
        <v>0</v>
      </c>
      <c r="Z11" s="6">
        <f>VLOOKUP($C11,'Food Pairing Data'!$C$2:$S$188,10)</f>
        <v>0</v>
      </c>
      <c r="AA11" s="6">
        <f>VLOOKUP($C11,'Food Pairing Data'!$C$2:$S$188,11)</f>
        <v>0</v>
      </c>
      <c r="AB11" s="6">
        <f>VLOOKUP($C11,'Food Pairing Data'!$C$2:$S$188,12)</f>
        <v>0</v>
      </c>
      <c r="AC11" s="6">
        <f>VLOOKUP($C11,'Food Pairing Data'!$C$2:$S$188,13)</f>
        <v>0</v>
      </c>
      <c r="AD11" s="6">
        <f>VLOOKUP($C11,'Food Pairing Data'!$C$2:$S$188,14)</f>
        <v>1</v>
      </c>
      <c r="AE11" s="6">
        <f>VLOOKUP($C11,'Food Pairing Data'!$C$2:$S$188,15)</f>
        <v>0</v>
      </c>
      <c r="AF11" s="6">
        <f>VLOOKUP($C11,'Food Pairing Data'!$C$2:$S$188,16)</f>
        <v>0</v>
      </c>
      <c r="AG11" s="6">
        <f>VLOOKUP($C11,'Food Pairing Data'!$C$2:$S$188,17)</f>
        <v>0</v>
      </c>
      <c r="AH11" s="6" t="s">
        <v>30</v>
      </c>
      <c r="AI11" s="6" t="s">
        <v>163</v>
      </c>
    </row>
    <row r="12" spans="1:68" ht="14">
      <c r="A12" s="6">
        <f t="shared" si="1"/>
        <v>10</v>
      </c>
      <c r="B12" s="6" t="s">
        <v>23</v>
      </c>
      <c r="C12" s="6" t="s">
        <v>234</v>
      </c>
      <c r="D12" s="6" t="s">
        <v>163</v>
      </c>
      <c r="E12" s="22">
        <f>HLOOKUP('Output (Dessert)'!$F$4,'Raw Data (Dessert)'!$U$2:$BP$88,(A12+1),)</f>
        <v>1</v>
      </c>
      <c r="F12" s="23">
        <f>IF(D12='Output (Dessert)'!$B$4,1,0)</f>
        <v>1</v>
      </c>
      <c r="G12" s="23">
        <f>IF(L12&lt;='Output (Dessert)'!$C$4,(200-'Raw Data (Dessert)'!L12),0)</f>
        <v>181.01</v>
      </c>
      <c r="H12" s="23">
        <v>5</v>
      </c>
      <c r="I12" s="24">
        <f>SUMPRODUCT(F12:H12,'Output (Dessert)'!$B$5:$D$5)*E12</f>
        <v>145.40799999999999</v>
      </c>
      <c r="J12" s="25">
        <v>0</v>
      </c>
      <c r="K12" s="49">
        <f t="shared" si="0"/>
        <v>0</v>
      </c>
      <c r="L12" s="20">
        <v>18.989999999999998</v>
      </c>
      <c r="M12" s="6" t="s">
        <v>176</v>
      </c>
      <c r="N12" s="6" t="s">
        <v>235</v>
      </c>
      <c r="O12" s="6" t="s">
        <v>236</v>
      </c>
      <c r="P12" s="6" t="s">
        <v>21</v>
      </c>
      <c r="Q12" s="26" t="s">
        <v>237</v>
      </c>
      <c r="R12" s="6" t="s">
        <v>53</v>
      </c>
      <c r="S12" s="6" t="s">
        <v>238</v>
      </c>
      <c r="T12" s="6" t="s">
        <v>239</v>
      </c>
      <c r="U12" s="6">
        <f>VLOOKUP($C12,'Food Pairing Data'!$C$2:$S$188,5)</f>
        <v>0</v>
      </c>
      <c r="V12" s="6">
        <f>VLOOKUP($C12,'Food Pairing Data'!$C$2:$S$188,6)</f>
        <v>0</v>
      </c>
      <c r="W12" s="6">
        <f>VLOOKUP($C12,'Food Pairing Data'!$C$2:$S$188,7)</f>
        <v>1</v>
      </c>
      <c r="X12" s="6">
        <f>VLOOKUP($C12,'Food Pairing Data'!$C$2:$S$188,8)</f>
        <v>0</v>
      </c>
      <c r="Y12" s="6">
        <f>VLOOKUP($C12,'Food Pairing Data'!$C$2:$S$188,9)</f>
        <v>0</v>
      </c>
      <c r="Z12" s="6">
        <f>VLOOKUP($C12,'Food Pairing Data'!$C$2:$S$188,10)</f>
        <v>0</v>
      </c>
      <c r="AA12" s="6">
        <f>VLOOKUP($C12,'Food Pairing Data'!$C$2:$S$188,11)</f>
        <v>0</v>
      </c>
      <c r="AB12" s="6">
        <f>VLOOKUP($C12,'Food Pairing Data'!$C$2:$S$188,12)</f>
        <v>0</v>
      </c>
      <c r="AC12" s="6">
        <f>VLOOKUP($C12,'Food Pairing Data'!$C$2:$S$188,13)</f>
        <v>0</v>
      </c>
      <c r="AD12" s="6">
        <f>VLOOKUP($C12,'Food Pairing Data'!$C$2:$S$188,14)</f>
        <v>0</v>
      </c>
      <c r="AE12" s="6">
        <f>VLOOKUP($C12,'Food Pairing Data'!$C$2:$S$188,15)</f>
        <v>0</v>
      </c>
      <c r="AF12" s="6">
        <f>VLOOKUP($C12,'Food Pairing Data'!$C$2:$S$188,16)</f>
        <v>0</v>
      </c>
      <c r="AG12" s="6">
        <v>1</v>
      </c>
      <c r="AH12" s="6" t="s">
        <v>234</v>
      </c>
      <c r="AI12" s="6" t="s">
        <v>163</v>
      </c>
    </row>
    <row r="13" spans="1:68" ht="14">
      <c r="A13" s="6">
        <f t="shared" si="1"/>
        <v>11</v>
      </c>
      <c r="B13" s="6" t="s">
        <v>23</v>
      </c>
      <c r="C13" s="6" t="s">
        <v>240</v>
      </c>
      <c r="D13" s="6" t="s">
        <v>163</v>
      </c>
      <c r="E13" s="22">
        <f>HLOOKUP('Output (Dessert)'!$F$4,'Raw Data (Dessert)'!$U$2:$BP$88,(A13+1),)</f>
        <v>1</v>
      </c>
      <c r="F13" s="23">
        <f>IF(D13='Output (Dessert)'!$B$4,1,0)</f>
        <v>1</v>
      </c>
      <c r="G13" s="23">
        <f>IF(L13&lt;='Output (Dessert)'!$C$4,(200-'Raw Data (Dessert)'!L13),0)</f>
        <v>182.01</v>
      </c>
      <c r="H13" s="23">
        <v>5</v>
      </c>
      <c r="I13" s="24">
        <f>SUMPRODUCT(F13:H13,'Output (Dessert)'!$B$5:$D$5)*E13</f>
        <v>146.208</v>
      </c>
      <c r="J13" s="25">
        <v>0</v>
      </c>
      <c r="K13" s="49">
        <f t="shared" si="0"/>
        <v>0</v>
      </c>
      <c r="L13" s="20">
        <v>17.989999999999998</v>
      </c>
      <c r="M13" s="6" t="s">
        <v>241</v>
      </c>
      <c r="N13" s="6" t="s">
        <v>242</v>
      </c>
      <c r="O13" s="6" t="s">
        <v>243</v>
      </c>
      <c r="P13" s="6" t="s">
        <v>173</v>
      </c>
      <c r="Q13" s="26" t="s">
        <v>174</v>
      </c>
      <c r="R13" s="6" t="s">
        <v>53</v>
      </c>
      <c r="S13" s="6" t="s">
        <v>64</v>
      </c>
      <c r="T13" s="6" t="s">
        <v>244</v>
      </c>
      <c r="U13" s="6">
        <f>VLOOKUP($C13,'Food Pairing Data'!$C$2:$S$188,5)</f>
        <v>0</v>
      </c>
      <c r="V13" s="6">
        <f>VLOOKUP($C13,'Food Pairing Data'!$C$2:$S$188,6)</f>
        <v>0</v>
      </c>
      <c r="W13" s="6">
        <f>VLOOKUP($C13,'Food Pairing Data'!$C$2:$S$188,7)</f>
        <v>0</v>
      </c>
      <c r="X13" s="6">
        <f>VLOOKUP($C13,'Food Pairing Data'!$C$2:$S$188,8)</f>
        <v>0</v>
      </c>
      <c r="Y13" s="6">
        <f>VLOOKUP($C13,'Food Pairing Data'!$C$2:$S$188,9)</f>
        <v>0</v>
      </c>
      <c r="Z13" s="6">
        <f>VLOOKUP($C13,'Food Pairing Data'!$C$2:$S$188,10)</f>
        <v>0</v>
      </c>
      <c r="AA13" s="6">
        <f>VLOOKUP($C13,'Food Pairing Data'!$C$2:$S$188,11)</f>
        <v>0</v>
      </c>
      <c r="AB13" s="6">
        <f>VLOOKUP($C13,'Food Pairing Data'!$C$2:$S$188,12)</f>
        <v>0</v>
      </c>
      <c r="AC13" s="6">
        <f>VLOOKUP($C13,'Food Pairing Data'!$C$2:$S$188,13)</f>
        <v>0</v>
      </c>
      <c r="AD13" s="6">
        <f>VLOOKUP($C13,'Food Pairing Data'!$C$2:$S$188,14)</f>
        <v>1</v>
      </c>
      <c r="AE13" s="6">
        <f>VLOOKUP($C13,'Food Pairing Data'!$C$2:$S$188,15)</f>
        <v>0</v>
      </c>
      <c r="AF13" s="6">
        <f>VLOOKUP($C13,'Food Pairing Data'!$C$2:$S$188,16)</f>
        <v>0</v>
      </c>
      <c r="AG13" s="6">
        <v>1</v>
      </c>
      <c r="AH13" s="6" t="s">
        <v>240</v>
      </c>
      <c r="AI13" s="6" t="s">
        <v>163</v>
      </c>
    </row>
    <row r="14" spans="1:68" ht="14">
      <c r="A14" s="6">
        <f t="shared" si="1"/>
        <v>12</v>
      </c>
      <c r="B14" s="6" t="s">
        <v>245</v>
      </c>
      <c r="C14" s="6" t="s">
        <v>246</v>
      </c>
      <c r="D14" s="6" t="s">
        <v>163</v>
      </c>
      <c r="E14" s="22">
        <f>HLOOKUP('Output (Dessert)'!$F$4,'Raw Data (Dessert)'!$U$2:$BP$88,(A14+1),)</f>
        <v>0</v>
      </c>
      <c r="F14" s="23">
        <f>IF(D14='Output (Dessert)'!$B$4,1,0)</f>
        <v>1</v>
      </c>
      <c r="G14" s="23">
        <f>IF(L14&lt;='Output (Dessert)'!$C$4,(200-'Raw Data (Dessert)'!L14),0)</f>
        <v>191.01</v>
      </c>
      <c r="H14" s="23">
        <v>5</v>
      </c>
      <c r="I14" s="24">
        <f>SUMPRODUCT(F14:H14,'Output (Dessert)'!$B$5:$D$5)*E14</f>
        <v>0</v>
      </c>
      <c r="J14" s="25">
        <v>0</v>
      </c>
      <c r="K14" s="49">
        <f t="shared" si="0"/>
        <v>0</v>
      </c>
      <c r="L14" s="20">
        <v>8.99</v>
      </c>
      <c r="M14" s="6" t="s">
        <v>170</v>
      </c>
      <c r="N14" s="6" t="s">
        <v>247</v>
      </c>
      <c r="O14" s="6" t="s">
        <v>248</v>
      </c>
      <c r="P14" s="6" t="s">
        <v>249</v>
      </c>
      <c r="Q14" s="26" t="s">
        <v>174</v>
      </c>
      <c r="R14" s="6" t="s">
        <v>65</v>
      </c>
      <c r="S14" s="6" t="s">
        <v>53</v>
      </c>
      <c r="T14" s="6" t="s">
        <v>58</v>
      </c>
      <c r="U14" s="6">
        <v>1</v>
      </c>
      <c r="V14" s="6">
        <v>1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>
        <v>0</v>
      </c>
      <c r="AH14" s="6" t="s">
        <v>246</v>
      </c>
      <c r="AI14" s="6" t="s">
        <v>163</v>
      </c>
    </row>
    <row r="15" spans="1:68" ht="14">
      <c r="A15" s="6">
        <f t="shared" si="1"/>
        <v>13</v>
      </c>
      <c r="B15" s="6" t="s">
        <v>245</v>
      </c>
      <c r="C15" s="6" t="s">
        <v>250</v>
      </c>
      <c r="D15" s="6" t="s">
        <v>163</v>
      </c>
      <c r="E15" s="22">
        <f>HLOOKUP('Output (Dessert)'!$F$4,'Raw Data (Dessert)'!$U$2:$BP$88,(A15+1),)</f>
        <v>0</v>
      </c>
      <c r="F15" s="23">
        <f>IF(D15='Output (Dessert)'!$B$4,1,0)</f>
        <v>1</v>
      </c>
      <c r="G15" s="23">
        <f>IF(L15&lt;='Output (Dessert)'!$C$4,(200-'Raw Data (Dessert)'!L15),0)</f>
        <v>191.01</v>
      </c>
      <c r="H15" s="23">
        <v>5</v>
      </c>
      <c r="I15" s="24">
        <f>SUMPRODUCT(F15:H15,'Output (Dessert)'!$B$5:$D$5)*E15</f>
        <v>0</v>
      </c>
      <c r="J15" s="25">
        <v>0</v>
      </c>
      <c r="K15" s="49">
        <f t="shared" si="0"/>
        <v>0</v>
      </c>
      <c r="L15" s="20">
        <v>8.99</v>
      </c>
      <c r="M15" s="6" t="s">
        <v>251</v>
      </c>
      <c r="N15" s="6" t="s">
        <v>252</v>
      </c>
      <c r="O15" s="6" t="s">
        <v>109</v>
      </c>
      <c r="P15" s="6" t="s">
        <v>110</v>
      </c>
      <c r="Q15" s="26" t="s">
        <v>34</v>
      </c>
      <c r="R15" s="6" t="s">
        <v>58</v>
      </c>
      <c r="S15" s="6" t="s">
        <v>53</v>
      </c>
      <c r="T15" s="6" t="s">
        <v>239</v>
      </c>
      <c r="U15" s="6">
        <f>VLOOKUP($C15,'Food Pairing Data'!$C$2:$S$188,5)</f>
        <v>0</v>
      </c>
      <c r="V15" s="6">
        <f>VLOOKUP($C15,'Food Pairing Data'!$C$2:$S$188,6)</f>
        <v>0</v>
      </c>
      <c r="W15" s="6">
        <f>VLOOKUP($C15,'Food Pairing Data'!$C$2:$S$188,7)</f>
        <v>0</v>
      </c>
      <c r="X15" s="6">
        <f>VLOOKUP($C15,'Food Pairing Data'!$C$2:$S$188,8)</f>
        <v>0</v>
      </c>
      <c r="Y15" s="6">
        <f>VLOOKUP($C15,'Food Pairing Data'!$C$2:$S$188,9)</f>
        <v>0</v>
      </c>
      <c r="Z15" s="6">
        <f>VLOOKUP($C15,'Food Pairing Data'!$C$2:$S$188,10)</f>
        <v>0</v>
      </c>
      <c r="AA15" s="6">
        <f>VLOOKUP($C15,'Food Pairing Data'!$C$2:$S$188,11)</f>
        <v>0</v>
      </c>
      <c r="AB15" s="6">
        <f>VLOOKUP($C15,'Food Pairing Data'!$C$2:$S$188,12)</f>
        <v>0</v>
      </c>
      <c r="AC15" s="6">
        <f>VLOOKUP($C15,'Food Pairing Data'!$C$2:$S$188,13)</f>
        <v>0</v>
      </c>
      <c r="AD15" s="6">
        <f>VLOOKUP($C15,'Food Pairing Data'!$C$2:$S$188,14)</f>
        <v>1</v>
      </c>
      <c r="AE15" s="6">
        <f>VLOOKUP($C15,'Food Pairing Data'!$C$2:$S$188,15)</f>
        <v>0</v>
      </c>
      <c r="AF15" s="6">
        <f>VLOOKUP($C15,'Food Pairing Data'!$C$2:$S$188,16)</f>
        <v>0</v>
      </c>
      <c r="AG15" s="6">
        <f>VLOOKUP($C15,'Food Pairing Data'!$C$2:$S$188,17)</f>
        <v>0</v>
      </c>
      <c r="AH15" s="6" t="s">
        <v>250</v>
      </c>
      <c r="AI15" s="6" t="s">
        <v>163</v>
      </c>
    </row>
    <row r="16" spans="1:68" ht="14">
      <c r="A16" s="6">
        <f t="shared" si="1"/>
        <v>14</v>
      </c>
      <c r="B16" s="6" t="s">
        <v>161</v>
      </c>
      <c r="C16" s="6" t="s">
        <v>259</v>
      </c>
      <c r="D16" s="6" t="s">
        <v>163</v>
      </c>
      <c r="E16" s="22">
        <f>HLOOKUP('Output (Dessert)'!$F$4,'Raw Data (Dessert)'!$U$2:$BP$88,(A16+1),)</f>
        <v>1</v>
      </c>
      <c r="F16" s="23">
        <f>IF(D16='Output (Dessert)'!$B$4,1,0)</f>
        <v>1</v>
      </c>
      <c r="G16" s="23">
        <f>IF(L16&lt;='Output (Dessert)'!$C$4,(200-'Raw Data (Dessert)'!L16),0)</f>
        <v>0</v>
      </c>
      <c r="H16" s="23">
        <v>4.5</v>
      </c>
      <c r="I16" s="24">
        <f>SUMPRODUCT(F16:H16,'Output (Dessert)'!$B$5:$D$5)*E16</f>
        <v>0.54999999999999993</v>
      </c>
      <c r="J16" s="25">
        <v>0</v>
      </c>
      <c r="K16" s="49">
        <f t="shared" si="0"/>
        <v>0</v>
      </c>
      <c r="L16" s="20">
        <v>64.989999999999995</v>
      </c>
      <c r="M16" s="6" t="s">
        <v>111</v>
      </c>
      <c r="N16" s="6" t="s">
        <v>112</v>
      </c>
      <c r="O16" s="6" t="s">
        <v>113</v>
      </c>
      <c r="P16" s="6" t="s">
        <v>114</v>
      </c>
      <c r="Q16" s="26" t="s">
        <v>174</v>
      </c>
      <c r="R16" s="6" t="s">
        <v>53</v>
      </c>
      <c r="S16" s="6" t="s">
        <v>64</v>
      </c>
      <c r="T16" s="6" t="s">
        <v>58</v>
      </c>
      <c r="U16" s="6">
        <f>VLOOKUP($C16,'Food Pairing Data'!$C$2:$S$188,5)</f>
        <v>0</v>
      </c>
      <c r="V16" s="6">
        <f>VLOOKUP($C16,'Food Pairing Data'!$C$2:$S$188,6)</f>
        <v>0</v>
      </c>
      <c r="W16" s="6">
        <f>VLOOKUP($C16,'Food Pairing Data'!$C$2:$S$188,7)</f>
        <v>0</v>
      </c>
      <c r="X16" s="6">
        <f>VLOOKUP($C16,'Food Pairing Data'!$C$2:$S$188,8)</f>
        <v>1</v>
      </c>
      <c r="Y16" s="6">
        <f>VLOOKUP($C16,'Food Pairing Data'!$C$2:$S$188,9)</f>
        <v>0</v>
      </c>
      <c r="Z16" s="6">
        <f>VLOOKUP($C16,'Food Pairing Data'!$C$2:$S$188,10)</f>
        <v>1</v>
      </c>
      <c r="AA16" s="6">
        <f>VLOOKUP($C16,'Food Pairing Data'!$C$2:$S$188,11)</f>
        <v>0</v>
      </c>
      <c r="AB16" s="6">
        <f>VLOOKUP($C16,'Food Pairing Data'!$C$2:$S$188,12)</f>
        <v>0</v>
      </c>
      <c r="AC16" s="6">
        <f>VLOOKUP($C16,'Food Pairing Data'!$C$2:$S$188,13)</f>
        <v>0</v>
      </c>
      <c r="AD16" s="6">
        <f>VLOOKUP($C16,'Food Pairing Data'!$C$2:$S$188,14)</f>
        <v>0</v>
      </c>
      <c r="AE16" s="6">
        <f>VLOOKUP($C16,'Food Pairing Data'!$C$2:$S$188,15)</f>
        <v>0</v>
      </c>
      <c r="AF16" s="6">
        <f>VLOOKUP($C16,'Food Pairing Data'!$C$2:$S$188,16)</f>
        <v>0</v>
      </c>
      <c r="AG16" s="6">
        <v>1</v>
      </c>
      <c r="AH16" s="6" t="s">
        <v>259</v>
      </c>
      <c r="AI16" s="6" t="s">
        <v>163</v>
      </c>
    </row>
    <row r="17" spans="1:35" ht="16.5" customHeight="1">
      <c r="A17" s="6">
        <f t="shared" si="1"/>
        <v>15</v>
      </c>
      <c r="B17" s="6" t="s">
        <v>161</v>
      </c>
      <c r="C17" s="6" t="s">
        <v>115</v>
      </c>
      <c r="D17" s="6" t="s">
        <v>163</v>
      </c>
      <c r="E17" s="22">
        <f>HLOOKUP('Output (Dessert)'!$F$4,'Raw Data (Dessert)'!$U$2:$BP$88,(A17+1),)</f>
        <v>0</v>
      </c>
      <c r="F17" s="23">
        <f>IF(D17='Output (Dessert)'!$B$4,1,0)</f>
        <v>1</v>
      </c>
      <c r="G17" s="23">
        <f>IF(L17&lt;='Output (Dessert)'!$C$4,(200-'Raw Data (Dessert)'!L17),0)</f>
        <v>0</v>
      </c>
      <c r="H17" s="23">
        <v>4.5</v>
      </c>
      <c r="I17" s="24">
        <f>SUMPRODUCT(F17:H17,'Output (Dessert)'!$B$5:$D$5)*E17</f>
        <v>0</v>
      </c>
      <c r="J17" s="25">
        <v>0</v>
      </c>
      <c r="K17" s="49">
        <f t="shared" si="0"/>
        <v>0</v>
      </c>
      <c r="L17" s="20">
        <v>64.989999999999995</v>
      </c>
      <c r="M17" s="6" t="s">
        <v>25</v>
      </c>
      <c r="N17" s="6" t="s">
        <v>116</v>
      </c>
      <c r="O17" s="6" t="s">
        <v>117</v>
      </c>
      <c r="P17" s="6" t="s">
        <v>118</v>
      </c>
      <c r="Q17" s="26" t="s">
        <v>28</v>
      </c>
      <c r="R17" s="6" t="s">
        <v>54</v>
      </c>
      <c r="S17" s="6" t="s">
        <v>64</v>
      </c>
      <c r="T17" s="6" t="s">
        <v>157</v>
      </c>
      <c r="U17" s="6">
        <f>VLOOKUP($C17,'Food Pairing Data'!$C$2:$S$188,5)</f>
        <v>0</v>
      </c>
      <c r="V17" s="6">
        <f>VLOOKUP($C17,'Food Pairing Data'!$C$2:$S$188,6)</f>
        <v>0</v>
      </c>
      <c r="W17" s="6">
        <f>VLOOKUP($C17,'Food Pairing Data'!$C$2:$S$188,7)</f>
        <v>0</v>
      </c>
      <c r="X17" s="6">
        <f>VLOOKUP($C17,'Food Pairing Data'!$C$2:$S$188,8)</f>
        <v>0</v>
      </c>
      <c r="Y17" s="6">
        <f>VLOOKUP($C17,'Food Pairing Data'!$C$2:$S$188,9)</f>
        <v>0</v>
      </c>
      <c r="Z17" s="6">
        <f>VLOOKUP($C17,'Food Pairing Data'!$C$2:$S$188,10)</f>
        <v>0</v>
      </c>
      <c r="AA17" s="6">
        <f>VLOOKUP($C17,'Food Pairing Data'!$C$2:$S$188,11)</f>
        <v>0</v>
      </c>
      <c r="AB17" s="6">
        <f>VLOOKUP($C17,'Food Pairing Data'!$C$2:$S$188,12)</f>
        <v>0</v>
      </c>
      <c r="AC17" s="6">
        <f>VLOOKUP($C17,'Food Pairing Data'!$C$2:$S$188,13)</f>
        <v>0</v>
      </c>
      <c r="AD17" s="6">
        <f>VLOOKUP($C17,'Food Pairing Data'!$C$2:$S$188,14)</f>
        <v>1</v>
      </c>
      <c r="AE17" s="6">
        <f>VLOOKUP($C17,'Food Pairing Data'!$C$2:$S$188,15)</f>
        <v>0</v>
      </c>
      <c r="AF17" s="6">
        <f>VLOOKUP($C17,'Food Pairing Data'!$C$2:$S$188,16)</f>
        <v>0</v>
      </c>
      <c r="AG17" s="6">
        <f>VLOOKUP($C17,'Food Pairing Data'!$C$2:$S$188,17)</f>
        <v>0</v>
      </c>
      <c r="AH17" s="6" t="s">
        <v>115</v>
      </c>
      <c r="AI17" s="6" t="s">
        <v>163</v>
      </c>
    </row>
    <row r="18" spans="1:35" ht="16.5" customHeight="1">
      <c r="A18" s="6">
        <f t="shared" si="1"/>
        <v>16</v>
      </c>
      <c r="B18" s="6" t="s">
        <v>161</v>
      </c>
      <c r="C18" s="6" t="s">
        <v>119</v>
      </c>
      <c r="D18" s="6" t="s">
        <v>163</v>
      </c>
      <c r="E18" s="22">
        <f>HLOOKUP('Output (Dessert)'!$F$4,'Raw Data (Dessert)'!$U$2:$BP$88,(A18+1),)</f>
        <v>0</v>
      </c>
      <c r="F18" s="23">
        <f>IF(D18='Output (Dessert)'!$B$4,1,0)</f>
        <v>1</v>
      </c>
      <c r="G18" s="23">
        <f>IF(L18&lt;='Output (Dessert)'!$C$4,(200-'Raw Data (Dessert)'!L18),0)</f>
        <v>0</v>
      </c>
      <c r="H18" s="23">
        <v>4.5</v>
      </c>
      <c r="I18" s="24">
        <f>SUMPRODUCT(F18:H18,'Output (Dessert)'!$B$5:$D$5)*E18</f>
        <v>0</v>
      </c>
      <c r="J18" s="25">
        <v>0</v>
      </c>
      <c r="K18" s="49">
        <f t="shared" si="0"/>
        <v>0</v>
      </c>
      <c r="L18" s="20">
        <v>59.99</v>
      </c>
      <c r="M18" s="6" t="s">
        <v>25</v>
      </c>
      <c r="N18" s="6" t="s">
        <v>120</v>
      </c>
      <c r="O18" s="6" t="s">
        <v>121</v>
      </c>
      <c r="P18" s="6" t="s">
        <v>122</v>
      </c>
      <c r="Q18" s="26" t="s">
        <v>123</v>
      </c>
      <c r="R18" s="6" t="s">
        <v>54</v>
      </c>
      <c r="S18" s="6" t="s">
        <v>157</v>
      </c>
      <c r="T18" s="6" t="s">
        <v>239</v>
      </c>
      <c r="U18" s="6">
        <f>VLOOKUP($C18,'Food Pairing Data'!$C$2:$S$188,5)</f>
        <v>0</v>
      </c>
      <c r="V18" s="6">
        <f>VLOOKUP($C18,'Food Pairing Data'!$C$2:$S$188,6)</f>
        <v>0</v>
      </c>
      <c r="W18" s="6">
        <f>VLOOKUP($C18,'Food Pairing Data'!$C$2:$S$188,7)</f>
        <v>0</v>
      </c>
      <c r="X18" s="6">
        <f>VLOOKUP($C18,'Food Pairing Data'!$C$2:$S$188,8)</f>
        <v>0</v>
      </c>
      <c r="Y18" s="6">
        <f>VLOOKUP($C18,'Food Pairing Data'!$C$2:$S$188,9)</f>
        <v>0</v>
      </c>
      <c r="Z18" s="6">
        <f>VLOOKUP($C18,'Food Pairing Data'!$C$2:$S$188,10)</f>
        <v>0</v>
      </c>
      <c r="AA18" s="6">
        <f>VLOOKUP($C18,'Food Pairing Data'!$C$2:$S$188,11)</f>
        <v>0</v>
      </c>
      <c r="AB18" s="6">
        <f>VLOOKUP($C18,'Food Pairing Data'!$C$2:$S$188,12)</f>
        <v>0</v>
      </c>
      <c r="AC18" s="6">
        <f>VLOOKUP($C18,'Food Pairing Data'!$C$2:$S$188,13)</f>
        <v>0</v>
      </c>
      <c r="AD18" s="6">
        <f>VLOOKUP($C18,'Food Pairing Data'!$C$2:$S$188,14)</f>
        <v>1</v>
      </c>
      <c r="AE18" s="6">
        <f>VLOOKUP($C18,'Food Pairing Data'!$C$2:$S$188,15)</f>
        <v>0</v>
      </c>
      <c r="AF18" s="6">
        <f>VLOOKUP($C18,'Food Pairing Data'!$C$2:$S$188,16)</f>
        <v>0</v>
      </c>
      <c r="AG18" s="6">
        <f>VLOOKUP($C18,'Food Pairing Data'!$C$2:$S$188,17)</f>
        <v>0</v>
      </c>
      <c r="AH18" s="6" t="s">
        <v>119</v>
      </c>
      <c r="AI18" s="6" t="s">
        <v>163</v>
      </c>
    </row>
    <row r="19" spans="1:35" ht="16.5" customHeight="1">
      <c r="A19" s="6">
        <f t="shared" si="1"/>
        <v>17</v>
      </c>
      <c r="B19" s="6" t="s">
        <v>181</v>
      </c>
      <c r="C19" s="6" t="s">
        <v>131</v>
      </c>
      <c r="D19" s="6" t="s">
        <v>163</v>
      </c>
      <c r="E19" s="22">
        <f>HLOOKUP('Output (Dessert)'!$F$4,'Raw Data (Dessert)'!$U$2:$BP$88,(A19+1),)</f>
        <v>0</v>
      </c>
      <c r="F19" s="23">
        <f>IF(D19='Output (Dessert)'!$B$4,1,0)</f>
        <v>1</v>
      </c>
      <c r="G19" s="23">
        <f>IF(L19&lt;='Output (Dessert)'!$C$4,(200-'Raw Data (Dessert)'!L19),0)</f>
        <v>0</v>
      </c>
      <c r="H19" s="23">
        <v>4.5</v>
      </c>
      <c r="I19" s="24">
        <f>SUMPRODUCT(F19:H19,'Output (Dessert)'!$B$5:$D$5)*E19</f>
        <v>0</v>
      </c>
      <c r="J19" s="25">
        <v>0</v>
      </c>
      <c r="K19" s="49">
        <f t="shared" si="0"/>
        <v>0</v>
      </c>
      <c r="L19" s="20">
        <v>24.99</v>
      </c>
      <c r="M19" s="6" t="s">
        <v>176</v>
      </c>
      <c r="N19" s="6" t="s">
        <v>132</v>
      </c>
      <c r="O19" s="6" t="s">
        <v>133</v>
      </c>
      <c r="P19" s="6" t="s">
        <v>33</v>
      </c>
      <c r="Q19" s="26" t="s">
        <v>174</v>
      </c>
      <c r="R19" s="6" t="s">
        <v>55</v>
      </c>
      <c r="S19" s="6" t="s">
        <v>134</v>
      </c>
      <c r="T19" s="6" t="s">
        <v>239</v>
      </c>
      <c r="U19" s="6">
        <f>VLOOKUP($C19,'Food Pairing Data'!$C$2:$S$188,5)</f>
        <v>0</v>
      </c>
      <c r="V19" s="6">
        <f>VLOOKUP($C19,'Food Pairing Data'!$C$2:$S$188,6)</f>
        <v>0</v>
      </c>
      <c r="W19" s="6">
        <f>VLOOKUP($C19,'Food Pairing Data'!$C$2:$S$188,7)</f>
        <v>0</v>
      </c>
      <c r="X19" s="6">
        <f>VLOOKUP($C19,'Food Pairing Data'!$C$2:$S$188,8)</f>
        <v>0</v>
      </c>
      <c r="Y19" s="6">
        <f>VLOOKUP($C19,'Food Pairing Data'!$C$2:$S$188,9)</f>
        <v>0</v>
      </c>
      <c r="Z19" s="6">
        <f>VLOOKUP($C19,'Food Pairing Data'!$C$2:$S$188,10)</f>
        <v>0</v>
      </c>
      <c r="AA19" s="6">
        <f>VLOOKUP($C19,'Food Pairing Data'!$C$2:$S$188,11)</f>
        <v>0</v>
      </c>
      <c r="AB19" s="6">
        <f>VLOOKUP($C19,'Food Pairing Data'!$C$2:$S$188,12)</f>
        <v>0</v>
      </c>
      <c r="AC19" s="6">
        <f>VLOOKUP($C19,'Food Pairing Data'!$C$2:$S$188,13)</f>
        <v>0</v>
      </c>
      <c r="AD19" s="6">
        <f>VLOOKUP($C19,'Food Pairing Data'!$C$2:$S$188,14)</f>
        <v>1</v>
      </c>
      <c r="AE19" s="6">
        <f>VLOOKUP($C19,'Food Pairing Data'!$C$2:$S$188,15)</f>
        <v>0</v>
      </c>
      <c r="AF19" s="6">
        <f>VLOOKUP($C19,'Food Pairing Data'!$C$2:$S$188,16)</f>
        <v>0</v>
      </c>
      <c r="AG19" s="6">
        <f>VLOOKUP($C19,'Food Pairing Data'!$C$2:$S$188,17)</f>
        <v>0</v>
      </c>
      <c r="AH19" s="6" t="s">
        <v>131</v>
      </c>
      <c r="AI19" s="6" t="s">
        <v>163</v>
      </c>
    </row>
    <row r="20" spans="1:35" ht="16.5" customHeight="1">
      <c r="A20" s="6">
        <f t="shared" si="1"/>
        <v>18</v>
      </c>
      <c r="B20" s="6" t="s">
        <v>23</v>
      </c>
      <c r="C20" s="6" t="s">
        <v>135</v>
      </c>
      <c r="D20" s="6" t="s">
        <v>163</v>
      </c>
      <c r="E20" s="22">
        <f>HLOOKUP('Output (Dessert)'!$F$4,'Raw Data (Dessert)'!$U$2:$BP$88,(A20+1),)</f>
        <v>0</v>
      </c>
      <c r="F20" s="23">
        <f>IF(D20='Output (Dessert)'!$B$4,1,0)</f>
        <v>1</v>
      </c>
      <c r="G20" s="23">
        <f>IF(L20&lt;='Output (Dessert)'!$C$4,(200-'Raw Data (Dessert)'!L20),0)</f>
        <v>183.01</v>
      </c>
      <c r="H20" s="23">
        <v>4.5</v>
      </c>
      <c r="I20" s="24">
        <f>SUMPRODUCT(F20:H20,'Output (Dessert)'!$B$5:$D$5)*E20</f>
        <v>0</v>
      </c>
      <c r="J20" s="25">
        <v>0</v>
      </c>
      <c r="K20" s="49">
        <f t="shared" si="0"/>
        <v>0</v>
      </c>
      <c r="L20" s="20">
        <v>16.989999999999998</v>
      </c>
      <c r="M20" s="6" t="s">
        <v>176</v>
      </c>
      <c r="N20" s="6" t="s">
        <v>136</v>
      </c>
      <c r="O20" s="6" t="s">
        <v>137</v>
      </c>
      <c r="P20" s="6" t="s">
        <v>138</v>
      </c>
      <c r="Q20" s="26" t="s">
        <v>34</v>
      </c>
      <c r="R20" s="6" t="s">
        <v>65</v>
      </c>
      <c r="S20" s="6" t="s">
        <v>55</v>
      </c>
      <c r="T20" s="6" t="s">
        <v>128</v>
      </c>
      <c r="U20" s="6">
        <f>VLOOKUP($C20,'Food Pairing Data'!$C$2:$S$188,5)</f>
        <v>0</v>
      </c>
      <c r="V20" s="6">
        <f>VLOOKUP($C20,'Food Pairing Data'!$C$2:$S$188,6)</f>
        <v>0</v>
      </c>
      <c r="W20" s="6">
        <f>VLOOKUP($C20,'Food Pairing Data'!$C$2:$S$188,7)</f>
        <v>0</v>
      </c>
      <c r="X20" s="6">
        <f>VLOOKUP($C20,'Food Pairing Data'!$C$2:$S$188,8)</f>
        <v>1</v>
      </c>
      <c r="Y20" s="6">
        <f>VLOOKUP($C20,'Food Pairing Data'!$C$2:$S$188,9)</f>
        <v>0</v>
      </c>
      <c r="Z20" s="6">
        <f>VLOOKUP($C20,'Food Pairing Data'!$C$2:$S$188,10)</f>
        <v>1</v>
      </c>
      <c r="AA20" s="6">
        <f>VLOOKUP($C20,'Food Pairing Data'!$C$2:$S$188,11)</f>
        <v>0</v>
      </c>
      <c r="AB20" s="6">
        <f>VLOOKUP($C20,'Food Pairing Data'!$C$2:$S$188,12)</f>
        <v>0</v>
      </c>
      <c r="AC20" s="6">
        <f>VLOOKUP($C20,'Food Pairing Data'!$C$2:$S$188,13)</f>
        <v>0</v>
      </c>
      <c r="AD20" s="6">
        <f>VLOOKUP($C20,'Food Pairing Data'!$C$2:$S$188,14)</f>
        <v>0</v>
      </c>
      <c r="AE20" s="6">
        <f>VLOOKUP($C20,'Food Pairing Data'!$C$2:$S$188,15)</f>
        <v>0</v>
      </c>
      <c r="AF20" s="6">
        <f>VLOOKUP($C20,'Food Pairing Data'!$C$2:$S$188,16)</f>
        <v>0</v>
      </c>
      <c r="AG20" s="6">
        <f>VLOOKUP($C20,'Food Pairing Data'!$C$2:$S$188,17)</f>
        <v>0</v>
      </c>
      <c r="AH20" s="6" t="s">
        <v>135</v>
      </c>
      <c r="AI20" s="6" t="s">
        <v>163</v>
      </c>
    </row>
    <row r="21" spans="1:35" ht="16.5" customHeight="1">
      <c r="A21" s="6">
        <f t="shared" si="1"/>
        <v>19</v>
      </c>
      <c r="B21" s="6" t="s">
        <v>23</v>
      </c>
      <c r="C21" s="6" t="s">
        <v>139</v>
      </c>
      <c r="D21" s="6" t="s">
        <v>163</v>
      </c>
      <c r="E21" s="22">
        <f>HLOOKUP('Output (Dessert)'!$F$4,'Raw Data (Dessert)'!$U$2:$BP$88,(A21+1),)</f>
        <v>0</v>
      </c>
      <c r="F21" s="23">
        <f>IF(D21='Output (Dessert)'!$B$4,1,0)</f>
        <v>1</v>
      </c>
      <c r="G21" s="23">
        <f>IF(L21&lt;='Output (Dessert)'!$C$4,(200-'Raw Data (Dessert)'!L21),0)</f>
        <v>183.01</v>
      </c>
      <c r="H21" s="23">
        <v>4.5</v>
      </c>
      <c r="I21" s="24">
        <f>SUMPRODUCT(F21:H21,'Output (Dessert)'!$B$5:$D$5)*E21</f>
        <v>0</v>
      </c>
      <c r="J21" s="25">
        <v>0</v>
      </c>
      <c r="K21" s="49">
        <f t="shared" si="0"/>
        <v>0</v>
      </c>
      <c r="L21" s="20">
        <v>16.989999999999998</v>
      </c>
      <c r="M21" s="6" t="s">
        <v>25</v>
      </c>
      <c r="N21" s="6" t="s">
        <v>140</v>
      </c>
      <c r="O21" s="6" t="s">
        <v>200</v>
      </c>
      <c r="P21" s="6" t="s">
        <v>201</v>
      </c>
      <c r="Q21" s="26" t="s">
        <v>28</v>
      </c>
      <c r="R21" s="6" t="s">
        <v>94</v>
      </c>
      <c r="S21" s="6" t="s">
        <v>147</v>
      </c>
      <c r="T21" s="6" t="s">
        <v>244</v>
      </c>
      <c r="U21" s="6">
        <f>VLOOKUP($C21,'Food Pairing Data'!$C$2:$S$188,5)</f>
        <v>0</v>
      </c>
      <c r="V21" s="6">
        <f>VLOOKUP($C21,'Food Pairing Data'!$C$2:$S$188,6)</f>
        <v>0</v>
      </c>
      <c r="W21" s="6">
        <f>VLOOKUP($C21,'Food Pairing Data'!$C$2:$S$188,7)</f>
        <v>0</v>
      </c>
      <c r="X21" s="6">
        <f>VLOOKUP($C21,'Food Pairing Data'!$C$2:$S$188,8)</f>
        <v>0</v>
      </c>
      <c r="Y21" s="6">
        <f>VLOOKUP($C21,'Food Pairing Data'!$C$2:$S$188,9)</f>
        <v>0</v>
      </c>
      <c r="Z21" s="6">
        <f>VLOOKUP($C21,'Food Pairing Data'!$C$2:$S$188,10)</f>
        <v>0</v>
      </c>
      <c r="AA21" s="6">
        <f>VLOOKUP($C21,'Food Pairing Data'!$C$2:$S$188,11)</f>
        <v>0</v>
      </c>
      <c r="AB21" s="6">
        <f>VLOOKUP($C21,'Food Pairing Data'!$C$2:$S$188,12)</f>
        <v>0</v>
      </c>
      <c r="AC21" s="6">
        <f>VLOOKUP($C21,'Food Pairing Data'!$C$2:$S$188,13)</f>
        <v>0</v>
      </c>
      <c r="AD21" s="6">
        <f>VLOOKUP($C21,'Food Pairing Data'!$C$2:$S$188,14)</f>
        <v>1</v>
      </c>
      <c r="AE21" s="6">
        <f>VLOOKUP($C21,'Food Pairing Data'!$C$2:$S$188,15)</f>
        <v>0</v>
      </c>
      <c r="AF21" s="6">
        <f>VLOOKUP($C21,'Food Pairing Data'!$C$2:$S$188,16)</f>
        <v>0</v>
      </c>
      <c r="AG21" s="6">
        <f>VLOOKUP($C21,'Food Pairing Data'!$C$2:$S$188,17)</f>
        <v>0</v>
      </c>
      <c r="AH21" s="6" t="s">
        <v>139</v>
      </c>
      <c r="AI21" s="6" t="s">
        <v>163</v>
      </c>
    </row>
    <row r="22" spans="1:35" ht="14">
      <c r="A22" s="6">
        <f t="shared" si="1"/>
        <v>20</v>
      </c>
      <c r="B22" s="6" t="s">
        <v>23</v>
      </c>
      <c r="C22" s="6" t="s">
        <v>202</v>
      </c>
      <c r="D22" s="6" t="s">
        <v>163</v>
      </c>
      <c r="E22" s="22">
        <f>HLOOKUP('Output (Dessert)'!$F$4,'Raw Data (Dessert)'!$U$2:$BP$88,(A22+1),)</f>
        <v>0</v>
      </c>
      <c r="F22" s="23">
        <f>IF(D22='Output (Dessert)'!$B$4,1,0)</f>
        <v>1</v>
      </c>
      <c r="G22" s="23">
        <f>IF(L22&lt;='Output (Dessert)'!$C$4,(200-'Raw Data (Dessert)'!L22),0)</f>
        <v>183.01</v>
      </c>
      <c r="H22" s="23">
        <v>4.5</v>
      </c>
      <c r="I22" s="24">
        <f>SUMPRODUCT(F22:H22,'Output (Dessert)'!$B$5:$D$5)*E22</f>
        <v>0</v>
      </c>
      <c r="J22" s="25">
        <v>0</v>
      </c>
      <c r="K22" s="49">
        <f t="shared" si="0"/>
        <v>0</v>
      </c>
      <c r="L22" s="20">
        <v>16.989999999999998</v>
      </c>
      <c r="M22" s="6" t="s">
        <v>241</v>
      </c>
      <c r="N22" s="6" t="s">
        <v>203</v>
      </c>
      <c r="O22" s="6" t="s">
        <v>32</v>
      </c>
      <c r="P22" s="6" t="s">
        <v>204</v>
      </c>
      <c r="Q22" s="26"/>
      <c r="R22" s="6" t="s">
        <v>71</v>
      </c>
      <c r="S22" s="6" t="s">
        <v>55</v>
      </c>
      <c r="T22" s="6" t="s">
        <v>82</v>
      </c>
      <c r="U22" s="6">
        <f>VLOOKUP($C22,'Food Pairing Data'!$C$2:$S$188,5)</f>
        <v>0</v>
      </c>
      <c r="V22" s="6">
        <f>VLOOKUP($C22,'Food Pairing Data'!$C$2:$S$188,6)</f>
        <v>0</v>
      </c>
      <c r="W22" s="6">
        <f>VLOOKUP($C22,'Food Pairing Data'!$C$2:$S$188,7)</f>
        <v>0</v>
      </c>
      <c r="X22" s="6">
        <f>VLOOKUP($C22,'Food Pairing Data'!$C$2:$S$188,8)</f>
        <v>0</v>
      </c>
      <c r="Y22" s="6">
        <f>VLOOKUP($C22,'Food Pairing Data'!$C$2:$S$188,9)</f>
        <v>0</v>
      </c>
      <c r="Z22" s="6">
        <f>VLOOKUP($C22,'Food Pairing Data'!$C$2:$S$188,10)</f>
        <v>0</v>
      </c>
      <c r="AA22" s="6">
        <f>VLOOKUP($C22,'Food Pairing Data'!$C$2:$S$188,11)</f>
        <v>0</v>
      </c>
      <c r="AB22" s="6">
        <f>VLOOKUP($C22,'Food Pairing Data'!$C$2:$S$188,12)</f>
        <v>0</v>
      </c>
      <c r="AC22" s="6">
        <f>VLOOKUP($C22,'Food Pairing Data'!$C$2:$S$188,13)</f>
        <v>0</v>
      </c>
      <c r="AD22" s="6">
        <f>VLOOKUP($C22,'Food Pairing Data'!$C$2:$S$188,14)</f>
        <v>1</v>
      </c>
      <c r="AE22" s="6">
        <f>VLOOKUP($C22,'Food Pairing Data'!$C$2:$S$188,15)</f>
        <v>0</v>
      </c>
      <c r="AF22" s="6">
        <f>VLOOKUP($C22,'Food Pairing Data'!$C$2:$S$188,16)</f>
        <v>0</v>
      </c>
      <c r="AG22" s="6">
        <f>VLOOKUP($C22,'Food Pairing Data'!$C$2:$S$188,17)</f>
        <v>0</v>
      </c>
      <c r="AH22" s="6" t="s">
        <v>202</v>
      </c>
      <c r="AI22" s="6" t="s">
        <v>163</v>
      </c>
    </row>
    <row r="23" spans="1:35" ht="14">
      <c r="A23" s="6">
        <f t="shared" si="1"/>
        <v>21</v>
      </c>
      <c r="B23" s="6" t="s">
        <v>245</v>
      </c>
      <c r="C23" s="6" t="s">
        <v>214</v>
      </c>
      <c r="D23" s="6" t="s">
        <v>163</v>
      </c>
      <c r="E23" s="22">
        <f>HLOOKUP('Output (Dessert)'!$F$4,'Raw Data (Dessert)'!$U$2:$BP$88,(A23+1),)</f>
        <v>1</v>
      </c>
      <c r="F23" s="23">
        <f>IF(D23='Output (Dessert)'!$B$4,1,0)</f>
        <v>1</v>
      </c>
      <c r="G23" s="23">
        <f>IF(L23&lt;='Output (Dessert)'!$C$4,(200-'Raw Data (Dessert)'!L23),0)</f>
        <v>190.01</v>
      </c>
      <c r="H23" s="23">
        <v>4.5</v>
      </c>
      <c r="I23" s="24">
        <f>SUMPRODUCT(F23:H23,'Output (Dessert)'!$B$5:$D$5)*E23</f>
        <v>152.55799999999999</v>
      </c>
      <c r="J23" s="25">
        <v>0</v>
      </c>
      <c r="K23" s="49">
        <f t="shared" si="0"/>
        <v>0</v>
      </c>
      <c r="L23" s="20">
        <v>9.99</v>
      </c>
      <c r="M23" s="6" t="s">
        <v>241</v>
      </c>
      <c r="N23" s="6" t="s">
        <v>242</v>
      </c>
      <c r="O23" s="6" t="s">
        <v>211</v>
      </c>
      <c r="P23" s="6" t="s">
        <v>215</v>
      </c>
      <c r="Q23" s="26" t="s">
        <v>28</v>
      </c>
      <c r="R23" s="6" t="s">
        <v>65</v>
      </c>
      <c r="S23" s="6" t="s">
        <v>64</v>
      </c>
      <c r="T23" s="6" t="s">
        <v>244</v>
      </c>
      <c r="U23" s="6">
        <f>VLOOKUP($C23,'Food Pairing Data'!$C$2:$S$188,5)</f>
        <v>0</v>
      </c>
      <c r="V23" s="6">
        <f>VLOOKUP($C23,'Food Pairing Data'!$C$2:$S$188,6)</f>
        <v>0</v>
      </c>
      <c r="W23" s="6">
        <f>VLOOKUP($C23,'Food Pairing Data'!$C$2:$S$188,7)</f>
        <v>0</v>
      </c>
      <c r="X23" s="6">
        <f>VLOOKUP($C23,'Food Pairing Data'!$C$2:$S$188,8)</f>
        <v>0</v>
      </c>
      <c r="Y23" s="6">
        <f>VLOOKUP($C23,'Food Pairing Data'!$C$2:$S$188,9)</f>
        <v>0</v>
      </c>
      <c r="Z23" s="6">
        <f>VLOOKUP($C23,'Food Pairing Data'!$C$2:$S$188,10)</f>
        <v>0</v>
      </c>
      <c r="AA23" s="6">
        <f>VLOOKUP($C23,'Food Pairing Data'!$C$2:$S$188,11)</f>
        <v>0</v>
      </c>
      <c r="AB23" s="6">
        <f>VLOOKUP($C23,'Food Pairing Data'!$C$2:$S$188,12)</f>
        <v>0</v>
      </c>
      <c r="AC23" s="6">
        <f>VLOOKUP($C23,'Food Pairing Data'!$C$2:$S$188,13)</f>
        <v>0</v>
      </c>
      <c r="AD23" s="6">
        <f>VLOOKUP($C23,'Food Pairing Data'!$C$2:$S$188,14)</f>
        <v>1</v>
      </c>
      <c r="AE23" s="6">
        <f>VLOOKUP($C23,'Food Pairing Data'!$C$2:$S$188,15)</f>
        <v>0</v>
      </c>
      <c r="AF23" s="6">
        <f>VLOOKUP($C23,'Food Pairing Data'!$C$2:$S$188,16)</f>
        <v>0</v>
      </c>
      <c r="AG23" s="6">
        <v>1</v>
      </c>
      <c r="AH23" s="6" t="s">
        <v>214</v>
      </c>
      <c r="AI23" s="6" t="s">
        <v>163</v>
      </c>
    </row>
    <row r="24" spans="1:35" ht="14">
      <c r="A24" s="6">
        <f t="shared" si="1"/>
        <v>22</v>
      </c>
      <c r="B24" s="6" t="s">
        <v>245</v>
      </c>
      <c r="C24" s="6" t="s">
        <v>216</v>
      </c>
      <c r="D24" s="6" t="s">
        <v>163</v>
      </c>
      <c r="E24" s="22">
        <f>HLOOKUP('Output (Dessert)'!$F$4,'Raw Data (Dessert)'!$U$2:$BP$88,(A24+1),)</f>
        <v>1</v>
      </c>
      <c r="F24" s="23">
        <f>IF(D24='Output (Dessert)'!$B$4,1,0)</f>
        <v>1</v>
      </c>
      <c r="G24" s="23">
        <f>IF(L24&lt;='Output (Dessert)'!$C$4,(200-'Raw Data (Dessert)'!L24),0)</f>
        <v>191.01</v>
      </c>
      <c r="H24" s="23">
        <v>4.5</v>
      </c>
      <c r="I24" s="24">
        <f>SUMPRODUCT(F24:H24,'Output (Dessert)'!$B$5:$D$5)*E24</f>
        <v>153.35799999999998</v>
      </c>
      <c r="J24" s="25">
        <v>0</v>
      </c>
      <c r="K24" s="49">
        <f t="shared" si="0"/>
        <v>0</v>
      </c>
      <c r="L24" s="20">
        <v>8.99</v>
      </c>
      <c r="M24" s="6" t="s">
        <v>18</v>
      </c>
      <c r="N24" s="6" t="s">
        <v>19</v>
      </c>
      <c r="O24" s="6" t="s">
        <v>211</v>
      </c>
      <c r="P24" s="6" t="s">
        <v>21</v>
      </c>
      <c r="Q24" s="26" t="s">
        <v>34</v>
      </c>
      <c r="R24" s="6" t="s">
        <v>206</v>
      </c>
      <c r="S24" s="6" t="s">
        <v>147</v>
      </c>
      <c r="T24" s="6" t="s">
        <v>103</v>
      </c>
      <c r="U24" s="6">
        <f>VLOOKUP($C24,'Food Pairing Data'!$C$2:$S$188,5)</f>
        <v>0</v>
      </c>
      <c r="V24" s="6">
        <f>VLOOKUP($C24,'Food Pairing Data'!$C$2:$S$188,6)</f>
        <v>0</v>
      </c>
      <c r="W24" s="6">
        <f>VLOOKUP($C24,'Food Pairing Data'!$C$2:$S$188,7)</f>
        <v>0</v>
      </c>
      <c r="X24" s="6">
        <f>VLOOKUP($C24,'Food Pairing Data'!$C$2:$S$188,8)</f>
        <v>0</v>
      </c>
      <c r="Y24" s="6">
        <f>VLOOKUP($C24,'Food Pairing Data'!$C$2:$S$188,9)</f>
        <v>0</v>
      </c>
      <c r="Z24" s="6">
        <f>VLOOKUP($C24,'Food Pairing Data'!$C$2:$S$188,10)</f>
        <v>0</v>
      </c>
      <c r="AA24" s="6">
        <f>VLOOKUP($C24,'Food Pairing Data'!$C$2:$S$188,11)</f>
        <v>0</v>
      </c>
      <c r="AB24" s="6">
        <f>VLOOKUP($C24,'Food Pairing Data'!$C$2:$S$188,12)</f>
        <v>0</v>
      </c>
      <c r="AC24" s="6">
        <f>VLOOKUP($C24,'Food Pairing Data'!$C$2:$S$188,13)</f>
        <v>0</v>
      </c>
      <c r="AD24" s="6">
        <f>VLOOKUP($C24,'Food Pairing Data'!$C$2:$S$188,14)</f>
        <v>1</v>
      </c>
      <c r="AE24" s="6">
        <f>VLOOKUP($C24,'Food Pairing Data'!$C$2:$S$188,15)</f>
        <v>0</v>
      </c>
      <c r="AF24" s="6">
        <f>VLOOKUP($C24,'Food Pairing Data'!$C$2:$S$188,16)</f>
        <v>0</v>
      </c>
      <c r="AG24" s="6">
        <v>1</v>
      </c>
      <c r="AH24" s="6" t="s">
        <v>216</v>
      </c>
      <c r="AI24" s="6" t="s">
        <v>163</v>
      </c>
    </row>
    <row r="25" spans="1:35" ht="14">
      <c r="A25" s="6">
        <f t="shared" si="1"/>
        <v>23</v>
      </c>
      <c r="B25" s="6" t="s">
        <v>181</v>
      </c>
      <c r="C25" s="6" t="s">
        <v>217</v>
      </c>
      <c r="D25" s="6" t="s">
        <v>163</v>
      </c>
      <c r="E25" s="22" t="str">
        <f>HLOOKUP('Output (Dessert)'!$F$4,'Raw Data (Dessert)'!$U$2:$BP$88,(A25+1),)</f>
        <v>a</v>
      </c>
      <c r="F25" s="23">
        <f>IF(D25='Output (Dessert)'!$B$4,1,0)</f>
        <v>1</v>
      </c>
      <c r="G25" s="23">
        <f>IF(L25&lt;='Output (Dessert)'!$C$4,(200-'Raw Data (Dessert)'!L25),0)</f>
        <v>0</v>
      </c>
      <c r="H25" s="23">
        <v>4</v>
      </c>
      <c r="I25" s="24" t="e">
        <f>SUMPRODUCT(F25:H25,'Output (Dessert)'!$B$5:$D$5)*E25</f>
        <v>#VALUE!</v>
      </c>
      <c r="J25" s="25">
        <v>0</v>
      </c>
      <c r="K25" s="49">
        <f t="shared" si="0"/>
        <v>0</v>
      </c>
      <c r="L25" s="20">
        <v>39.99</v>
      </c>
      <c r="M25" s="6" t="s">
        <v>111</v>
      </c>
      <c r="N25" s="6" t="s">
        <v>112</v>
      </c>
      <c r="O25" s="6" t="s">
        <v>218</v>
      </c>
      <c r="P25" s="6" t="s">
        <v>114</v>
      </c>
      <c r="Q25" s="26" t="s">
        <v>180</v>
      </c>
      <c r="R25" s="6" t="s">
        <v>64</v>
      </c>
      <c r="S25" s="6" t="s">
        <v>67</v>
      </c>
      <c r="T25" s="6" t="s">
        <v>58</v>
      </c>
      <c r="U25" s="6">
        <f>VLOOKUP($C25,'Food Pairing Data'!$C$2:$S$188,5)</f>
        <v>0</v>
      </c>
      <c r="V25" s="6">
        <f>VLOOKUP($C25,'Food Pairing Data'!$C$2:$S$188,6)</f>
        <v>0</v>
      </c>
      <c r="W25" s="6">
        <f>VLOOKUP($C25,'Food Pairing Data'!$C$2:$S$188,7)</f>
        <v>0</v>
      </c>
      <c r="X25" s="6">
        <f>VLOOKUP($C25,'Food Pairing Data'!$C$2:$S$188,8)</f>
        <v>0</v>
      </c>
      <c r="Y25" s="6">
        <f>VLOOKUP($C25,'Food Pairing Data'!$C$2:$S$188,9)</f>
        <v>0</v>
      </c>
      <c r="Z25" s="6">
        <f>VLOOKUP($C25,'Food Pairing Data'!$C$2:$S$188,10)</f>
        <v>0</v>
      </c>
      <c r="AA25" s="6">
        <f>VLOOKUP($C25,'Food Pairing Data'!$C$2:$S$188,11)</f>
        <v>0</v>
      </c>
      <c r="AB25" s="6">
        <f>VLOOKUP($C25,'Food Pairing Data'!$C$2:$S$188,12)</f>
        <v>0</v>
      </c>
      <c r="AC25" s="6">
        <f>VLOOKUP($C25,'Food Pairing Data'!$C$2:$S$188,13)</f>
        <v>0</v>
      </c>
      <c r="AD25" s="6">
        <f>VLOOKUP($C25,'Food Pairing Data'!$C$2:$S$188,14)</f>
        <v>1</v>
      </c>
      <c r="AE25" s="6">
        <f>VLOOKUP($C25,'Food Pairing Data'!$C$2:$S$188,15)</f>
        <v>0</v>
      </c>
      <c r="AF25" s="6">
        <f>VLOOKUP($C25,'Food Pairing Data'!$C$2:$S$188,16)</f>
        <v>0</v>
      </c>
      <c r="AG25" s="6" t="s">
        <v>718</v>
      </c>
      <c r="AH25" s="6" t="s">
        <v>217</v>
      </c>
      <c r="AI25" s="6" t="s">
        <v>163</v>
      </c>
    </row>
    <row r="26" spans="1:35" ht="14">
      <c r="A26" s="6">
        <f t="shared" si="1"/>
        <v>24</v>
      </c>
      <c r="B26" s="6" t="s">
        <v>181</v>
      </c>
      <c r="C26" s="6" t="s">
        <v>226</v>
      </c>
      <c r="D26" s="6" t="s">
        <v>163</v>
      </c>
      <c r="E26" s="22">
        <f>HLOOKUP('Output (Dessert)'!$F$4,'Raw Data (Dessert)'!$U$2:$BP$88,(A26+1),)</f>
        <v>0</v>
      </c>
      <c r="F26" s="23">
        <f>IF(D26='Output (Dessert)'!$B$4,1,0)</f>
        <v>1</v>
      </c>
      <c r="G26" s="23">
        <f>IF(L26&lt;='Output (Dessert)'!$C$4,(200-'Raw Data (Dessert)'!L26),0)</f>
        <v>0</v>
      </c>
      <c r="H26" s="23">
        <v>4</v>
      </c>
      <c r="I26" s="24">
        <f>SUMPRODUCT(F26:H26,'Output (Dessert)'!$B$5:$D$5)*E26</f>
        <v>0</v>
      </c>
      <c r="J26" s="25">
        <v>0</v>
      </c>
      <c r="K26" s="49">
        <f t="shared" si="0"/>
        <v>0</v>
      </c>
      <c r="L26" s="20">
        <v>24.99</v>
      </c>
      <c r="M26" s="6" t="s">
        <v>170</v>
      </c>
      <c r="N26" s="6" t="s">
        <v>227</v>
      </c>
      <c r="O26" s="6" t="s">
        <v>172</v>
      </c>
      <c r="P26" s="6" t="s">
        <v>186</v>
      </c>
      <c r="Q26" s="26" t="s">
        <v>28</v>
      </c>
      <c r="R26" s="6" t="s">
        <v>64</v>
      </c>
      <c r="S26" s="6" t="s">
        <v>72</v>
      </c>
      <c r="T26" s="6" t="s">
        <v>239</v>
      </c>
      <c r="U26" s="6">
        <f>VLOOKUP($C26,'Food Pairing Data'!$C$2:$S$188,5)</f>
        <v>0</v>
      </c>
      <c r="V26" s="6">
        <f>VLOOKUP($C26,'Food Pairing Data'!$C$2:$S$188,6)</f>
        <v>0</v>
      </c>
      <c r="W26" s="6">
        <f>VLOOKUP($C26,'Food Pairing Data'!$C$2:$S$188,7)</f>
        <v>0</v>
      </c>
      <c r="X26" s="6">
        <f>VLOOKUP($C26,'Food Pairing Data'!$C$2:$S$188,8)</f>
        <v>0</v>
      </c>
      <c r="Y26" s="6">
        <f>VLOOKUP($C26,'Food Pairing Data'!$C$2:$S$188,9)</f>
        <v>0</v>
      </c>
      <c r="Z26" s="6">
        <f>VLOOKUP($C26,'Food Pairing Data'!$C$2:$S$188,10)</f>
        <v>0</v>
      </c>
      <c r="AA26" s="6">
        <f>VLOOKUP($C26,'Food Pairing Data'!$C$2:$S$188,11)</f>
        <v>0</v>
      </c>
      <c r="AB26" s="6">
        <f>VLOOKUP($C26,'Food Pairing Data'!$C$2:$S$188,12)</f>
        <v>0</v>
      </c>
      <c r="AC26" s="6">
        <f>VLOOKUP($C26,'Food Pairing Data'!$C$2:$S$188,13)</f>
        <v>0</v>
      </c>
      <c r="AD26" s="6">
        <f>VLOOKUP($C26,'Food Pairing Data'!$C$2:$S$188,14)</f>
        <v>1</v>
      </c>
      <c r="AE26" s="6">
        <f>VLOOKUP($C26,'Food Pairing Data'!$C$2:$S$188,15)</f>
        <v>0</v>
      </c>
      <c r="AF26" s="6">
        <f>VLOOKUP($C26,'Food Pairing Data'!$C$2:$S$188,16)</f>
        <v>0</v>
      </c>
      <c r="AG26" s="6">
        <f>VLOOKUP($C26,'Food Pairing Data'!$C$2:$S$188,17)</f>
        <v>0</v>
      </c>
      <c r="AH26" s="6" t="s">
        <v>226</v>
      </c>
      <c r="AI26" s="6" t="s">
        <v>163</v>
      </c>
    </row>
    <row r="27" spans="1:35" ht="14">
      <c r="A27" s="6">
        <f t="shared" si="1"/>
        <v>25</v>
      </c>
      <c r="B27" s="6" t="s">
        <v>23</v>
      </c>
      <c r="C27" s="6" t="s">
        <v>189</v>
      </c>
      <c r="D27" s="6" t="s">
        <v>163</v>
      </c>
      <c r="E27" s="22">
        <f>HLOOKUP('Output (Dessert)'!$F$4,'Raw Data (Dessert)'!$U$2:$BP$88,(A27+1),)</f>
        <v>0</v>
      </c>
      <c r="F27" s="23">
        <f>IF(D27='Output (Dessert)'!$B$4,1,0)</f>
        <v>1</v>
      </c>
      <c r="G27" s="23">
        <f>IF(L27&lt;='Output (Dessert)'!$C$4,(200-'Raw Data (Dessert)'!L27),0)</f>
        <v>185.01</v>
      </c>
      <c r="H27" s="23">
        <v>4</v>
      </c>
      <c r="I27" s="24">
        <f>SUMPRODUCT(F27:H27,'Output (Dessert)'!$B$5:$D$5)*E27</f>
        <v>0</v>
      </c>
      <c r="J27" s="25">
        <v>0</v>
      </c>
      <c r="K27" s="49">
        <f t="shared" si="0"/>
        <v>0</v>
      </c>
      <c r="L27" s="20">
        <v>14.99</v>
      </c>
      <c r="M27" s="6" t="s">
        <v>339</v>
      </c>
      <c r="N27" s="6" t="s">
        <v>315</v>
      </c>
      <c r="O27" s="6" t="s">
        <v>316</v>
      </c>
      <c r="P27" s="6" t="s">
        <v>317</v>
      </c>
      <c r="Q27" s="26">
        <v>13.5</v>
      </c>
      <c r="R27" s="6" t="s">
        <v>318</v>
      </c>
      <c r="S27" s="6" t="s">
        <v>340</v>
      </c>
      <c r="T27" s="6" t="s">
        <v>190</v>
      </c>
      <c r="U27" s="6">
        <f>VLOOKUP($C27,'Food Pairing Data'!$C$2:$S$188,5)</f>
        <v>0</v>
      </c>
      <c r="V27" s="6">
        <f>VLOOKUP($C27,'Food Pairing Data'!$C$2:$S$188,6)</f>
        <v>0</v>
      </c>
      <c r="W27" s="6">
        <f>VLOOKUP($C27,'Food Pairing Data'!$C$2:$S$188,7)</f>
        <v>0</v>
      </c>
      <c r="X27" s="6">
        <f>VLOOKUP($C27,'Food Pairing Data'!$C$2:$S$188,8)</f>
        <v>0</v>
      </c>
      <c r="Y27" s="6">
        <f>VLOOKUP($C27,'Food Pairing Data'!$C$2:$S$188,9)</f>
        <v>0</v>
      </c>
      <c r="Z27" s="6">
        <f>VLOOKUP($C27,'Food Pairing Data'!$C$2:$S$188,10)</f>
        <v>0</v>
      </c>
      <c r="AA27" s="6">
        <f>VLOOKUP($C27,'Food Pairing Data'!$C$2:$S$188,11)</f>
        <v>0</v>
      </c>
      <c r="AB27" s="6">
        <f>VLOOKUP($C27,'Food Pairing Data'!$C$2:$S$188,12)</f>
        <v>0</v>
      </c>
      <c r="AC27" s="6">
        <f>VLOOKUP($C27,'Food Pairing Data'!$C$2:$S$188,13)</f>
        <v>0</v>
      </c>
      <c r="AD27" s="6">
        <f>VLOOKUP($C27,'Food Pairing Data'!$C$2:$S$188,14)</f>
        <v>1</v>
      </c>
      <c r="AE27" s="6">
        <f>VLOOKUP($C27,'Food Pairing Data'!$C$2:$S$188,15)</f>
        <v>0</v>
      </c>
      <c r="AF27" s="6">
        <f>VLOOKUP($C27,'Food Pairing Data'!$C$2:$S$188,16)</f>
        <v>0</v>
      </c>
      <c r="AG27" s="6">
        <f>VLOOKUP($C27,'Food Pairing Data'!$C$2:$S$188,17)</f>
        <v>0</v>
      </c>
      <c r="AH27" s="6" t="s">
        <v>189</v>
      </c>
      <c r="AI27" s="6" t="s">
        <v>163</v>
      </c>
    </row>
    <row r="28" spans="1:35" ht="14">
      <c r="A28" s="6">
        <f t="shared" si="1"/>
        <v>26</v>
      </c>
      <c r="B28" s="6" t="s">
        <v>23</v>
      </c>
      <c r="C28" s="6" t="s">
        <v>191</v>
      </c>
      <c r="D28" s="6" t="s">
        <v>163</v>
      </c>
      <c r="E28" s="22">
        <f>HLOOKUP('Output (Dessert)'!$F$4,'Raw Data (Dessert)'!$U$2:$BP$88,(A28+1),)</f>
        <v>0</v>
      </c>
      <c r="F28" s="23">
        <f>IF(D28='Output (Dessert)'!$B$4,1,0)</f>
        <v>1</v>
      </c>
      <c r="G28" s="23">
        <f>IF(L28&lt;='Output (Dessert)'!$C$4,(200-'Raw Data (Dessert)'!L28),0)</f>
        <v>185.01</v>
      </c>
      <c r="H28" s="23">
        <v>4</v>
      </c>
      <c r="I28" s="24">
        <f>SUMPRODUCT(F28:H28,'Output (Dessert)'!$B$5:$D$5)*E28</f>
        <v>0</v>
      </c>
      <c r="J28" s="25">
        <v>0</v>
      </c>
      <c r="K28" s="49">
        <f t="shared" si="0"/>
        <v>0</v>
      </c>
      <c r="L28" s="20">
        <v>14.99</v>
      </c>
      <c r="M28" s="6" t="s">
        <v>339</v>
      </c>
      <c r="N28" s="6" t="s">
        <v>322</v>
      </c>
      <c r="O28" s="6" t="s">
        <v>386</v>
      </c>
      <c r="P28" s="6" t="s">
        <v>317</v>
      </c>
      <c r="Q28" s="26">
        <v>13.5</v>
      </c>
      <c r="R28" s="6" t="s">
        <v>192</v>
      </c>
      <c r="S28" s="6" t="s">
        <v>193</v>
      </c>
      <c r="T28" s="6" t="s">
        <v>190</v>
      </c>
      <c r="U28" s="6">
        <f>VLOOKUP($C28,'Food Pairing Data'!$C$2:$S$188,5)</f>
        <v>0</v>
      </c>
      <c r="V28" s="6">
        <f>VLOOKUP($C28,'Food Pairing Data'!$C$2:$S$188,6)</f>
        <v>0</v>
      </c>
      <c r="W28" s="6">
        <f>VLOOKUP($C28,'Food Pairing Data'!$C$2:$S$188,7)</f>
        <v>0</v>
      </c>
      <c r="X28" s="6">
        <f>VLOOKUP($C28,'Food Pairing Data'!$C$2:$S$188,8)</f>
        <v>0</v>
      </c>
      <c r="Y28" s="6">
        <f>VLOOKUP($C28,'Food Pairing Data'!$C$2:$S$188,9)</f>
        <v>0</v>
      </c>
      <c r="Z28" s="6">
        <f>VLOOKUP($C28,'Food Pairing Data'!$C$2:$S$188,10)</f>
        <v>0</v>
      </c>
      <c r="AA28" s="6">
        <f>VLOOKUP($C28,'Food Pairing Data'!$C$2:$S$188,11)</f>
        <v>0</v>
      </c>
      <c r="AB28" s="6">
        <f>VLOOKUP($C28,'Food Pairing Data'!$C$2:$S$188,12)</f>
        <v>0</v>
      </c>
      <c r="AC28" s="6">
        <f>VLOOKUP($C28,'Food Pairing Data'!$C$2:$S$188,13)</f>
        <v>0</v>
      </c>
      <c r="AD28" s="6">
        <f>VLOOKUP($C28,'Food Pairing Data'!$C$2:$S$188,14)</f>
        <v>1</v>
      </c>
      <c r="AE28" s="6">
        <f>VLOOKUP($C28,'Food Pairing Data'!$C$2:$S$188,15)</f>
        <v>0</v>
      </c>
      <c r="AF28" s="6">
        <f>VLOOKUP($C28,'Food Pairing Data'!$C$2:$S$188,16)</f>
        <v>0</v>
      </c>
      <c r="AG28" s="6">
        <f>VLOOKUP($C28,'Food Pairing Data'!$C$2:$S$188,17)</f>
        <v>0</v>
      </c>
      <c r="AH28" s="6" t="s">
        <v>191</v>
      </c>
      <c r="AI28" s="6" t="s">
        <v>163</v>
      </c>
    </row>
    <row r="29" spans="1:35" ht="14">
      <c r="A29" s="6">
        <f t="shared" si="1"/>
        <v>27</v>
      </c>
      <c r="B29" s="6" t="s">
        <v>23</v>
      </c>
      <c r="C29" s="6" t="s">
        <v>196</v>
      </c>
      <c r="D29" s="6" t="s">
        <v>163</v>
      </c>
      <c r="E29" s="22">
        <f>HLOOKUP('Output (Dessert)'!$F$4,'Raw Data (Dessert)'!$U$2:$BP$88,(A29+1),)</f>
        <v>0</v>
      </c>
      <c r="F29" s="23">
        <f>IF(D29='Output (Dessert)'!$B$4,1,0)</f>
        <v>1</v>
      </c>
      <c r="G29" s="23">
        <f>IF(L29&lt;='Output (Dessert)'!$C$4,(200-'Raw Data (Dessert)'!L29),0)</f>
        <v>186.01</v>
      </c>
      <c r="H29" s="23">
        <v>4</v>
      </c>
      <c r="I29" s="24">
        <f>SUMPRODUCT(F29:H29,'Output (Dessert)'!$B$5:$D$5)*E29</f>
        <v>0</v>
      </c>
      <c r="J29" s="25">
        <v>0</v>
      </c>
      <c r="K29" s="49">
        <f t="shared" si="0"/>
        <v>0</v>
      </c>
      <c r="L29" s="20">
        <v>13.99</v>
      </c>
      <c r="M29" s="6" t="s">
        <v>197</v>
      </c>
      <c r="N29" s="6" t="s">
        <v>198</v>
      </c>
      <c r="O29" s="6" t="s">
        <v>393</v>
      </c>
      <c r="P29" s="6" t="s">
        <v>394</v>
      </c>
      <c r="Q29" s="26">
        <v>14.5</v>
      </c>
      <c r="R29" s="6" t="s">
        <v>199</v>
      </c>
      <c r="S29" s="6" t="s">
        <v>396</v>
      </c>
      <c r="T29" s="6" t="s">
        <v>397</v>
      </c>
      <c r="U29" s="6">
        <f>VLOOKUP($C29,'Food Pairing Data'!$C$2:$S$188,5)</f>
        <v>0</v>
      </c>
      <c r="V29" s="6">
        <f>VLOOKUP($C29,'Food Pairing Data'!$C$2:$S$188,6)</f>
        <v>0</v>
      </c>
      <c r="W29" s="6">
        <f>VLOOKUP($C29,'Food Pairing Data'!$C$2:$S$188,7)</f>
        <v>0</v>
      </c>
      <c r="X29" s="6">
        <f>VLOOKUP($C29,'Food Pairing Data'!$C$2:$S$188,8)</f>
        <v>0</v>
      </c>
      <c r="Y29" s="6">
        <f>VLOOKUP($C29,'Food Pairing Data'!$C$2:$S$188,9)</f>
        <v>0</v>
      </c>
      <c r="Z29" s="6">
        <f>VLOOKUP($C29,'Food Pairing Data'!$C$2:$S$188,10)</f>
        <v>0</v>
      </c>
      <c r="AA29" s="6">
        <f>VLOOKUP($C29,'Food Pairing Data'!$C$2:$S$188,11)</f>
        <v>0</v>
      </c>
      <c r="AB29" s="6">
        <f>VLOOKUP($C29,'Food Pairing Data'!$C$2:$S$188,12)</f>
        <v>0</v>
      </c>
      <c r="AC29" s="6">
        <f>VLOOKUP($C29,'Food Pairing Data'!$C$2:$S$188,13)</f>
        <v>0</v>
      </c>
      <c r="AD29" s="6">
        <f>VLOOKUP($C29,'Food Pairing Data'!$C$2:$S$188,14)</f>
        <v>1</v>
      </c>
      <c r="AE29" s="6">
        <f>VLOOKUP($C29,'Food Pairing Data'!$C$2:$S$188,15)</f>
        <v>0</v>
      </c>
      <c r="AF29" s="6">
        <f>VLOOKUP($C29,'Food Pairing Data'!$C$2:$S$188,16)</f>
        <v>0</v>
      </c>
      <c r="AG29" s="6">
        <f>VLOOKUP($C29,'Food Pairing Data'!$C$2:$S$188,17)</f>
        <v>0</v>
      </c>
      <c r="AH29" s="6" t="s">
        <v>196</v>
      </c>
      <c r="AI29" s="6" t="s">
        <v>163</v>
      </c>
    </row>
    <row r="30" spans="1:35" ht="14">
      <c r="A30" s="6">
        <f t="shared" si="1"/>
        <v>28</v>
      </c>
      <c r="B30" s="6" t="s">
        <v>23</v>
      </c>
      <c r="C30" s="6" t="s">
        <v>288</v>
      </c>
      <c r="D30" s="6" t="s">
        <v>163</v>
      </c>
      <c r="E30" s="22">
        <f>HLOOKUP('Output (Dessert)'!$F$4,'Raw Data (Dessert)'!$U$2:$BP$88,(A30+1),)</f>
        <v>0</v>
      </c>
      <c r="F30" s="23">
        <f>IF(D30='Output (Dessert)'!$B$4,1,0)</f>
        <v>1</v>
      </c>
      <c r="G30" s="23">
        <f>IF(L30&lt;='Output (Dessert)'!$C$4,(200-'Raw Data (Dessert)'!L30),0)</f>
        <v>187.01</v>
      </c>
      <c r="H30" s="23">
        <v>4</v>
      </c>
      <c r="I30" s="24">
        <f>SUMPRODUCT(F30:H30,'Output (Dessert)'!$B$5:$D$5)*E30</f>
        <v>0</v>
      </c>
      <c r="J30" s="25">
        <v>0</v>
      </c>
      <c r="K30" s="49">
        <f t="shared" si="0"/>
        <v>0</v>
      </c>
      <c r="L30" s="20">
        <v>12.99</v>
      </c>
      <c r="M30" s="6" t="s">
        <v>256</v>
      </c>
      <c r="N30" s="6" t="s">
        <v>399</v>
      </c>
      <c r="O30" s="6" t="s">
        <v>400</v>
      </c>
      <c r="P30" s="6" t="s">
        <v>401</v>
      </c>
      <c r="Q30" s="26">
        <v>13</v>
      </c>
      <c r="R30" s="6" t="s">
        <v>199</v>
      </c>
      <c r="S30" s="6" t="s">
        <v>195</v>
      </c>
      <c r="T30" s="6" t="s">
        <v>190</v>
      </c>
      <c r="U30" s="6">
        <f>VLOOKUP($C30,'Food Pairing Data'!$C$2:$S$188,5)</f>
        <v>0</v>
      </c>
      <c r="V30" s="6">
        <f>VLOOKUP($C30,'Food Pairing Data'!$C$2:$S$188,6)</f>
        <v>0</v>
      </c>
      <c r="W30" s="6">
        <f>VLOOKUP($C30,'Food Pairing Data'!$C$2:$S$188,7)</f>
        <v>0</v>
      </c>
      <c r="X30" s="6">
        <f>VLOOKUP($C30,'Food Pairing Data'!$C$2:$S$188,8)</f>
        <v>1</v>
      </c>
      <c r="Y30" s="6">
        <f>VLOOKUP($C30,'Food Pairing Data'!$C$2:$S$188,9)</f>
        <v>0</v>
      </c>
      <c r="Z30" s="6">
        <f>VLOOKUP($C30,'Food Pairing Data'!$C$2:$S$188,10)</f>
        <v>1</v>
      </c>
      <c r="AA30" s="6">
        <f>VLOOKUP($C30,'Food Pairing Data'!$C$2:$S$188,11)</f>
        <v>0</v>
      </c>
      <c r="AB30" s="6">
        <f>VLOOKUP($C30,'Food Pairing Data'!$C$2:$S$188,12)</f>
        <v>0</v>
      </c>
      <c r="AC30" s="6">
        <f>VLOOKUP($C30,'Food Pairing Data'!$C$2:$S$188,13)</f>
        <v>0</v>
      </c>
      <c r="AD30" s="6">
        <f>VLOOKUP($C30,'Food Pairing Data'!$C$2:$S$188,14)</f>
        <v>0</v>
      </c>
      <c r="AE30" s="6">
        <f>VLOOKUP($C30,'Food Pairing Data'!$C$2:$S$188,15)</f>
        <v>0</v>
      </c>
      <c r="AF30" s="6">
        <f>VLOOKUP($C30,'Food Pairing Data'!$C$2:$S$188,16)</f>
        <v>0</v>
      </c>
      <c r="AG30" s="6">
        <f>VLOOKUP($C30,'Food Pairing Data'!$C$2:$S$188,17)</f>
        <v>0</v>
      </c>
      <c r="AH30" s="6" t="s">
        <v>288</v>
      </c>
      <c r="AI30" s="6" t="s">
        <v>163</v>
      </c>
    </row>
    <row r="31" spans="1:35" ht="14">
      <c r="A31" s="6">
        <f t="shared" si="1"/>
        <v>29</v>
      </c>
      <c r="B31" s="6" t="s">
        <v>23</v>
      </c>
      <c r="C31" s="6" t="s">
        <v>289</v>
      </c>
      <c r="D31" s="6" t="s">
        <v>163</v>
      </c>
      <c r="E31" s="22">
        <f>HLOOKUP('Output (Dessert)'!$F$4,'Raw Data (Dessert)'!$U$2:$BP$88,(A31+1),)</f>
        <v>0</v>
      </c>
      <c r="F31" s="23">
        <f>IF(D31='Output (Dessert)'!$B$4,1,0)</f>
        <v>1</v>
      </c>
      <c r="G31" s="23">
        <f>IF(L31&lt;='Output (Dessert)'!$C$4,(200-'Raw Data (Dessert)'!L31),0)</f>
        <v>188.01</v>
      </c>
      <c r="H31" s="23">
        <v>4</v>
      </c>
      <c r="I31" s="24">
        <f>SUMPRODUCT(F31:H31,'Output (Dessert)'!$B$5:$D$5)*E31</f>
        <v>0</v>
      </c>
      <c r="J31" s="25">
        <v>0</v>
      </c>
      <c r="K31" s="49">
        <f t="shared" si="0"/>
        <v>0</v>
      </c>
      <c r="L31" s="20">
        <v>11.99</v>
      </c>
      <c r="M31" s="6" t="s">
        <v>361</v>
      </c>
      <c r="N31" s="6" t="s">
        <v>404</v>
      </c>
      <c r="O31" s="6" t="s">
        <v>405</v>
      </c>
      <c r="P31" s="6" t="s">
        <v>406</v>
      </c>
      <c r="Q31" s="26">
        <v>14.5</v>
      </c>
      <c r="R31" s="6" t="s">
        <v>195</v>
      </c>
      <c r="S31" s="6" t="s">
        <v>199</v>
      </c>
      <c r="T31" s="6" t="s">
        <v>190</v>
      </c>
      <c r="U31" s="6">
        <f>VLOOKUP($C31,'Food Pairing Data'!$C$2:$S$188,5)</f>
        <v>0</v>
      </c>
      <c r="V31" s="6">
        <f>VLOOKUP($C31,'Food Pairing Data'!$C$2:$S$188,6)</f>
        <v>0</v>
      </c>
      <c r="W31" s="6">
        <f>VLOOKUP($C31,'Food Pairing Data'!$C$2:$S$188,7)</f>
        <v>0</v>
      </c>
      <c r="X31" s="6">
        <f>VLOOKUP($C31,'Food Pairing Data'!$C$2:$S$188,8)</f>
        <v>1</v>
      </c>
      <c r="Y31" s="6">
        <f>VLOOKUP($C31,'Food Pairing Data'!$C$2:$S$188,9)</f>
        <v>0</v>
      </c>
      <c r="Z31" s="6">
        <f>VLOOKUP($C31,'Food Pairing Data'!$C$2:$S$188,10)</f>
        <v>1</v>
      </c>
      <c r="AA31" s="6">
        <f>VLOOKUP($C31,'Food Pairing Data'!$C$2:$S$188,11)</f>
        <v>0</v>
      </c>
      <c r="AB31" s="6">
        <f>VLOOKUP($C31,'Food Pairing Data'!$C$2:$S$188,12)</f>
        <v>0</v>
      </c>
      <c r="AC31" s="6">
        <f>VLOOKUP($C31,'Food Pairing Data'!$C$2:$S$188,13)</f>
        <v>0</v>
      </c>
      <c r="AD31" s="6">
        <f>VLOOKUP($C31,'Food Pairing Data'!$C$2:$S$188,14)</f>
        <v>0</v>
      </c>
      <c r="AE31" s="6">
        <f>VLOOKUP($C31,'Food Pairing Data'!$C$2:$S$188,15)</f>
        <v>0</v>
      </c>
      <c r="AF31" s="6">
        <f>VLOOKUP($C31,'Food Pairing Data'!$C$2:$S$188,16)</f>
        <v>0</v>
      </c>
      <c r="AG31" s="6">
        <f>VLOOKUP($C31,'Food Pairing Data'!$C$2:$S$188,17)</f>
        <v>0</v>
      </c>
      <c r="AH31" s="6" t="s">
        <v>289</v>
      </c>
      <c r="AI31" s="6" t="s">
        <v>163</v>
      </c>
    </row>
    <row r="32" spans="1:35" ht="14">
      <c r="A32" s="6">
        <f t="shared" si="1"/>
        <v>30</v>
      </c>
      <c r="B32" s="6" t="s">
        <v>245</v>
      </c>
      <c r="C32" s="6" t="s">
        <v>290</v>
      </c>
      <c r="D32" s="6" t="s">
        <v>163</v>
      </c>
      <c r="E32" s="22">
        <f>HLOOKUP('Output (Dessert)'!$F$4,'Raw Data (Dessert)'!$U$2:$BP$88,(A32+1),)</f>
        <v>0</v>
      </c>
      <c r="F32" s="23">
        <f>IF(D32='Output (Dessert)'!$B$4,1,0)</f>
        <v>1</v>
      </c>
      <c r="G32" s="23">
        <f>IF(L32&lt;='Output (Dessert)'!$C$4,(200-'Raw Data (Dessert)'!L32),0)</f>
        <v>191.01</v>
      </c>
      <c r="H32" s="23">
        <v>4.5</v>
      </c>
      <c r="I32" s="24">
        <f>SUMPRODUCT(F32:H32,'Output (Dessert)'!$B$5:$D$5)*E32</f>
        <v>0</v>
      </c>
      <c r="J32" s="25">
        <v>0</v>
      </c>
      <c r="K32" s="49">
        <f t="shared" si="0"/>
        <v>0</v>
      </c>
      <c r="L32" s="20">
        <v>8.99</v>
      </c>
      <c r="M32" s="6" t="s">
        <v>264</v>
      </c>
      <c r="N32" s="6" t="s">
        <v>408</v>
      </c>
      <c r="O32" s="6" t="s">
        <v>409</v>
      </c>
      <c r="P32" s="6" t="s">
        <v>401</v>
      </c>
      <c r="Q32" s="26">
        <v>13</v>
      </c>
      <c r="R32" s="6" t="s">
        <v>199</v>
      </c>
      <c r="S32" s="6" t="s">
        <v>195</v>
      </c>
      <c r="T32" s="6" t="s">
        <v>411</v>
      </c>
      <c r="U32" s="6">
        <v>1</v>
      </c>
      <c r="V32" s="6">
        <v>1</v>
      </c>
      <c r="W32" s="6">
        <v>1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>
        <v>0</v>
      </c>
      <c r="AH32" s="6" t="s">
        <v>290</v>
      </c>
      <c r="AI32" s="6" t="s">
        <v>163</v>
      </c>
    </row>
    <row r="33" spans="1:35" ht="14">
      <c r="A33" s="6">
        <f t="shared" si="1"/>
        <v>31</v>
      </c>
      <c r="B33" s="6" t="s">
        <v>161</v>
      </c>
      <c r="C33" s="6" t="s">
        <v>259</v>
      </c>
      <c r="D33" s="6" t="s">
        <v>163</v>
      </c>
      <c r="E33" s="22">
        <f>HLOOKUP('Output (Dessert)'!$F$4,'Raw Data (Dessert)'!$U$2:$BP$88,(A33+1),)</f>
        <v>0</v>
      </c>
      <c r="F33" s="23">
        <f>IF(D33='Output (Dessert)'!$B$4,1,0)</f>
        <v>1</v>
      </c>
      <c r="G33" s="23">
        <f>IF(L33&lt;='Output (Dessert)'!$C$4,(200-'Raw Data (Dessert)'!L33),0)</f>
        <v>0</v>
      </c>
      <c r="H33" s="23">
        <v>4.5</v>
      </c>
      <c r="I33" s="24">
        <f>SUMPRODUCT(F33:H33,'Output (Dessert)'!$B$5:$D$5)*E33</f>
        <v>0</v>
      </c>
      <c r="J33" s="25">
        <v>0</v>
      </c>
      <c r="K33" s="49">
        <f t="shared" si="0"/>
        <v>0</v>
      </c>
      <c r="L33" s="20">
        <v>84.99</v>
      </c>
      <c r="M33" s="6" t="s">
        <v>412</v>
      </c>
      <c r="N33" s="6" t="s">
        <v>413</v>
      </c>
      <c r="O33" s="6" t="s">
        <v>414</v>
      </c>
      <c r="P33" s="6" t="s">
        <v>335</v>
      </c>
      <c r="Q33" s="26">
        <v>14</v>
      </c>
      <c r="R33" s="6" t="s">
        <v>192</v>
      </c>
      <c r="S33" s="6" t="s">
        <v>340</v>
      </c>
      <c r="T33" s="6" t="s">
        <v>190</v>
      </c>
      <c r="U33" s="6">
        <f>VLOOKUP($C33,'Food Pairing Data'!$C$2:$S$188,5)</f>
        <v>0</v>
      </c>
      <c r="V33" s="6">
        <f>VLOOKUP($C33,'Food Pairing Data'!$C$2:$S$188,6)</f>
        <v>0</v>
      </c>
      <c r="W33" s="6">
        <f>VLOOKUP($C33,'Food Pairing Data'!$C$2:$S$188,7)</f>
        <v>0</v>
      </c>
      <c r="X33" s="6">
        <f>VLOOKUP($C33,'Food Pairing Data'!$C$2:$S$188,8)</f>
        <v>1</v>
      </c>
      <c r="Y33" s="6">
        <f>VLOOKUP($C33,'Food Pairing Data'!$C$2:$S$188,9)</f>
        <v>0</v>
      </c>
      <c r="Z33" s="6">
        <f>VLOOKUP($C33,'Food Pairing Data'!$C$2:$S$188,10)</f>
        <v>1</v>
      </c>
      <c r="AA33" s="6">
        <f>VLOOKUP($C33,'Food Pairing Data'!$C$2:$S$188,11)</f>
        <v>0</v>
      </c>
      <c r="AB33" s="6">
        <f>VLOOKUP($C33,'Food Pairing Data'!$C$2:$S$188,12)</f>
        <v>0</v>
      </c>
      <c r="AC33" s="6">
        <f>VLOOKUP($C33,'Food Pairing Data'!$C$2:$S$188,13)</f>
        <v>0</v>
      </c>
      <c r="AD33" s="6">
        <f>VLOOKUP($C33,'Food Pairing Data'!$C$2:$S$188,14)</f>
        <v>0</v>
      </c>
      <c r="AE33" s="6">
        <f>VLOOKUP($C33,'Food Pairing Data'!$C$2:$S$188,15)</f>
        <v>0</v>
      </c>
      <c r="AF33" s="6">
        <f>VLOOKUP($C33,'Food Pairing Data'!$C$2:$S$188,16)</f>
        <v>0</v>
      </c>
      <c r="AG33" s="6">
        <f>VLOOKUP($C33,'Food Pairing Data'!$C$2:$S$188,17)</f>
        <v>0</v>
      </c>
      <c r="AH33" s="6" t="s">
        <v>259</v>
      </c>
      <c r="AI33" s="6" t="s">
        <v>163</v>
      </c>
    </row>
    <row r="34" spans="1:35" ht="14">
      <c r="A34" s="6">
        <f t="shared" si="1"/>
        <v>32</v>
      </c>
      <c r="B34" s="6" t="s">
        <v>181</v>
      </c>
      <c r="C34" s="6" t="s">
        <v>293</v>
      </c>
      <c r="D34" s="6" t="s">
        <v>163</v>
      </c>
      <c r="E34" s="22">
        <f>HLOOKUP('Output (Dessert)'!$F$4,'Raw Data (Dessert)'!$U$2:$BP$88,(A34+1),)</f>
        <v>0</v>
      </c>
      <c r="F34" s="23">
        <f>IF(D34='Output (Dessert)'!$B$4,1,0)</f>
        <v>1</v>
      </c>
      <c r="G34" s="23">
        <f>IF(L34&lt;='Output (Dessert)'!$C$4,(200-'Raw Data (Dessert)'!L34),0)</f>
        <v>0</v>
      </c>
      <c r="H34" s="23">
        <v>3.5</v>
      </c>
      <c r="I34" s="24">
        <f>SUMPRODUCT(F34:H34,'Output (Dessert)'!$B$5:$D$5)*E34</f>
        <v>0</v>
      </c>
      <c r="J34" s="25">
        <v>0</v>
      </c>
      <c r="K34" s="49">
        <f t="shared" si="0"/>
        <v>0</v>
      </c>
      <c r="L34" s="20">
        <v>39.99</v>
      </c>
      <c r="M34" s="6" t="s">
        <v>256</v>
      </c>
      <c r="N34" s="6" t="s">
        <v>257</v>
      </c>
      <c r="O34" s="6" t="s">
        <v>258</v>
      </c>
      <c r="P34" s="6" t="s">
        <v>420</v>
      </c>
      <c r="Q34" s="26">
        <v>13</v>
      </c>
      <c r="R34" s="6" t="s">
        <v>193</v>
      </c>
      <c r="S34" s="6" t="s">
        <v>340</v>
      </c>
      <c r="T34" s="6" t="s">
        <v>262</v>
      </c>
      <c r="U34" s="6">
        <f>VLOOKUP($C34,'Food Pairing Data'!$C$2:$S$188,5)</f>
        <v>0</v>
      </c>
      <c r="V34" s="6">
        <f>VLOOKUP($C34,'Food Pairing Data'!$C$2:$S$188,6)</f>
        <v>0</v>
      </c>
      <c r="W34" s="6">
        <f>VLOOKUP($C34,'Food Pairing Data'!$C$2:$S$188,7)</f>
        <v>0</v>
      </c>
      <c r="X34" s="6">
        <f>VLOOKUP($C34,'Food Pairing Data'!$C$2:$S$188,8)</f>
        <v>0</v>
      </c>
      <c r="Y34" s="6">
        <f>VLOOKUP($C34,'Food Pairing Data'!$C$2:$S$188,9)</f>
        <v>0</v>
      </c>
      <c r="Z34" s="6">
        <f>VLOOKUP($C34,'Food Pairing Data'!$C$2:$S$188,10)</f>
        <v>0</v>
      </c>
      <c r="AA34" s="6">
        <f>VLOOKUP($C34,'Food Pairing Data'!$C$2:$S$188,11)</f>
        <v>0</v>
      </c>
      <c r="AB34" s="6">
        <f>VLOOKUP($C34,'Food Pairing Data'!$C$2:$S$188,12)</f>
        <v>0</v>
      </c>
      <c r="AC34" s="6">
        <f>VLOOKUP($C34,'Food Pairing Data'!$C$2:$S$188,13)</f>
        <v>0</v>
      </c>
      <c r="AD34" s="6">
        <f>VLOOKUP($C34,'Food Pairing Data'!$C$2:$S$188,14)</f>
        <v>1</v>
      </c>
      <c r="AE34" s="6">
        <f>VLOOKUP($C34,'Food Pairing Data'!$C$2:$S$188,15)</f>
        <v>0</v>
      </c>
      <c r="AF34" s="6">
        <f>VLOOKUP($C34,'Food Pairing Data'!$C$2:$S$188,16)</f>
        <v>0</v>
      </c>
      <c r="AG34" s="6">
        <f>VLOOKUP($C34,'Food Pairing Data'!$C$2:$S$188,17)</f>
        <v>0</v>
      </c>
      <c r="AH34" s="6" t="s">
        <v>293</v>
      </c>
      <c r="AI34" s="6" t="s">
        <v>163</v>
      </c>
    </row>
    <row r="35" spans="1:35" ht="14">
      <c r="A35" s="6">
        <f t="shared" si="1"/>
        <v>33</v>
      </c>
      <c r="B35" s="6" t="s">
        <v>181</v>
      </c>
      <c r="C35" s="6" t="s">
        <v>263</v>
      </c>
      <c r="D35" s="6" t="s">
        <v>163</v>
      </c>
      <c r="E35" s="22">
        <f>HLOOKUP('Output (Dessert)'!$F$4,'Raw Data (Dessert)'!$U$2:$BP$88,(A35+1),)</f>
        <v>0</v>
      </c>
      <c r="F35" s="23">
        <f>IF(D35='Output (Dessert)'!$B$4,1,0)</f>
        <v>1</v>
      </c>
      <c r="G35" s="23">
        <f>IF(L35&lt;='Output (Dessert)'!$C$4,(200-'Raw Data (Dessert)'!L35),0)</f>
        <v>0</v>
      </c>
      <c r="H35" s="23">
        <v>3.5</v>
      </c>
      <c r="I35" s="24">
        <f>SUMPRODUCT(F35:H35,'Output (Dessert)'!$B$5:$D$5)*E35</f>
        <v>0</v>
      </c>
      <c r="J35" s="25">
        <v>0</v>
      </c>
      <c r="K35" s="49">
        <f t="shared" si="0"/>
        <v>0</v>
      </c>
      <c r="L35" s="20">
        <v>34.99</v>
      </c>
      <c r="M35" s="6" t="s">
        <v>264</v>
      </c>
      <c r="N35" s="6" t="s">
        <v>265</v>
      </c>
      <c r="O35" s="6" t="s">
        <v>266</v>
      </c>
      <c r="P35" s="6" t="s">
        <v>267</v>
      </c>
      <c r="Q35" s="26">
        <v>14</v>
      </c>
      <c r="R35" s="6" t="s">
        <v>195</v>
      </c>
      <c r="S35" s="6" t="s">
        <v>190</v>
      </c>
      <c r="T35" s="6" t="s">
        <v>270</v>
      </c>
      <c r="U35" s="6">
        <f>VLOOKUP($C35,'Food Pairing Data'!$C$2:$S$188,5)</f>
        <v>0</v>
      </c>
      <c r="V35" s="6">
        <f>VLOOKUP($C35,'Food Pairing Data'!$C$2:$S$188,6)</f>
        <v>0</v>
      </c>
      <c r="W35" s="6">
        <f>VLOOKUP($C35,'Food Pairing Data'!$C$2:$S$188,7)</f>
        <v>1</v>
      </c>
      <c r="X35" s="6">
        <f>VLOOKUP($C35,'Food Pairing Data'!$C$2:$S$188,8)</f>
        <v>1</v>
      </c>
      <c r="Y35" s="6">
        <f>VLOOKUP($C35,'Food Pairing Data'!$C$2:$S$188,9)</f>
        <v>0</v>
      </c>
      <c r="Z35" s="6">
        <f>VLOOKUP($C35,'Food Pairing Data'!$C$2:$S$188,10)</f>
        <v>0</v>
      </c>
      <c r="AA35" s="6">
        <f>VLOOKUP($C35,'Food Pairing Data'!$C$2:$S$188,11)</f>
        <v>0</v>
      </c>
      <c r="AB35" s="6">
        <f>VLOOKUP($C35,'Food Pairing Data'!$C$2:$S$188,12)</f>
        <v>0</v>
      </c>
      <c r="AC35" s="6">
        <f>VLOOKUP($C35,'Food Pairing Data'!$C$2:$S$188,13)</f>
        <v>0</v>
      </c>
      <c r="AD35" s="6">
        <f>VLOOKUP($C35,'Food Pairing Data'!$C$2:$S$188,14)</f>
        <v>0</v>
      </c>
      <c r="AE35" s="6">
        <f>VLOOKUP($C35,'Food Pairing Data'!$C$2:$S$188,15)</f>
        <v>0</v>
      </c>
      <c r="AF35" s="6">
        <f>VLOOKUP($C35,'Food Pairing Data'!$C$2:$S$188,16)</f>
        <v>0</v>
      </c>
      <c r="AG35" s="6">
        <f>VLOOKUP($C35,'Food Pairing Data'!$C$2:$S$188,17)</f>
        <v>0</v>
      </c>
      <c r="AH35" s="6" t="s">
        <v>263</v>
      </c>
      <c r="AI35" s="6" t="s">
        <v>163</v>
      </c>
    </row>
    <row r="36" spans="1:35" ht="14">
      <c r="A36" s="6">
        <f t="shared" si="1"/>
        <v>34</v>
      </c>
      <c r="B36" s="6" t="s">
        <v>23</v>
      </c>
      <c r="C36" s="6" t="s">
        <v>271</v>
      </c>
      <c r="D36" s="6" t="s">
        <v>163</v>
      </c>
      <c r="E36" s="22">
        <f>HLOOKUP('Output (Dessert)'!$F$4,'Raw Data (Dessert)'!$U$2:$BP$88,(A36+1),)</f>
        <v>0</v>
      </c>
      <c r="F36" s="23">
        <f>IF(D36='Output (Dessert)'!$B$4,1,0)</f>
        <v>1</v>
      </c>
      <c r="G36" s="23">
        <f>IF(L36&lt;='Output (Dessert)'!$C$4,(200-'Raw Data (Dessert)'!L36),0)</f>
        <v>180.01</v>
      </c>
      <c r="H36" s="23">
        <v>3.5</v>
      </c>
      <c r="I36" s="24">
        <f>SUMPRODUCT(F36:H36,'Output (Dessert)'!$B$5:$D$5)*E36</f>
        <v>0</v>
      </c>
      <c r="J36" s="25">
        <v>0</v>
      </c>
      <c r="K36" s="49">
        <f t="shared" si="0"/>
        <v>0</v>
      </c>
      <c r="L36" s="20">
        <v>19.989999999999998</v>
      </c>
      <c r="M36" s="6" t="s">
        <v>197</v>
      </c>
      <c r="N36" s="6" t="s">
        <v>273</v>
      </c>
      <c r="O36" s="6" t="s">
        <v>274</v>
      </c>
      <c r="P36" s="6" t="s">
        <v>275</v>
      </c>
      <c r="Q36" s="26">
        <v>12.5</v>
      </c>
      <c r="R36" s="6" t="s">
        <v>192</v>
      </c>
      <c r="S36" s="6" t="s">
        <v>195</v>
      </c>
      <c r="T36" s="6" t="s">
        <v>190</v>
      </c>
      <c r="U36" s="6">
        <f>VLOOKUP($C36,'Food Pairing Data'!$C$2:$S$188,5)</f>
        <v>0</v>
      </c>
      <c r="V36" s="6">
        <f>VLOOKUP($C36,'Food Pairing Data'!$C$2:$S$188,6)</f>
        <v>0</v>
      </c>
      <c r="W36" s="6">
        <f>VLOOKUP($C36,'Food Pairing Data'!$C$2:$S$188,7)</f>
        <v>0</v>
      </c>
      <c r="X36" s="6">
        <f>VLOOKUP($C36,'Food Pairing Data'!$C$2:$S$188,8)</f>
        <v>0</v>
      </c>
      <c r="Y36" s="6">
        <f>VLOOKUP($C36,'Food Pairing Data'!$C$2:$S$188,9)</f>
        <v>0</v>
      </c>
      <c r="Z36" s="6">
        <f>VLOOKUP($C36,'Food Pairing Data'!$C$2:$S$188,10)</f>
        <v>0</v>
      </c>
      <c r="AA36" s="6">
        <f>VLOOKUP($C36,'Food Pairing Data'!$C$2:$S$188,11)</f>
        <v>0</v>
      </c>
      <c r="AB36" s="6">
        <f>VLOOKUP($C36,'Food Pairing Data'!$C$2:$S$188,12)</f>
        <v>0</v>
      </c>
      <c r="AC36" s="6">
        <f>VLOOKUP($C36,'Food Pairing Data'!$C$2:$S$188,13)</f>
        <v>0</v>
      </c>
      <c r="AD36" s="6">
        <f>VLOOKUP($C36,'Food Pairing Data'!$C$2:$S$188,14)</f>
        <v>1</v>
      </c>
      <c r="AE36" s="6">
        <f>VLOOKUP($C36,'Food Pairing Data'!$C$2:$S$188,15)</f>
        <v>0</v>
      </c>
      <c r="AF36" s="6">
        <f>VLOOKUP($C36,'Food Pairing Data'!$C$2:$S$188,16)</f>
        <v>0</v>
      </c>
      <c r="AG36" s="6">
        <f>VLOOKUP($C36,'Food Pairing Data'!$C$2:$S$188,17)</f>
        <v>0</v>
      </c>
      <c r="AH36" s="6" t="s">
        <v>271</v>
      </c>
      <c r="AI36" s="6" t="s">
        <v>163</v>
      </c>
    </row>
    <row r="37" spans="1:35" ht="14">
      <c r="A37" s="6">
        <f t="shared" si="1"/>
        <v>35</v>
      </c>
      <c r="B37" s="6" t="s">
        <v>23</v>
      </c>
      <c r="C37" s="6" t="s">
        <v>277</v>
      </c>
      <c r="D37" s="6" t="s">
        <v>163</v>
      </c>
      <c r="E37" s="22">
        <f>HLOOKUP('Output (Dessert)'!$F$4,'Raw Data (Dessert)'!$U$2:$BP$88,(A37+1),)</f>
        <v>0</v>
      </c>
      <c r="F37" s="23">
        <f>IF(D37='Output (Dessert)'!$B$4,1,0)</f>
        <v>1</v>
      </c>
      <c r="G37" s="23">
        <f>IF(L37&lt;='Output (Dessert)'!$C$4,(200-'Raw Data (Dessert)'!L37),0)</f>
        <v>181.01</v>
      </c>
      <c r="H37" s="23">
        <v>3.5</v>
      </c>
      <c r="I37" s="24">
        <f>SUMPRODUCT(F37:H37,'Output (Dessert)'!$B$5:$D$5)*E37</f>
        <v>0</v>
      </c>
      <c r="J37" s="25">
        <v>0</v>
      </c>
      <c r="K37" s="49">
        <f t="shared" si="0"/>
        <v>0</v>
      </c>
      <c r="L37" s="20">
        <v>18.989999999999998</v>
      </c>
      <c r="M37" s="6" t="s">
        <v>412</v>
      </c>
      <c r="N37" s="6" t="s">
        <v>278</v>
      </c>
      <c r="O37" s="6" t="s">
        <v>279</v>
      </c>
      <c r="P37" s="6" t="s">
        <v>335</v>
      </c>
      <c r="Q37" s="26">
        <v>12.9</v>
      </c>
      <c r="R37" s="6" t="s">
        <v>192</v>
      </c>
      <c r="S37" s="6" t="s">
        <v>340</v>
      </c>
      <c r="T37" s="6" t="s">
        <v>190</v>
      </c>
      <c r="U37" s="6">
        <f>VLOOKUP($C37,'Food Pairing Data'!$C$2:$S$188,5)</f>
        <v>0</v>
      </c>
      <c r="V37" s="6">
        <f>VLOOKUP($C37,'Food Pairing Data'!$C$2:$S$188,6)</f>
        <v>0</v>
      </c>
      <c r="W37" s="6">
        <f>VLOOKUP($C37,'Food Pairing Data'!$C$2:$S$188,7)</f>
        <v>0</v>
      </c>
      <c r="X37" s="6">
        <f>VLOOKUP($C37,'Food Pairing Data'!$C$2:$S$188,8)</f>
        <v>0</v>
      </c>
      <c r="Y37" s="6">
        <f>VLOOKUP($C37,'Food Pairing Data'!$C$2:$S$188,9)</f>
        <v>0</v>
      </c>
      <c r="Z37" s="6">
        <f>VLOOKUP($C37,'Food Pairing Data'!$C$2:$S$188,10)</f>
        <v>0</v>
      </c>
      <c r="AA37" s="6">
        <f>VLOOKUP($C37,'Food Pairing Data'!$C$2:$S$188,11)</f>
        <v>0</v>
      </c>
      <c r="AB37" s="6">
        <f>VLOOKUP($C37,'Food Pairing Data'!$C$2:$S$188,12)</f>
        <v>0</v>
      </c>
      <c r="AC37" s="6">
        <f>VLOOKUP($C37,'Food Pairing Data'!$C$2:$S$188,13)</f>
        <v>0</v>
      </c>
      <c r="AD37" s="6">
        <f>VLOOKUP($C37,'Food Pairing Data'!$C$2:$S$188,14)</f>
        <v>1</v>
      </c>
      <c r="AE37" s="6">
        <f>VLOOKUP($C37,'Food Pairing Data'!$C$2:$S$188,15)</f>
        <v>0</v>
      </c>
      <c r="AF37" s="6">
        <f>VLOOKUP($C37,'Food Pairing Data'!$C$2:$S$188,16)</f>
        <v>0</v>
      </c>
      <c r="AG37" s="6">
        <f>VLOOKUP($C37,'Food Pairing Data'!$C$2:$S$188,17)</f>
        <v>0</v>
      </c>
      <c r="AH37" s="6" t="s">
        <v>277</v>
      </c>
      <c r="AI37" s="6" t="s">
        <v>163</v>
      </c>
    </row>
    <row r="38" spans="1:35" ht="14">
      <c r="A38" s="6">
        <f t="shared" si="1"/>
        <v>36</v>
      </c>
      <c r="B38" s="6" t="s">
        <v>23</v>
      </c>
      <c r="C38" s="6" t="s">
        <v>280</v>
      </c>
      <c r="D38" s="6" t="s">
        <v>163</v>
      </c>
      <c r="E38" s="22">
        <f>HLOOKUP('Output (Dessert)'!$F$4,'Raw Data (Dessert)'!$U$2:$BP$88,(A38+1),)</f>
        <v>0</v>
      </c>
      <c r="F38" s="23">
        <f>IF(D38='Output (Dessert)'!$B$4,1,0)</f>
        <v>1</v>
      </c>
      <c r="G38" s="23">
        <f>IF(L38&lt;='Output (Dessert)'!$C$4,(200-'Raw Data (Dessert)'!L38),0)</f>
        <v>182.01</v>
      </c>
      <c r="H38" s="23">
        <v>3.5</v>
      </c>
      <c r="I38" s="24">
        <f>SUMPRODUCT(F38:H38,'Output (Dessert)'!$B$5:$D$5)*E38</f>
        <v>0</v>
      </c>
      <c r="J38" s="25">
        <v>0</v>
      </c>
      <c r="K38" s="49">
        <f t="shared" si="0"/>
        <v>0</v>
      </c>
      <c r="L38" s="20">
        <v>17.989999999999998</v>
      </c>
      <c r="M38" s="6" t="s">
        <v>339</v>
      </c>
      <c r="N38" s="6" t="s">
        <v>281</v>
      </c>
      <c r="O38" s="6" t="s">
        <v>282</v>
      </c>
      <c r="P38" s="6" t="s">
        <v>283</v>
      </c>
      <c r="Q38" s="26">
        <v>13</v>
      </c>
      <c r="R38" s="6" t="s">
        <v>340</v>
      </c>
      <c r="S38" s="6" t="s">
        <v>192</v>
      </c>
      <c r="T38" s="6" t="s">
        <v>411</v>
      </c>
      <c r="U38" s="6">
        <f>VLOOKUP($C38,'Food Pairing Data'!$C$2:$S$188,5)</f>
        <v>0</v>
      </c>
      <c r="V38" s="6">
        <f>VLOOKUP($C38,'Food Pairing Data'!$C$2:$S$188,6)</f>
        <v>0</v>
      </c>
      <c r="W38" s="6">
        <f>VLOOKUP($C38,'Food Pairing Data'!$C$2:$S$188,7)</f>
        <v>0</v>
      </c>
      <c r="X38" s="6">
        <f>VLOOKUP($C38,'Food Pairing Data'!$C$2:$S$188,8)</f>
        <v>0</v>
      </c>
      <c r="Y38" s="6">
        <f>VLOOKUP($C38,'Food Pairing Data'!$C$2:$S$188,9)</f>
        <v>0</v>
      </c>
      <c r="Z38" s="6">
        <f>VLOOKUP($C38,'Food Pairing Data'!$C$2:$S$188,10)</f>
        <v>0</v>
      </c>
      <c r="AA38" s="6">
        <f>VLOOKUP($C38,'Food Pairing Data'!$C$2:$S$188,11)</f>
        <v>0</v>
      </c>
      <c r="AB38" s="6">
        <f>VLOOKUP($C38,'Food Pairing Data'!$C$2:$S$188,12)</f>
        <v>0</v>
      </c>
      <c r="AC38" s="6">
        <f>VLOOKUP($C38,'Food Pairing Data'!$C$2:$S$188,13)</f>
        <v>0</v>
      </c>
      <c r="AD38" s="6">
        <f>VLOOKUP($C38,'Food Pairing Data'!$C$2:$S$188,14)</f>
        <v>1</v>
      </c>
      <c r="AE38" s="6">
        <f>VLOOKUP($C38,'Food Pairing Data'!$C$2:$S$188,15)</f>
        <v>0</v>
      </c>
      <c r="AF38" s="6">
        <f>VLOOKUP($C38,'Food Pairing Data'!$C$2:$S$188,16)</f>
        <v>0</v>
      </c>
      <c r="AG38" s="6">
        <f>VLOOKUP($C38,'Food Pairing Data'!$C$2:$S$188,17)</f>
        <v>0</v>
      </c>
      <c r="AH38" s="6" t="s">
        <v>280</v>
      </c>
      <c r="AI38" s="6" t="s">
        <v>163</v>
      </c>
    </row>
    <row r="39" spans="1:35" ht="14">
      <c r="A39" s="6">
        <f t="shared" si="1"/>
        <v>37</v>
      </c>
      <c r="B39" s="6" t="s">
        <v>245</v>
      </c>
      <c r="C39" s="6" t="s">
        <v>284</v>
      </c>
      <c r="D39" s="6" t="s">
        <v>163</v>
      </c>
      <c r="E39" s="22">
        <f>HLOOKUP('Output (Dessert)'!$F$4,'Raw Data (Dessert)'!$U$2:$BP$88,(A39+1),)</f>
        <v>0</v>
      </c>
      <c r="F39" s="23">
        <f>IF(D39='Output (Dessert)'!$B$4,1,0)</f>
        <v>1</v>
      </c>
      <c r="G39" s="23">
        <f>IF(L39&lt;='Output (Dessert)'!$C$4,(200-'Raw Data (Dessert)'!L39),0)</f>
        <v>192.01</v>
      </c>
      <c r="H39" s="23">
        <v>3.5</v>
      </c>
      <c r="I39" s="24">
        <f>SUMPRODUCT(F39:H39,'Output (Dessert)'!$B$5:$D$5)*E39</f>
        <v>0</v>
      </c>
      <c r="J39" s="25">
        <v>0</v>
      </c>
      <c r="K39" s="49">
        <f t="shared" si="0"/>
        <v>0</v>
      </c>
      <c r="L39" s="20">
        <v>7.99</v>
      </c>
      <c r="M39" s="6" t="s">
        <v>285</v>
      </c>
      <c r="N39" s="6" t="s">
        <v>286</v>
      </c>
      <c r="O39" s="6" t="s">
        <v>287</v>
      </c>
      <c r="P39" s="6" t="s">
        <v>420</v>
      </c>
      <c r="Q39" s="26">
        <v>13</v>
      </c>
      <c r="R39" s="6" t="s">
        <v>190</v>
      </c>
      <c r="S39" s="6" t="s">
        <v>353</v>
      </c>
      <c r="T39" s="6" t="s">
        <v>262</v>
      </c>
      <c r="U39" s="6">
        <f>VLOOKUP($C39,'Food Pairing Data'!$C$2:$S$188,5)</f>
        <v>0</v>
      </c>
      <c r="V39" s="6">
        <f>VLOOKUP($C39,'Food Pairing Data'!$C$2:$S$188,6)</f>
        <v>0</v>
      </c>
      <c r="W39" s="6">
        <f>VLOOKUP($C39,'Food Pairing Data'!$C$2:$S$188,7)</f>
        <v>0</v>
      </c>
      <c r="X39" s="6">
        <f>VLOOKUP($C39,'Food Pairing Data'!$C$2:$S$188,8)</f>
        <v>0</v>
      </c>
      <c r="Y39" s="6">
        <f>VLOOKUP($C39,'Food Pairing Data'!$C$2:$S$188,9)</f>
        <v>0</v>
      </c>
      <c r="Z39" s="6">
        <f>VLOOKUP($C39,'Food Pairing Data'!$C$2:$S$188,10)</f>
        <v>0</v>
      </c>
      <c r="AA39" s="6">
        <f>VLOOKUP($C39,'Food Pairing Data'!$C$2:$S$188,11)</f>
        <v>0</v>
      </c>
      <c r="AB39" s="6">
        <f>VLOOKUP($C39,'Food Pairing Data'!$C$2:$S$188,12)</f>
        <v>0</v>
      </c>
      <c r="AC39" s="6">
        <f>VLOOKUP($C39,'Food Pairing Data'!$C$2:$S$188,13)</f>
        <v>0</v>
      </c>
      <c r="AD39" s="6">
        <f>VLOOKUP($C39,'Food Pairing Data'!$C$2:$S$188,14)</f>
        <v>1</v>
      </c>
      <c r="AE39" s="6">
        <f>VLOOKUP($C39,'Food Pairing Data'!$C$2:$S$188,15)</f>
        <v>0</v>
      </c>
      <c r="AF39" s="6">
        <f>VLOOKUP($C39,'Food Pairing Data'!$C$2:$S$188,16)</f>
        <v>0</v>
      </c>
      <c r="AG39" s="6">
        <f>VLOOKUP($C39,'Food Pairing Data'!$C$2:$S$188,17)</f>
        <v>0</v>
      </c>
      <c r="AH39" s="6" t="s">
        <v>284</v>
      </c>
      <c r="AI39" s="6" t="s">
        <v>163</v>
      </c>
    </row>
    <row r="40" spans="1:35" ht="14">
      <c r="A40" s="6">
        <f t="shared" si="1"/>
        <v>38</v>
      </c>
      <c r="B40" s="6" t="s">
        <v>181</v>
      </c>
      <c r="C40" s="6" t="s">
        <v>484</v>
      </c>
      <c r="D40" s="6" t="s">
        <v>163</v>
      </c>
      <c r="E40" s="22">
        <f>HLOOKUP('Output (Dessert)'!$F$4,'Raw Data (Dessert)'!$U$2:$BP$88,(A40+1),)</f>
        <v>0</v>
      </c>
      <c r="F40" s="23">
        <f>IF(D40='Output (Dessert)'!$B$4,1,0)</f>
        <v>1</v>
      </c>
      <c r="G40" s="23">
        <f>IF(L40&lt;='Output (Dessert)'!$C$4,(200-'Raw Data (Dessert)'!L40),0)</f>
        <v>0</v>
      </c>
      <c r="H40" s="23">
        <v>3</v>
      </c>
      <c r="I40" s="24">
        <f>SUMPRODUCT(F40:H40,'Output (Dessert)'!$B$5:$D$5)*E40</f>
        <v>0</v>
      </c>
      <c r="J40" s="25">
        <v>0</v>
      </c>
      <c r="K40" s="49">
        <f t="shared" si="0"/>
        <v>0</v>
      </c>
      <c r="L40" s="20">
        <v>37.99</v>
      </c>
      <c r="M40" s="6" t="s">
        <v>349</v>
      </c>
      <c r="N40" s="6" t="s">
        <v>486</v>
      </c>
      <c r="O40" s="6" t="s">
        <v>266</v>
      </c>
      <c r="P40" s="6" t="s">
        <v>487</v>
      </c>
      <c r="Q40" s="26">
        <v>13.9</v>
      </c>
      <c r="R40" s="6" t="s">
        <v>340</v>
      </c>
      <c r="S40" s="6" t="s">
        <v>195</v>
      </c>
      <c r="T40" s="6" t="s">
        <v>270</v>
      </c>
      <c r="U40" s="6">
        <v>0</v>
      </c>
      <c r="V40" s="6">
        <v>1</v>
      </c>
      <c r="W40" s="6">
        <v>1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 t="s">
        <v>484</v>
      </c>
      <c r="AI40" s="6" t="s">
        <v>163</v>
      </c>
    </row>
    <row r="41" spans="1:35" ht="14">
      <c r="A41" s="6">
        <f t="shared" si="1"/>
        <v>39</v>
      </c>
      <c r="B41" s="6" t="s">
        <v>181</v>
      </c>
      <c r="C41" s="6" t="s">
        <v>488</v>
      </c>
      <c r="D41" s="6" t="s">
        <v>163</v>
      </c>
      <c r="E41" s="22">
        <f>HLOOKUP('Output (Dessert)'!$F$4,'Raw Data (Dessert)'!$U$2:$BP$88,(A41+1),)</f>
        <v>0</v>
      </c>
      <c r="F41" s="23">
        <f>IF(D41='Output (Dessert)'!$B$4,1,0)</f>
        <v>1</v>
      </c>
      <c r="G41" s="23">
        <f>IF(L41&lt;='Output (Dessert)'!$C$4,(200-'Raw Data (Dessert)'!L41),0)</f>
        <v>0</v>
      </c>
      <c r="H41" s="23">
        <v>3</v>
      </c>
      <c r="I41" s="24">
        <f>SUMPRODUCT(F41:H41,'Output (Dessert)'!$B$5:$D$5)*E41</f>
        <v>0</v>
      </c>
      <c r="J41" s="25">
        <v>0</v>
      </c>
      <c r="K41" s="49">
        <f t="shared" si="0"/>
        <v>0</v>
      </c>
      <c r="L41" s="20">
        <v>21.99</v>
      </c>
      <c r="M41" s="6" t="s">
        <v>412</v>
      </c>
      <c r="N41" s="6" t="s">
        <v>490</v>
      </c>
      <c r="O41" s="6" t="s">
        <v>279</v>
      </c>
      <c r="P41" s="6" t="s">
        <v>335</v>
      </c>
      <c r="Q41" s="26">
        <v>13.9</v>
      </c>
      <c r="R41" s="6" t="s">
        <v>192</v>
      </c>
      <c r="S41" s="6" t="s">
        <v>340</v>
      </c>
      <c r="T41" s="6" t="s">
        <v>190</v>
      </c>
      <c r="U41" s="6">
        <f>VLOOKUP($C41,'Food Pairing Data'!$C$2:$S$188,5)</f>
        <v>0</v>
      </c>
      <c r="V41" s="6">
        <f>VLOOKUP($C41,'Food Pairing Data'!$C$2:$S$188,6)</f>
        <v>0</v>
      </c>
      <c r="W41" s="6">
        <f>VLOOKUP($C41,'Food Pairing Data'!$C$2:$S$188,7)</f>
        <v>1</v>
      </c>
      <c r="X41" s="6">
        <f>VLOOKUP($C41,'Food Pairing Data'!$C$2:$S$188,8)</f>
        <v>0</v>
      </c>
      <c r="Y41" s="6">
        <f>VLOOKUP($C41,'Food Pairing Data'!$C$2:$S$188,9)</f>
        <v>0</v>
      </c>
      <c r="Z41" s="6">
        <f>VLOOKUP($C41,'Food Pairing Data'!$C$2:$S$188,10)</f>
        <v>0</v>
      </c>
      <c r="AA41" s="6">
        <f>VLOOKUP($C41,'Food Pairing Data'!$C$2:$S$188,11)</f>
        <v>0</v>
      </c>
      <c r="AB41" s="6">
        <f>VLOOKUP($C41,'Food Pairing Data'!$C$2:$S$188,12)</f>
        <v>0</v>
      </c>
      <c r="AC41" s="6">
        <f>VLOOKUP($C41,'Food Pairing Data'!$C$2:$S$188,13)</f>
        <v>0</v>
      </c>
      <c r="AD41" s="6">
        <f>VLOOKUP($C41,'Food Pairing Data'!$C$2:$S$188,14)</f>
        <v>0</v>
      </c>
      <c r="AE41" s="6">
        <f>VLOOKUP($C41,'Food Pairing Data'!$C$2:$S$188,15)</f>
        <v>0</v>
      </c>
      <c r="AF41" s="6">
        <f>VLOOKUP($C41,'Food Pairing Data'!$C$2:$S$188,16)</f>
        <v>0</v>
      </c>
      <c r="AG41" s="6">
        <f>VLOOKUP($C41,'Food Pairing Data'!$C$2:$S$188,17)</f>
        <v>0</v>
      </c>
      <c r="AH41" s="6" t="s">
        <v>488</v>
      </c>
      <c r="AI41" s="6" t="s">
        <v>163</v>
      </c>
    </row>
    <row r="42" spans="1:35" ht="14">
      <c r="A42" s="6">
        <f t="shared" si="1"/>
        <v>40</v>
      </c>
      <c r="B42" s="6" t="s">
        <v>23</v>
      </c>
      <c r="C42" s="6" t="s">
        <v>495</v>
      </c>
      <c r="D42" s="6" t="s">
        <v>163</v>
      </c>
      <c r="E42" s="22">
        <f>HLOOKUP('Output (Dessert)'!$F$4,'Raw Data (Dessert)'!$U$2:$BP$88,(A42+1),)</f>
        <v>0</v>
      </c>
      <c r="F42" s="23">
        <f>IF(D42='Output (Dessert)'!$B$4,1,0)</f>
        <v>1</v>
      </c>
      <c r="G42" s="23">
        <f>IF(L42&lt;='Output (Dessert)'!$C$4,(200-'Raw Data (Dessert)'!L42),0)</f>
        <v>184.01</v>
      </c>
      <c r="H42" s="23">
        <v>3</v>
      </c>
      <c r="I42" s="24">
        <f>SUMPRODUCT(F42:H42,'Output (Dessert)'!$B$5:$D$5)*E42</f>
        <v>0</v>
      </c>
      <c r="J42" s="25">
        <v>0</v>
      </c>
      <c r="K42" s="49">
        <f t="shared" si="0"/>
        <v>0</v>
      </c>
      <c r="L42" s="20">
        <v>15.99</v>
      </c>
      <c r="M42" s="6" t="s">
        <v>339</v>
      </c>
      <c r="N42" s="6" t="s">
        <v>322</v>
      </c>
      <c r="O42" s="6" t="s">
        <v>343</v>
      </c>
      <c r="P42" s="6" t="s">
        <v>344</v>
      </c>
      <c r="Q42" s="26">
        <v>13</v>
      </c>
      <c r="R42" s="6" t="s">
        <v>318</v>
      </c>
      <c r="S42" s="6" t="s">
        <v>199</v>
      </c>
      <c r="T42" s="6" t="s">
        <v>347</v>
      </c>
      <c r="U42" s="6">
        <f>VLOOKUP($C42,'Food Pairing Data'!$C$2:$S$188,5)</f>
        <v>0</v>
      </c>
      <c r="V42" s="6">
        <f>VLOOKUP($C42,'Food Pairing Data'!$C$2:$S$188,6)</f>
        <v>0</v>
      </c>
      <c r="W42" s="6">
        <f>VLOOKUP($C42,'Food Pairing Data'!$C$2:$S$188,7)</f>
        <v>1</v>
      </c>
      <c r="X42" s="6">
        <f>VLOOKUP($C42,'Food Pairing Data'!$C$2:$S$188,8)</f>
        <v>0</v>
      </c>
      <c r="Y42" s="6">
        <f>VLOOKUP($C42,'Food Pairing Data'!$C$2:$S$188,9)</f>
        <v>0</v>
      </c>
      <c r="Z42" s="6">
        <f>VLOOKUP($C42,'Food Pairing Data'!$C$2:$S$188,10)</f>
        <v>0</v>
      </c>
      <c r="AA42" s="6">
        <f>VLOOKUP($C42,'Food Pairing Data'!$C$2:$S$188,11)</f>
        <v>0</v>
      </c>
      <c r="AB42" s="6">
        <f>VLOOKUP($C42,'Food Pairing Data'!$C$2:$S$188,12)</f>
        <v>0</v>
      </c>
      <c r="AC42" s="6">
        <f>VLOOKUP($C42,'Food Pairing Data'!$C$2:$S$188,13)</f>
        <v>0</v>
      </c>
      <c r="AD42" s="6">
        <f>VLOOKUP($C42,'Food Pairing Data'!$C$2:$S$188,14)</f>
        <v>0</v>
      </c>
      <c r="AE42" s="6">
        <f>VLOOKUP($C42,'Food Pairing Data'!$C$2:$S$188,15)</f>
        <v>0</v>
      </c>
      <c r="AF42" s="6">
        <f>VLOOKUP($C42,'Food Pairing Data'!$C$2:$S$188,16)</f>
        <v>0</v>
      </c>
      <c r="AG42" s="6">
        <f>VLOOKUP($C42,'Food Pairing Data'!$C$2:$S$188,17)</f>
        <v>0</v>
      </c>
      <c r="AH42" s="6" t="s">
        <v>495</v>
      </c>
      <c r="AI42" s="6" t="s">
        <v>163</v>
      </c>
    </row>
    <row r="43" spans="1:35" ht="14">
      <c r="A43" s="6">
        <f t="shared" si="1"/>
        <v>41</v>
      </c>
      <c r="B43" s="6" t="s">
        <v>23</v>
      </c>
      <c r="C43" s="6" t="s">
        <v>348</v>
      </c>
      <c r="D43" s="6" t="s">
        <v>163</v>
      </c>
      <c r="E43" s="22">
        <f>HLOOKUP('Output (Dessert)'!$F$4,'Raw Data (Dessert)'!$U$2:$BP$88,(A43+1),)</f>
        <v>0</v>
      </c>
      <c r="F43" s="23">
        <f>IF(D43='Output (Dessert)'!$B$4,1,0)</f>
        <v>1</v>
      </c>
      <c r="G43" s="23">
        <f>IF(L43&lt;='Output (Dessert)'!$C$4,(200-'Raw Data (Dessert)'!L43),0)</f>
        <v>186.01</v>
      </c>
      <c r="H43" s="23">
        <v>3</v>
      </c>
      <c r="I43" s="24">
        <f>SUMPRODUCT(F43:H43,'Output (Dessert)'!$B$5:$D$5)*E43</f>
        <v>0</v>
      </c>
      <c r="J43" s="25">
        <v>0</v>
      </c>
      <c r="K43" s="49">
        <f t="shared" si="0"/>
        <v>0</v>
      </c>
      <c r="L43" s="20">
        <v>13.99</v>
      </c>
      <c r="M43" s="6" t="s">
        <v>349</v>
      </c>
      <c r="N43" s="6" t="s">
        <v>350</v>
      </c>
      <c r="O43" s="6" t="s">
        <v>266</v>
      </c>
      <c r="P43" s="6" t="s">
        <v>344</v>
      </c>
      <c r="Q43" s="26">
        <v>13.5</v>
      </c>
      <c r="R43" s="6" t="s">
        <v>190</v>
      </c>
      <c r="S43" s="6" t="s">
        <v>353</v>
      </c>
      <c r="T43" s="6" t="s">
        <v>354</v>
      </c>
      <c r="U43" s="6">
        <f>VLOOKUP($C43,'Food Pairing Data'!$C$2:$S$188,5)</f>
        <v>0</v>
      </c>
      <c r="V43" s="6">
        <f>VLOOKUP($C43,'Food Pairing Data'!$C$2:$S$188,6)</f>
        <v>0</v>
      </c>
      <c r="W43" s="6">
        <f>VLOOKUP($C43,'Food Pairing Data'!$C$2:$S$188,7)</f>
        <v>0</v>
      </c>
      <c r="X43" s="6">
        <f>VLOOKUP($C43,'Food Pairing Data'!$C$2:$S$188,8)</f>
        <v>1</v>
      </c>
      <c r="Y43" s="6">
        <f>VLOOKUP($C43,'Food Pairing Data'!$C$2:$S$188,9)</f>
        <v>0</v>
      </c>
      <c r="Z43" s="6">
        <f>VLOOKUP($C43,'Food Pairing Data'!$C$2:$S$188,10)</f>
        <v>1</v>
      </c>
      <c r="AA43" s="6">
        <f>VLOOKUP($C43,'Food Pairing Data'!$C$2:$S$188,11)</f>
        <v>0</v>
      </c>
      <c r="AB43" s="6">
        <f>VLOOKUP($C43,'Food Pairing Data'!$C$2:$S$188,12)</f>
        <v>0</v>
      </c>
      <c r="AC43" s="6">
        <f>VLOOKUP($C43,'Food Pairing Data'!$C$2:$S$188,13)</f>
        <v>0</v>
      </c>
      <c r="AD43" s="6">
        <f>VLOOKUP($C43,'Food Pairing Data'!$C$2:$S$188,14)</f>
        <v>0</v>
      </c>
      <c r="AE43" s="6">
        <f>VLOOKUP($C43,'Food Pairing Data'!$C$2:$S$188,15)</f>
        <v>0</v>
      </c>
      <c r="AF43" s="6">
        <f>VLOOKUP($C43,'Food Pairing Data'!$C$2:$S$188,16)</f>
        <v>0</v>
      </c>
      <c r="AG43" s="6">
        <f>VLOOKUP($C43,'Food Pairing Data'!$C$2:$S$188,17)</f>
        <v>0</v>
      </c>
      <c r="AH43" s="6" t="s">
        <v>348</v>
      </c>
      <c r="AI43" s="6" t="s">
        <v>163</v>
      </c>
    </row>
    <row r="44" spans="1:35" ht="14">
      <c r="A44" s="6">
        <f t="shared" si="1"/>
        <v>42</v>
      </c>
      <c r="B44" s="6" t="s">
        <v>245</v>
      </c>
      <c r="C44" s="6" t="s">
        <v>355</v>
      </c>
      <c r="D44" s="6" t="s">
        <v>163</v>
      </c>
      <c r="E44" s="22">
        <f>HLOOKUP('Output (Dessert)'!$F$4,'Raw Data (Dessert)'!$U$2:$BP$88,(A44+1),)</f>
        <v>0</v>
      </c>
      <c r="F44" s="23">
        <f>IF(D44='Output (Dessert)'!$B$4,1,0)</f>
        <v>1</v>
      </c>
      <c r="G44" s="23">
        <f>IF(L44&lt;='Output (Dessert)'!$C$4,(200-'Raw Data (Dessert)'!L44),0)</f>
        <v>192.01</v>
      </c>
      <c r="H44" s="23">
        <v>3</v>
      </c>
      <c r="I44" s="24">
        <f>SUMPRODUCT(F44:H44,'Output (Dessert)'!$B$5:$D$5)*E44</f>
        <v>0</v>
      </c>
      <c r="J44" s="25">
        <v>0</v>
      </c>
      <c r="K44" s="49">
        <f t="shared" si="0"/>
        <v>0</v>
      </c>
      <c r="L44" s="20">
        <v>7.99</v>
      </c>
      <c r="M44" s="6" t="s">
        <v>339</v>
      </c>
      <c r="N44" s="6" t="s">
        <v>356</v>
      </c>
      <c r="O44" s="6" t="s">
        <v>282</v>
      </c>
      <c r="P44" s="6" t="s">
        <v>358</v>
      </c>
      <c r="Q44" s="26">
        <v>12</v>
      </c>
      <c r="R44" s="6" t="s">
        <v>359</v>
      </c>
      <c r="S44" s="6" t="s">
        <v>353</v>
      </c>
      <c r="T44" s="6" t="s">
        <v>190</v>
      </c>
      <c r="U44" s="6">
        <f>VLOOKUP($C44,'Food Pairing Data'!$C$2:$S$188,5)</f>
        <v>0</v>
      </c>
      <c r="V44" s="6">
        <f>VLOOKUP($C44,'Food Pairing Data'!$C$2:$S$188,6)</f>
        <v>0</v>
      </c>
      <c r="W44" s="6">
        <f>VLOOKUP($C44,'Food Pairing Data'!$C$2:$S$188,7)</f>
        <v>1</v>
      </c>
      <c r="X44" s="6">
        <f>VLOOKUP($C44,'Food Pairing Data'!$C$2:$S$188,8)</f>
        <v>1</v>
      </c>
      <c r="Y44" s="6">
        <f>VLOOKUP($C44,'Food Pairing Data'!$C$2:$S$188,9)</f>
        <v>0</v>
      </c>
      <c r="Z44" s="6">
        <f>VLOOKUP($C44,'Food Pairing Data'!$C$2:$S$188,10)</f>
        <v>0</v>
      </c>
      <c r="AA44" s="6">
        <f>VLOOKUP($C44,'Food Pairing Data'!$C$2:$S$188,11)</f>
        <v>0</v>
      </c>
      <c r="AB44" s="6">
        <f>VLOOKUP($C44,'Food Pairing Data'!$C$2:$S$188,12)</f>
        <v>0</v>
      </c>
      <c r="AC44" s="6">
        <f>VLOOKUP($C44,'Food Pairing Data'!$C$2:$S$188,13)</f>
        <v>0</v>
      </c>
      <c r="AD44" s="6">
        <f>VLOOKUP($C44,'Food Pairing Data'!$C$2:$S$188,14)</f>
        <v>0</v>
      </c>
      <c r="AE44" s="6">
        <f>VLOOKUP($C44,'Food Pairing Data'!$C$2:$S$188,15)</f>
        <v>0</v>
      </c>
      <c r="AF44" s="6">
        <f>VLOOKUP($C44,'Food Pairing Data'!$C$2:$S$188,16)</f>
        <v>0</v>
      </c>
      <c r="AG44" s="6">
        <f>VLOOKUP($C44,'Food Pairing Data'!$C$2:$S$188,17)</f>
        <v>0</v>
      </c>
      <c r="AH44" s="6" t="s">
        <v>355</v>
      </c>
      <c r="AI44" s="6" t="s">
        <v>163</v>
      </c>
    </row>
    <row r="45" spans="1:35" ht="14">
      <c r="A45" s="6">
        <f t="shared" si="1"/>
        <v>43</v>
      </c>
      <c r="B45" s="6" t="s">
        <v>245</v>
      </c>
      <c r="C45" s="6" t="s">
        <v>360</v>
      </c>
      <c r="D45" s="6" t="s">
        <v>163</v>
      </c>
      <c r="E45" s="22">
        <f>HLOOKUP('Output (Dessert)'!$F$4,'Raw Data (Dessert)'!$U$2:$BP$88,(A45+1),)</f>
        <v>0</v>
      </c>
      <c r="F45" s="23">
        <f>IF(D45='Output (Dessert)'!$B$4,1,0)</f>
        <v>1</v>
      </c>
      <c r="G45" s="23">
        <f>IF(L45&lt;='Output (Dessert)'!$C$4,(200-'Raw Data (Dessert)'!L45),0)</f>
        <v>192.01</v>
      </c>
      <c r="H45" s="23">
        <v>3</v>
      </c>
      <c r="I45" s="24">
        <f>SUMPRODUCT(F45:H45,'Output (Dessert)'!$B$5:$D$5)*E45</f>
        <v>0</v>
      </c>
      <c r="J45" s="25">
        <v>0</v>
      </c>
      <c r="K45" s="49">
        <f t="shared" si="0"/>
        <v>0</v>
      </c>
      <c r="L45" s="20">
        <v>7.99</v>
      </c>
      <c r="M45" s="6" t="s">
        <v>361</v>
      </c>
      <c r="N45" s="6" t="s">
        <v>362</v>
      </c>
      <c r="O45" s="6" t="s">
        <v>363</v>
      </c>
      <c r="P45" s="6" t="s">
        <v>344</v>
      </c>
      <c r="Q45" s="26">
        <v>13</v>
      </c>
      <c r="R45" s="6" t="s">
        <v>340</v>
      </c>
      <c r="S45" s="6" t="s">
        <v>193</v>
      </c>
      <c r="T45" s="6" t="s">
        <v>190</v>
      </c>
      <c r="U45" s="6">
        <f>VLOOKUP($C45,'Food Pairing Data'!$C$2:$S$188,5)</f>
        <v>0</v>
      </c>
      <c r="V45" s="6">
        <f>VLOOKUP($C45,'Food Pairing Data'!$C$2:$S$188,6)</f>
        <v>0</v>
      </c>
      <c r="W45" s="6">
        <f>VLOOKUP($C45,'Food Pairing Data'!$C$2:$S$188,7)</f>
        <v>0</v>
      </c>
      <c r="X45" s="6">
        <f>VLOOKUP($C45,'Food Pairing Data'!$C$2:$S$188,8)</f>
        <v>0</v>
      </c>
      <c r="Y45" s="6">
        <f>VLOOKUP($C45,'Food Pairing Data'!$C$2:$S$188,9)</f>
        <v>0</v>
      </c>
      <c r="Z45" s="6">
        <f>VLOOKUP($C45,'Food Pairing Data'!$C$2:$S$188,10)</f>
        <v>0</v>
      </c>
      <c r="AA45" s="6">
        <f>VLOOKUP($C45,'Food Pairing Data'!$C$2:$S$188,11)</f>
        <v>0</v>
      </c>
      <c r="AB45" s="6">
        <f>VLOOKUP($C45,'Food Pairing Data'!$C$2:$S$188,12)</f>
        <v>0</v>
      </c>
      <c r="AC45" s="6">
        <f>VLOOKUP($C45,'Food Pairing Data'!$C$2:$S$188,13)</f>
        <v>0</v>
      </c>
      <c r="AD45" s="6">
        <f>VLOOKUP($C45,'Food Pairing Data'!$C$2:$S$188,14)</f>
        <v>1</v>
      </c>
      <c r="AE45" s="6">
        <f>VLOOKUP($C45,'Food Pairing Data'!$C$2:$S$188,15)</f>
        <v>0</v>
      </c>
      <c r="AF45" s="6">
        <f>VLOOKUP($C45,'Food Pairing Data'!$C$2:$S$188,16)</f>
        <v>0</v>
      </c>
      <c r="AG45" s="6">
        <f>VLOOKUP($C45,'Food Pairing Data'!$C$2:$S$188,17)</f>
        <v>0</v>
      </c>
      <c r="AH45" s="6" t="s">
        <v>360</v>
      </c>
      <c r="AI45" s="6" t="s">
        <v>163</v>
      </c>
    </row>
    <row r="46" spans="1:35" ht="14">
      <c r="A46" s="6">
        <f t="shared" si="1"/>
        <v>44</v>
      </c>
      <c r="B46" s="6" t="s">
        <v>245</v>
      </c>
      <c r="C46" s="6" t="s">
        <v>368</v>
      </c>
      <c r="D46" s="6" t="s">
        <v>163</v>
      </c>
      <c r="E46" s="22">
        <f>HLOOKUP('Output (Dessert)'!$F$4,'Raw Data (Dessert)'!$U$2:$BP$88,(A46+1),)</f>
        <v>0</v>
      </c>
      <c r="F46" s="23">
        <f>IF(D46='Output (Dessert)'!$B$4,1,0)</f>
        <v>1</v>
      </c>
      <c r="G46" s="23">
        <f>IF(L46&lt;='Output (Dessert)'!$C$4,(200-'Raw Data (Dessert)'!L46),0)</f>
        <v>192.01</v>
      </c>
      <c r="H46" s="23">
        <v>3</v>
      </c>
      <c r="I46" s="24">
        <f>SUMPRODUCT(F46:H46,'Output (Dessert)'!$B$5:$D$5)*E46</f>
        <v>0</v>
      </c>
      <c r="J46" s="25">
        <v>0</v>
      </c>
      <c r="K46" s="49">
        <f t="shared" si="0"/>
        <v>0</v>
      </c>
      <c r="L46" s="20">
        <v>7.99</v>
      </c>
      <c r="M46" s="6" t="s">
        <v>264</v>
      </c>
      <c r="N46" s="6" t="s">
        <v>369</v>
      </c>
      <c r="O46" s="6" t="s">
        <v>266</v>
      </c>
      <c r="P46" s="6" t="s">
        <v>371</v>
      </c>
      <c r="Q46" s="26">
        <v>13.5</v>
      </c>
      <c r="R46" s="6" t="s">
        <v>195</v>
      </c>
      <c r="S46" s="6" t="s">
        <v>193</v>
      </c>
      <c r="T46" s="6" t="s">
        <v>190</v>
      </c>
      <c r="U46" s="6">
        <f>VLOOKUP($C46,'Food Pairing Data'!$C$2:$S$188,5)</f>
        <v>0</v>
      </c>
      <c r="V46" s="6">
        <f>VLOOKUP($C46,'Food Pairing Data'!$C$2:$S$188,6)</f>
        <v>0</v>
      </c>
      <c r="W46" s="6">
        <f>VLOOKUP($C46,'Food Pairing Data'!$C$2:$S$188,7)</f>
        <v>0</v>
      </c>
      <c r="X46" s="6">
        <f>VLOOKUP($C46,'Food Pairing Data'!$C$2:$S$188,8)</f>
        <v>0</v>
      </c>
      <c r="Y46" s="6">
        <f>VLOOKUP($C46,'Food Pairing Data'!$C$2:$S$188,9)</f>
        <v>0</v>
      </c>
      <c r="Z46" s="6">
        <f>VLOOKUP($C46,'Food Pairing Data'!$C$2:$S$188,10)</f>
        <v>0</v>
      </c>
      <c r="AA46" s="6">
        <f>VLOOKUP($C46,'Food Pairing Data'!$C$2:$S$188,11)</f>
        <v>0</v>
      </c>
      <c r="AB46" s="6">
        <f>VLOOKUP($C46,'Food Pairing Data'!$C$2:$S$188,12)</f>
        <v>0</v>
      </c>
      <c r="AC46" s="6">
        <f>VLOOKUP($C46,'Food Pairing Data'!$C$2:$S$188,13)</f>
        <v>0</v>
      </c>
      <c r="AD46" s="6">
        <f>VLOOKUP($C46,'Food Pairing Data'!$C$2:$S$188,14)</f>
        <v>1</v>
      </c>
      <c r="AE46" s="6">
        <f>VLOOKUP($C46,'Food Pairing Data'!$C$2:$S$188,15)</f>
        <v>0</v>
      </c>
      <c r="AF46" s="6">
        <f>VLOOKUP($C46,'Food Pairing Data'!$C$2:$S$188,16)</f>
        <v>0</v>
      </c>
      <c r="AG46" s="6">
        <f>VLOOKUP($C46,'Food Pairing Data'!$C$2:$S$188,17)</f>
        <v>0</v>
      </c>
      <c r="AH46" s="6" t="s">
        <v>368</v>
      </c>
      <c r="AI46" s="6" t="s">
        <v>163</v>
      </c>
    </row>
    <row r="47" spans="1:35" ht="14">
      <c r="A47" s="6">
        <f t="shared" si="1"/>
        <v>45</v>
      </c>
      <c r="B47" s="6" t="s">
        <v>181</v>
      </c>
      <c r="C47" s="6" t="s">
        <v>372</v>
      </c>
      <c r="D47" s="6" t="s">
        <v>163</v>
      </c>
      <c r="E47" s="22">
        <f>HLOOKUP('Output (Dessert)'!$F$4,'Raw Data (Dessert)'!$U$2:$BP$88,(A47+1),)</f>
        <v>0</v>
      </c>
      <c r="F47" s="23">
        <f>IF(D47='Output (Dessert)'!$B$4,1,0)</f>
        <v>1</v>
      </c>
      <c r="G47" s="23">
        <f>IF(L47&lt;='Output (Dessert)'!$C$4,(200-'Raw Data (Dessert)'!L47),0)</f>
        <v>0</v>
      </c>
      <c r="H47" s="23">
        <v>2.5</v>
      </c>
      <c r="I47" s="24">
        <f>SUMPRODUCT(F47:H47,'Output (Dessert)'!$B$5:$D$5)*E47</f>
        <v>0</v>
      </c>
      <c r="J47" s="25">
        <v>0</v>
      </c>
      <c r="K47" s="49">
        <f t="shared" si="0"/>
        <v>0</v>
      </c>
      <c r="L47" s="20">
        <v>31.99</v>
      </c>
      <c r="M47" s="6" t="s">
        <v>339</v>
      </c>
      <c r="N47" s="6" t="s">
        <v>373</v>
      </c>
      <c r="O47" s="6" t="s">
        <v>374</v>
      </c>
      <c r="P47" s="6" t="s">
        <v>358</v>
      </c>
      <c r="Q47" s="26">
        <v>14</v>
      </c>
      <c r="R47" s="6" t="s">
        <v>359</v>
      </c>
      <c r="S47" s="6" t="s">
        <v>353</v>
      </c>
      <c r="T47" s="6" t="s">
        <v>354</v>
      </c>
      <c r="U47" s="6">
        <f>VLOOKUP($C47,'Food Pairing Data'!$C$2:$S$188,5)</f>
        <v>0</v>
      </c>
      <c r="V47" s="6">
        <f>VLOOKUP($C47,'Food Pairing Data'!$C$2:$S$188,6)</f>
        <v>0</v>
      </c>
      <c r="W47" s="6">
        <f>VLOOKUP($C47,'Food Pairing Data'!$C$2:$S$188,7)</f>
        <v>0</v>
      </c>
      <c r="X47" s="6">
        <f>VLOOKUP($C47,'Food Pairing Data'!$C$2:$S$188,8)</f>
        <v>0</v>
      </c>
      <c r="Y47" s="6">
        <f>VLOOKUP($C47,'Food Pairing Data'!$C$2:$S$188,9)</f>
        <v>0</v>
      </c>
      <c r="Z47" s="6">
        <f>VLOOKUP($C47,'Food Pairing Data'!$C$2:$S$188,10)</f>
        <v>0</v>
      </c>
      <c r="AA47" s="6">
        <f>VLOOKUP($C47,'Food Pairing Data'!$C$2:$S$188,11)</f>
        <v>0</v>
      </c>
      <c r="AB47" s="6">
        <f>VLOOKUP($C47,'Food Pairing Data'!$C$2:$S$188,12)</f>
        <v>0</v>
      </c>
      <c r="AC47" s="6">
        <f>VLOOKUP($C47,'Food Pairing Data'!$C$2:$S$188,13)</f>
        <v>0</v>
      </c>
      <c r="AD47" s="6">
        <f>VLOOKUP($C47,'Food Pairing Data'!$C$2:$S$188,14)</f>
        <v>1</v>
      </c>
      <c r="AE47" s="6">
        <f>VLOOKUP($C47,'Food Pairing Data'!$C$2:$S$188,15)</f>
        <v>0</v>
      </c>
      <c r="AF47" s="6">
        <f>VLOOKUP($C47,'Food Pairing Data'!$C$2:$S$188,16)</f>
        <v>0</v>
      </c>
      <c r="AG47" s="6">
        <f>VLOOKUP($C47,'Food Pairing Data'!$C$2:$S$188,17)</f>
        <v>0</v>
      </c>
      <c r="AH47" s="6" t="s">
        <v>372</v>
      </c>
      <c r="AI47" s="6" t="s">
        <v>163</v>
      </c>
    </row>
    <row r="48" spans="1:35" ht="14">
      <c r="A48" s="6">
        <f t="shared" si="1"/>
        <v>46</v>
      </c>
      <c r="B48" s="6" t="s">
        <v>181</v>
      </c>
      <c r="C48" s="6" t="s">
        <v>379</v>
      </c>
      <c r="D48" s="6" t="s">
        <v>380</v>
      </c>
      <c r="E48" s="22">
        <f>HLOOKUP('Output (Dessert)'!$F$4,'Raw Data (Dessert)'!$U$2:$BP$88,(A48+1),)</f>
        <v>0</v>
      </c>
      <c r="F48" s="23">
        <f>IF(D48='Output (Dessert)'!$B$4,1,0)</f>
        <v>0</v>
      </c>
      <c r="G48" s="23">
        <f>IF(L48&lt;='Output (Dessert)'!$C$4,(200-'Raw Data (Dessert)'!L48),0)</f>
        <v>0</v>
      </c>
      <c r="H48" s="23">
        <v>5</v>
      </c>
      <c r="I48" s="24">
        <f>SUMPRODUCT(F48:H48,'Output (Dessert)'!$B$5:$D$5)*E48</f>
        <v>0</v>
      </c>
      <c r="J48" s="25">
        <v>0</v>
      </c>
      <c r="K48" s="49">
        <f t="shared" si="0"/>
        <v>0</v>
      </c>
      <c r="L48" s="20">
        <v>29.99</v>
      </c>
      <c r="M48" s="6" t="s">
        <v>361</v>
      </c>
      <c r="N48" s="6" t="s">
        <v>381</v>
      </c>
      <c r="O48" s="6" t="s">
        <v>382</v>
      </c>
      <c r="P48" s="6" t="s">
        <v>383</v>
      </c>
      <c r="Q48" s="26">
        <v>13</v>
      </c>
      <c r="R48" s="6" t="s">
        <v>190</v>
      </c>
      <c r="S48" s="6" t="s">
        <v>384</v>
      </c>
      <c r="T48" s="6" t="s">
        <v>354</v>
      </c>
      <c r="U48" s="6">
        <f>VLOOKUP($C48,'Food Pairing Data'!$C$2:$S$188,5)</f>
        <v>0</v>
      </c>
      <c r="V48" s="6">
        <f>VLOOKUP($C48,'Food Pairing Data'!$C$2:$S$188,6)</f>
        <v>0</v>
      </c>
      <c r="W48" s="6">
        <f>VLOOKUP($C48,'Food Pairing Data'!$C$2:$S$188,7)</f>
        <v>0</v>
      </c>
      <c r="X48" s="6">
        <f>VLOOKUP($C48,'Food Pairing Data'!$C$2:$S$188,8)</f>
        <v>0</v>
      </c>
      <c r="Y48" s="6">
        <f>VLOOKUP($C48,'Food Pairing Data'!$C$2:$S$188,9)</f>
        <v>0</v>
      </c>
      <c r="Z48" s="6">
        <f>VLOOKUP($C48,'Food Pairing Data'!$C$2:$S$188,10)</f>
        <v>0</v>
      </c>
      <c r="AA48" s="6">
        <f>VLOOKUP($C48,'Food Pairing Data'!$C$2:$S$188,11)</f>
        <v>0</v>
      </c>
      <c r="AB48" s="6">
        <f>VLOOKUP($C48,'Food Pairing Data'!$C$2:$S$188,12)</f>
        <v>0</v>
      </c>
      <c r="AC48" s="6">
        <f>VLOOKUP($C48,'Food Pairing Data'!$C$2:$S$188,13)</f>
        <v>0</v>
      </c>
      <c r="AD48" s="6">
        <f>VLOOKUP($C48,'Food Pairing Data'!$C$2:$S$188,14)</f>
        <v>1</v>
      </c>
      <c r="AE48" s="6">
        <f>VLOOKUP($C48,'Food Pairing Data'!$C$2:$S$188,15)</f>
        <v>0</v>
      </c>
      <c r="AF48" s="6">
        <f>VLOOKUP($C48,'Food Pairing Data'!$C$2:$S$188,16)</f>
        <v>0</v>
      </c>
      <c r="AG48" s="6">
        <f>VLOOKUP($C48,'Food Pairing Data'!$C$2:$S$188,17)</f>
        <v>0</v>
      </c>
      <c r="AH48" s="6" t="s">
        <v>379</v>
      </c>
      <c r="AI48" s="6" t="s">
        <v>380</v>
      </c>
    </row>
    <row r="49" spans="1:35" ht="14">
      <c r="A49" s="6">
        <f t="shared" si="1"/>
        <v>47</v>
      </c>
      <c r="B49" s="6" t="s">
        <v>23</v>
      </c>
      <c r="C49" s="6" t="s">
        <v>385</v>
      </c>
      <c r="D49" s="6" t="s">
        <v>380</v>
      </c>
      <c r="E49" s="22">
        <f>HLOOKUP('Output (Dessert)'!$F$4,'Raw Data (Dessert)'!$U$2:$BP$88,(A49+1),)</f>
        <v>0</v>
      </c>
      <c r="F49" s="23">
        <f>IF(D49='Output (Dessert)'!$B$4,1,0)</f>
        <v>0</v>
      </c>
      <c r="G49" s="23">
        <f>IF(L49&lt;='Output (Dessert)'!$C$4,(200-'Raw Data (Dessert)'!L49),0)</f>
        <v>189.01</v>
      </c>
      <c r="H49" s="23">
        <v>5</v>
      </c>
      <c r="I49" s="24">
        <f>SUMPRODUCT(F49:H49,'Output (Dessert)'!$B$5:$D$5)*E49</f>
        <v>0</v>
      </c>
      <c r="J49" s="25">
        <v>0</v>
      </c>
      <c r="K49" s="49">
        <f t="shared" si="0"/>
        <v>0</v>
      </c>
      <c r="L49" s="20">
        <v>10.99</v>
      </c>
      <c r="M49" s="6" t="s">
        <v>361</v>
      </c>
      <c r="N49" s="6" t="s">
        <v>430</v>
      </c>
      <c r="O49" s="6" t="s">
        <v>382</v>
      </c>
      <c r="P49" s="6" t="s">
        <v>431</v>
      </c>
      <c r="Q49" s="26">
        <v>13</v>
      </c>
      <c r="R49" s="6" t="s">
        <v>195</v>
      </c>
      <c r="S49" s="6" t="s">
        <v>190</v>
      </c>
      <c r="T49" s="6" t="s">
        <v>199</v>
      </c>
      <c r="U49" s="6">
        <f>VLOOKUP($C49,'Food Pairing Data'!$C$2:$S$188,5)</f>
        <v>0</v>
      </c>
      <c r="V49" s="6">
        <f>VLOOKUP($C49,'Food Pairing Data'!$C$2:$S$188,6)</f>
        <v>0</v>
      </c>
      <c r="W49" s="6">
        <f>VLOOKUP($C49,'Food Pairing Data'!$C$2:$S$188,7)</f>
        <v>0</v>
      </c>
      <c r="X49" s="6">
        <f>VLOOKUP($C49,'Food Pairing Data'!$C$2:$S$188,8)</f>
        <v>0</v>
      </c>
      <c r="Y49" s="6">
        <f>VLOOKUP($C49,'Food Pairing Data'!$C$2:$S$188,9)</f>
        <v>0</v>
      </c>
      <c r="Z49" s="6">
        <f>VLOOKUP($C49,'Food Pairing Data'!$C$2:$S$188,10)</f>
        <v>0</v>
      </c>
      <c r="AA49" s="6">
        <f>VLOOKUP($C49,'Food Pairing Data'!$C$2:$S$188,11)</f>
        <v>0</v>
      </c>
      <c r="AB49" s="6">
        <f>VLOOKUP($C49,'Food Pairing Data'!$C$2:$S$188,12)</f>
        <v>0</v>
      </c>
      <c r="AC49" s="6">
        <f>VLOOKUP($C49,'Food Pairing Data'!$C$2:$S$188,13)</f>
        <v>0</v>
      </c>
      <c r="AD49" s="6">
        <f>VLOOKUP($C49,'Food Pairing Data'!$C$2:$S$188,14)</f>
        <v>1</v>
      </c>
      <c r="AE49" s="6">
        <f>VLOOKUP($C49,'Food Pairing Data'!$C$2:$S$188,15)</f>
        <v>0</v>
      </c>
      <c r="AF49" s="6">
        <f>VLOOKUP($C49,'Food Pairing Data'!$C$2:$S$188,16)</f>
        <v>0</v>
      </c>
      <c r="AG49" s="6">
        <f>VLOOKUP($C49,'Food Pairing Data'!$C$2:$S$188,17)</f>
        <v>0</v>
      </c>
      <c r="AH49" s="6" t="s">
        <v>385</v>
      </c>
      <c r="AI49" s="6" t="s">
        <v>380</v>
      </c>
    </row>
    <row r="50" spans="1:35" ht="14">
      <c r="A50" s="6">
        <f t="shared" si="1"/>
        <v>48</v>
      </c>
      <c r="B50" s="6" t="s">
        <v>245</v>
      </c>
      <c r="C50" s="6" t="s">
        <v>432</v>
      </c>
      <c r="D50" s="6" t="s">
        <v>380</v>
      </c>
      <c r="E50" s="22">
        <f>HLOOKUP('Output (Dessert)'!$F$4,'Raw Data (Dessert)'!$U$2:$BP$88,(A50+1),)</f>
        <v>0</v>
      </c>
      <c r="F50" s="23">
        <f>IF(D50='Output (Dessert)'!$B$4,1,0)</f>
        <v>0</v>
      </c>
      <c r="G50" s="23">
        <f>IF(L50&lt;='Output (Dessert)'!$C$4,(200-'Raw Data (Dessert)'!L50),0)</f>
        <v>191.01</v>
      </c>
      <c r="H50" s="23">
        <v>5</v>
      </c>
      <c r="I50" s="24">
        <f>SUMPRODUCT(F50:H50,'Output (Dessert)'!$B$5:$D$5)*E50</f>
        <v>0</v>
      </c>
      <c r="J50" s="25">
        <v>0</v>
      </c>
      <c r="K50" s="49">
        <f t="shared" si="0"/>
        <v>0</v>
      </c>
      <c r="L50" s="20">
        <v>8.99</v>
      </c>
      <c r="M50" s="6" t="s">
        <v>197</v>
      </c>
      <c r="N50" s="6" t="s">
        <v>198</v>
      </c>
      <c r="O50" s="6" t="s">
        <v>433</v>
      </c>
      <c r="P50" s="6" t="s">
        <v>275</v>
      </c>
      <c r="Q50" s="26">
        <v>6</v>
      </c>
      <c r="R50" s="6" t="s">
        <v>435</v>
      </c>
      <c r="S50" s="6" t="s">
        <v>436</v>
      </c>
      <c r="T50" s="6" t="s">
        <v>192</v>
      </c>
      <c r="U50" s="6">
        <f>VLOOKUP($C50,'Food Pairing Data'!$C$2:$S$188,5)</f>
        <v>0</v>
      </c>
      <c r="V50" s="6">
        <f>VLOOKUP($C50,'Food Pairing Data'!$C$2:$S$188,6)</f>
        <v>0</v>
      </c>
      <c r="W50" s="6">
        <f>VLOOKUP($C50,'Food Pairing Data'!$C$2:$S$188,7)</f>
        <v>0</v>
      </c>
      <c r="X50" s="6">
        <f>VLOOKUP($C50,'Food Pairing Data'!$C$2:$S$188,8)</f>
        <v>0</v>
      </c>
      <c r="Y50" s="6">
        <f>VLOOKUP($C50,'Food Pairing Data'!$C$2:$S$188,9)</f>
        <v>0</v>
      </c>
      <c r="Z50" s="6">
        <f>VLOOKUP($C50,'Food Pairing Data'!$C$2:$S$188,10)</f>
        <v>0</v>
      </c>
      <c r="AA50" s="6">
        <f>VLOOKUP($C50,'Food Pairing Data'!$C$2:$S$188,11)</f>
        <v>0</v>
      </c>
      <c r="AB50" s="6">
        <f>VLOOKUP($C50,'Food Pairing Data'!$C$2:$S$188,12)</f>
        <v>0</v>
      </c>
      <c r="AC50" s="6">
        <f>VLOOKUP($C50,'Food Pairing Data'!$C$2:$S$188,13)</f>
        <v>0</v>
      </c>
      <c r="AD50" s="6">
        <f>VLOOKUP($C50,'Food Pairing Data'!$C$2:$S$188,14)</f>
        <v>1</v>
      </c>
      <c r="AE50" s="6">
        <f>VLOOKUP($C50,'Food Pairing Data'!$C$2:$S$188,15)</f>
        <v>0</v>
      </c>
      <c r="AF50" s="6">
        <f>VLOOKUP($C50,'Food Pairing Data'!$C$2:$S$188,16)</f>
        <v>0</v>
      </c>
      <c r="AG50" s="6">
        <f>VLOOKUP($C50,'Food Pairing Data'!$C$2:$S$188,17)</f>
        <v>0</v>
      </c>
      <c r="AH50" s="6" t="s">
        <v>432</v>
      </c>
      <c r="AI50" s="6" t="s">
        <v>380</v>
      </c>
    </row>
    <row r="51" spans="1:35" ht="14">
      <c r="A51" s="6">
        <f t="shared" si="1"/>
        <v>49</v>
      </c>
      <c r="B51" s="6" t="s">
        <v>245</v>
      </c>
      <c r="C51" s="6" t="s">
        <v>437</v>
      </c>
      <c r="D51" s="6" t="s">
        <v>380</v>
      </c>
      <c r="E51" s="22">
        <f>HLOOKUP('Output (Dessert)'!$F$4,'Raw Data (Dessert)'!$U$2:$BP$88,(A51+1),)</f>
        <v>0</v>
      </c>
      <c r="F51" s="23">
        <f>IF(D51='Output (Dessert)'!$B$4,1,0)</f>
        <v>0</v>
      </c>
      <c r="G51" s="23">
        <f>IF(L51&lt;='Output (Dessert)'!$C$4,(200-'Raw Data (Dessert)'!L51),0)</f>
        <v>193.01</v>
      </c>
      <c r="H51" s="23">
        <v>5</v>
      </c>
      <c r="I51" s="24">
        <f>SUMPRODUCT(F51:H51,'Output (Dessert)'!$B$5:$D$5)*E51</f>
        <v>0</v>
      </c>
      <c r="J51" s="25">
        <v>0</v>
      </c>
      <c r="K51" s="49">
        <f t="shared" si="0"/>
        <v>0</v>
      </c>
      <c r="L51" s="20">
        <v>6.99</v>
      </c>
      <c r="M51" s="6" t="s">
        <v>438</v>
      </c>
      <c r="N51" s="6" t="s">
        <v>439</v>
      </c>
      <c r="O51" s="6" t="s">
        <v>382</v>
      </c>
      <c r="P51" s="6" t="s">
        <v>440</v>
      </c>
      <c r="Q51" s="26">
        <v>13</v>
      </c>
      <c r="R51" s="6" t="s">
        <v>441</v>
      </c>
      <c r="S51" s="6" t="s">
        <v>442</v>
      </c>
      <c r="T51" s="6" t="s">
        <v>270</v>
      </c>
      <c r="U51" s="6">
        <f>VLOOKUP($C51,'Food Pairing Data'!$C$2:$S$188,5)</f>
        <v>0</v>
      </c>
      <c r="V51" s="6">
        <f>VLOOKUP($C51,'Food Pairing Data'!$C$2:$S$188,6)</f>
        <v>0</v>
      </c>
      <c r="W51" s="6">
        <f>VLOOKUP($C51,'Food Pairing Data'!$C$2:$S$188,7)</f>
        <v>0</v>
      </c>
      <c r="X51" s="6">
        <f>VLOOKUP($C51,'Food Pairing Data'!$C$2:$S$188,8)</f>
        <v>0</v>
      </c>
      <c r="Y51" s="6">
        <f>VLOOKUP($C51,'Food Pairing Data'!$C$2:$S$188,9)</f>
        <v>0</v>
      </c>
      <c r="Z51" s="6">
        <f>VLOOKUP($C51,'Food Pairing Data'!$C$2:$S$188,10)</f>
        <v>0</v>
      </c>
      <c r="AA51" s="6">
        <f>VLOOKUP($C51,'Food Pairing Data'!$C$2:$S$188,11)</f>
        <v>0</v>
      </c>
      <c r="AB51" s="6">
        <f>VLOOKUP($C51,'Food Pairing Data'!$C$2:$S$188,12)</f>
        <v>0</v>
      </c>
      <c r="AC51" s="6">
        <f>VLOOKUP($C51,'Food Pairing Data'!$C$2:$S$188,13)</f>
        <v>0</v>
      </c>
      <c r="AD51" s="6">
        <f>VLOOKUP($C51,'Food Pairing Data'!$C$2:$S$188,14)</f>
        <v>1</v>
      </c>
      <c r="AE51" s="6">
        <f>VLOOKUP($C51,'Food Pairing Data'!$C$2:$S$188,15)</f>
        <v>0</v>
      </c>
      <c r="AF51" s="6">
        <f>VLOOKUP($C51,'Food Pairing Data'!$C$2:$S$188,16)</f>
        <v>0</v>
      </c>
      <c r="AG51" s="6">
        <f>VLOOKUP($C51,'Food Pairing Data'!$C$2:$S$188,17)</f>
        <v>0</v>
      </c>
      <c r="AH51" s="6" t="s">
        <v>437</v>
      </c>
      <c r="AI51" s="6" t="s">
        <v>380</v>
      </c>
    </row>
    <row r="52" spans="1:35" ht="14">
      <c r="A52" s="6">
        <f t="shared" si="1"/>
        <v>50</v>
      </c>
      <c r="B52" s="6" t="s">
        <v>23</v>
      </c>
      <c r="C52" s="6" t="s">
        <v>444</v>
      </c>
      <c r="D52" s="6" t="s">
        <v>380</v>
      </c>
      <c r="E52" s="22">
        <f>HLOOKUP('Output (Dessert)'!$F$4,'Raw Data (Dessert)'!$U$2:$BP$88,(A52+1),)</f>
        <v>0</v>
      </c>
      <c r="F52" s="23">
        <f>IF(D52='Output (Dessert)'!$B$4,1,0)</f>
        <v>0</v>
      </c>
      <c r="G52" s="23">
        <f>IF(L52&lt;='Output (Dessert)'!$C$4,(200-'Raw Data (Dessert)'!L52),0)</f>
        <v>180.01</v>
      </c>
      <c r="H52" s="23">
        <v>5</v>
      </c>
      <c r="I52" s="24">
        <f>SUMPRODUCT(F52:H52,'Output (Dessert)'!$B$5:$D$5)*E52</f>
        <v>0</v>
      </c>
      <c r="J52" s="25">
        <v>0</v>
      </c>
      <c r="K52" s="49">
        <f t="shared" si="0"/>
        <v>0</v>
      </c>
      <c r="L52" s="20">
        <v>19.989999999999998</v>
      </c>
      <c r="M52" s="6" t="s">
        <v>256</v>
      </c>
      <c r="N52" s="6" t="s">
        <v>446</v>
      </c>
      <c r="O52" s="6" t="s">
        <v>447</v>
      </c>
      <c r="P52" s="6" t="s">
        <v>448</v>
      </c>
      <c r="Q52" s="26">
        <v>12.5</v>
      </c>
      <c r="R52" s="6" t="s">
        <v>411</v>
      </c>
      <c r="S52" s="6" t="s">
        <v>450</v>
      </c>
      <c r="T52" s="6" t="s">
        <v>199</v>
      </c>
      <c r="U52" s="6">
        <f>VLOOKUP($C52,'Food Pairing Data'!$C$2:$S$188,5)</f>
        <v>0</v>
      </c>
      <c r="V52" s="6">
        <f>VLOOKUP($C52,'Food Pairing Data'!$C$2:$S$188,6)</f>
        <v>0</v>
      </c>
      <c r="W52" s="6">
        <f>VLOOKUP($C52,'Food Pairing Data'!$C$2:$S$188,7)</f>
        <v>0</v>
      </c>
      <c r="X52" s="6">
        <f>VLOOKUP($C52,'Food Pairing Data'!$C$2:$S$188,8)</f>
        <v>0</v>
      </c>
      <c r="Y52" s="6">
        <f>VLOOKUP($C52,'Food Pairing Data'!$C$2:$S$188,9)</f>
        <v>0</v>
      </c>
      <c r="Z52" s="6">
        <f>VLOOKUP($C52,'Food Pairing Data'!$C$2:$S$188,10)</f>
        <v>0</v>
      </c>
      <c r="AA52" s="6">
        <f>VLOOKUP($C52,'Food Pairing Data'!$C$2:$S$188,11)</f>
        <v>0</v>
      </c>
      <c r="AB52" s="6">
        <f>VLOOKUP($C52,'Food Pairing Data'!$C$2:$S$188,12)</f>
        <v>0</v>
      </c>
      <c r="AC52" s="6">
        <f>VLOOKUP($C52,'Food Pairing Data'!$C$2:$S$188,13)</f>
        <v>0</v>
      </c>
      <c r="AD52" s="6">
        <f>VLOOKUP($C52,'Food Pairing Data'!$C$2:$S$188,14)</f>
        <v>1</v>
      </c>
      <c r="AE52" s="6">
        <f>VLOOKUP($C52,'Food Pairing Data'!$C$2:$S$188,15)</f>
        <v>0</v>
      </c>
      <c r="AF52" s="6">
        <f>VLOOKUP($C52,'Food Pairing Data'!$C$2:$S$188,16)</f>
        <v>0</v>
      </c>
      <c r="AG52" s="6">
        <f>VLOOKUP($C52,'Food Pairing Data'!$C$2:$S$188,17)</f>
        <v>0</v>
      </c>
      <c r="AH52" s="6" t="s">
        <v>444</v>
      </c>
      <c r="AI52" s="6" t="s">
        <v>380</v>
      </c>
    </row>
    <row r="53" spans="1:35" ht="14">
      <c r="A53" s="6">
        <f t="shared" si="1"/>
        <v>51</v>
      </c>
      <c r="B53" s="6" t="s">
        <v>23</v>
      </c>
      <c r="C53" s="6" t="s">
        <v>452</v>
      </c>
      <c r="D53" s="6" t="s">
        <v>380</v>
      </c>
      <c r="E53" s="22">
        <f>HLOOKUP('Output (Dessert)'!$F$4,'Raw Data (Dessert)'!$U$2:$BP$88,(A53+1),)</f>
        <v>0</v>
      </c>
      <c r="F53" s="23">
        <f>IF(D53='Output (Dessert)'!$B$4,1,0)</f>
        <v>0</v>
      </c>
      <c r="G53" s="23">
        <f>IF(L53&lt;='Output (Dessert)'!$C$4,(200-'Raw Data (Dessert)'!L53),0)</f>
        <v>181.01</v>
      </c>
      <c r="H53" s="23">
        <v>5</v>
      </c>
      <c r="I53" s="24">
        <f>SUMPRODUCT(F53:H53,'Output (Dessert)'!$B$5:$D$5)*E53</f>
        <v>0</v>
      </c>
      <c r="J53" s="25">
        <v>0</v>
      </c>
      <c r="K53" s="49">
        <f t="shared" si="0"/>
        <v>0</v>
      </c>
      <c r="L53" s="20">
        <v>18.989999999999998</v>
      </c>
      <c r="M53" s="6" t="s">
        <v>453</v>
      </c>
      <c r="N53" s="6" t="s">
        <v>454</v>
      </c>
      <c r="O53" s="6" t="s">
        <v>455</v>
      </c>
      <c r="P53" s="6" t="s">
        <v>401</v>
      </c>
      <c r="Q53" s="26">
        <v>12</v>
      </c>
      <c r="R53" s="6" t="s">
        <v>411</v>
      </c>
      <c r="S53" s="6" t="s">
        <v>450</v>
      </c>
      <c r="T53" s="6" t="s">
        <v>192</v>
      </c>
      <c r="U53" s="6">
        <f>VLOOKUP($C53,'Food Pairing Data'!$C$2:$S$188,5)</f>
        <v>0</v>
      </c>
      <c r="V53" s="6">
        <f>VLOOKUP($C53,'Food Pairing Data'!$C$2:$S$188,6)</f>
        <v>0</v>
      </c>
      <c r="W53" s="6">
        <f>VLOOKUP($C53,'Food Pairing Data'!$C$2:$S$188,7)</f>
        <v>0</v>
      </c>
      <c r="X53" s="6">
        <f>VLOOKUP($C53,'Food Pairing Data'!$C$2:$S$188,8)</f>
        <v>0</v>
      </c>
      <c r="Y53" s="6">
        <f>VLOOKUP($C53,'Food Pairing Data'!$C$2:$S$188,9)</f>
        <v>0</v>
      </c>
      <c r="Z53" s="6">
        <f>VLOOKUP($C53,'Food Pairing Data'!$C$2:$S$188,10)</f>
        <v>0</v>
      </c>
      <c r="AA53" s="6">
        <f>VLOOKUP($C53,'Food Pairing Data'!$C$2:$S$188,11)</f>
        <v>0</v>
      </c>
      <c r="AB53" s="6">
        <f>VLOOKUP($C53,'Food Pairing Data'!$C$2:$S$188,12)</f>
        <v>0</v>
      </c>
      <c r="AC53" s="6">
        <f>VLOOKUP($C53,'Food Pairing Data'!$C$2:$S$188,13)</f>
        <v>0</v>
      </c>
      <c r="AD53" s="6">
        <f>VLOOKUP($C53,'Food Pairing Data'!$C$2:$S$188,14)</f>
        <v>1</v>
      </c>
      <c r="AE53" s="6">
        <f>VLOOKUP($C53,'Food Pairing Data'!$C$2:$S$188,15)</f>
        <v>0</v>
      </c>
      <c r="AF53" s="6">
        <f>VLOOKUP($C53,'Food Pairing Data'!$C$2:$S$188,16)</f>
        <v>0</v>
      </c>
      <c r="AG53" s="6">
        <f>VLOOKUP($C53,'Food Pairing Data'!$C$2:$S$188,17)</f>
        <v>0</v>
      </c>
      <c r="AH53" s="6" t="s">
        <v>452</v>
      </c>
      <c r="AI53" s="6" t="s">
        <v>380</v>
      </c>
    </row>
    <row r="54" spans="1:35" ht="14">
      <c r="A54" s="6">
        <f t="shared" si="1"/>
        <v>52</v>
      </c>
      <c r="B54" s="6" t="s">
        <v>23</v>
      </c>
      <c r="C54" s="6" t="s">
        <v>459</v>
      </c>
      <c r="D54" s="6" t="s">
        <v>380</v>
      </c>
      <c r="E54" s="22">
        <f>HLOOKUP('Output (Dessert)'!$F$4,'Raw Data (Dessert)'!$U$2:$BP$88,(A54+1),)</f>
        <v>0</v>
      </c>
      <c r="F54" s="23">
        <f>IF(D54='Output (Dessert)'!$B$4,1,0)</f>
        <v>0</v>
      </c>
      <c r="G54" s="23">
        <f>IF(L54&lt;='Output (Dessert)'!$C$4,(200-'Raw Data (Dessert)'!L54),0)</f>
        <v>183.01</v>
      </c>
      <c r="H54" s="23">
        <v>5</v>
      </c>
      <c r="I54" s="24">
        <f>SUMPRODUCT(F54:H54,'Output (Dessert)'!$B$5:$D$5)*E54</f>
        <v>0</v>
      </c>
      <c r="J54" s="25">
        <v>0</v>
      </c>
      <c r="K54" s="49">
        <f t="shared" si="0"/>
        <v>0</v>
      </c>
      <c r="L54" s="20">
        <v>16.989999999999998</v>
      </c>
      <c r="M54" s="6" t="s">
        <v>361</v>
      </c>
      <c r="N54" s="6" t="s">
        <v>461</v>
      </c>
      <c r="O54" s="6" t="s">
        <v>462</v>
      </c>
      <c r="P54" s="6" t="s">
        <v>463</v>
      </c>
      <c r="Q54" s="26">
        <v>12.5</v>
      </c>
      <c r="R54" s="6" t="s">
        <v>464</v>
      </c>
      <c r="S54" s="6" t="s">
        <v>465</v>
      </c>
      <c r="T54" s="6" t="s">
        <v>359</v>
      </c>
      <c r="U54" s="6">
        <f>VLOOKUP($C54,'Food Pairing Data'!$C$2:$S$188,5)</f>
        <v>0</v>
      </c>
      <c r="V54" s="6">
        <f>VLOOKUP($C54,'Food Pairing Data'!$C$2:$S$188,6)</f>
        <v>0</v>
      </c>
      <c r="W54" s="6">
        <f>VLOOKUP($C54,'Food Pairing Data'!$C$2:$S$188,7)</f>
        <v>0</v>
      </c>
      <c r="X54" s="6">
        <f>VLOOKUP($C54,'Food Pairing Data'!$C$2:$S$188,8)</f>
        <v>1</v>
      </c>
      <c r="Y54" s="6">
        <f>VLOOKUP($C54,'Food Pairing Data'!$C$2:$S$188,9)</f>
        <v>0</v>
      </c>
      <c r="Z54" s="6">
        <f>VLOOKUP($C54,'Food Pairing Data'!$C$2:$S$188,10)</f>
        <v>1</v>
      </c>
      <c r="AA54" s="6">
        <f>VLOOKUP($C54,'Food Pairing Data'!$C$2:$S$188,11)</f>
        <v>0</v>
      </c>
      <c r="AB54" s="6">
        <f>VLOOKUP($C54,'Food Pairing Data'!$C$2:$S$188,12)</f>
        <v>0</v>
      </c>
      <c r="AC54" s="6">
        <f>VLOOKUP($C54,'Food Pairing Data'!$C$2:$S$188,13)</f>
        <v>0</v>
      </c>
      <c r="AD54" s="6">
        <f>VLOOKUP($C54,'Food Pairing Data'!$C$2:$S$188,14)</f>
        <v>0</v>
      </c>
      <c r="AE54" s="6">
        <f>VLOOKUP($C54,'Food Pairing Data'!$C$2:$S$188,15)</f>
        <v>0</v>
      </c>
      <c r="AF54" s="6">
        <f>VLOOKUP($C54,'Food Pairing Data'!$C$2:$S$188,16)</f>
        <v>0</v>
      </c>
      <c r="AG54" s="6">
        <f>VLOOKUP($C54,'Food Pairing Data'!$C$2:$S$188,17)</f>
        <v>0</v>
      </c>
      <c r="AH54" s="6" t="s">
        <v>459</v>
      </c>
      <c r="AI54" s="6" t="s">
        <v>380</v>
      </c>
    </row>
    <row r="55" spans="1:35" ht="14">
      <c r="A55" s="6">
        <f t="shared" si="1"/>
        <v>53</v>
      </c>
      <c r="B55" s="6" t="s">
        <v>245</v>
      </c>
      <c r="C55" s="6" t="s">
        <v>467</v>
      </c>
      <c r="D55" s="6" t="s">
        <v>380</v>
      </c>
      <c r="E55" s="22">
        <f>HLOOKUP('Output (Dessert)'!$F$4,'Raw Data (Dessert)'!$U$2:$BP$88,(A55+1),)</f>
        <v>0</v>
      </c>
      <c r="F55" s="23">
        <f>IF(D55='Output (Dessert)'!$B$4,1,0)</f>
        <v>0</v>
      </c>
      <c r="G55" s="23">
        <f>IF(L55&lt;='Output (Dessert)'!$C$4,(200-'Raw Data (Dessert)'!L55),0)</f>
        <v>191.01</v>
      </c>
      <c r="H55" s="23">
        <v>4.5</v>
      </c>
      <c r="I55" s="24">
        <f>SUMPRODUCT(F55:H55,'Output (Dessert)'!$B$5:$D$5)*E55</f>
        <v>0</v>
      </c>
      <c r="J55" s="25">
        <v>0</v>
      </c>
      <c r="K55" s="49">
        <f t="shared" si="0"/>
        <v>0</v>
      </c>
      <c r="L55" s="20">
        <v>8.99</v>
      </c>
      <c r="M55" s="6" t="s">
        <v>361</v>
      </c>
      <c r="N55" s="6" t="s">
        <v>468</v>
      </c>
      <c r="O55" s="6" t="s">
        <v>469</v>
      </c>
      <c r="P55" s="6" t="s">
        <v>470</v>
      </c>
      <c r="Q55" s="26">
        <v>13</v>
      </c>
      <c r="R55" s="6" t="s">
        <v>471</v>
      </c>
      <c r="S55" s="6" t="s">
        <v>472</v>
      </c>
      <c r="T55" s="6" t="s">
        <v>270</v>
      </c>
      <c r="U55" s="6">
        <f>VLOOKUP($C55,'Food Pairing Data'!$C$2:$S$188,5)</f>
        <v>0</v>
      </c>
      <c r="V55" s="6">
        <f>VLOOKUP($C55,'Food Pairing Data'!$C$2:$S$188,6)</f>
        <v>0</v>
      </c>
      <c r="W55" s="6">
        <f>VLOOKUP($C55,'Food Pairing Data'!$C$2:$S$188,7)</f>
        <v>0</v>
      </c>
      <c r="X55" s="6">
        <f>VLOOKUP($C55,'Food Pairing Data'!$C$2:$S$188,8)</f>
        <v>0</v>
      </c>
      <c r="Y55" s="6">
        <f>VLOOKUP($C55,'Food Pairing Data'!$C$2:$S$188,9)</f>
        <v>0</v>
      </c>
      <c r="Z55" s="6">
        <f>VLOOKUP($C55,'Food Pairing Data'!$C$2:$S$188,10)</f>
        <v>0</v>
      </c>
      <c r="AA55" s="6">
        <f>VLOOKUP($C55,'Food Pairing Data'!$C$2:$S$188,11)</f>
        <v>0</v>
      </c>
      <c r="AB55" s="6">
        <f>VLOOKUP($C55,'Food Pairing Data'!$C$2:$S$188,12)</f>
        <v>0</v>
      </c>
      <c r="AC55" s="6">
        <f>VLOOKUP($C55,'Food Pairing Data'!$C$2:$S$188,13)</f>
        <v>0</v>
      </c>
      <c r="AD55" s="6">
        <f>VLOOKUP($C55,'Food Pairing Data'!$C$2:$S$188,14)</f>
        <v>1</v>
      </c>
      <c r="AE55" s="6">
        <f>VLOOKUP($C55,'Food Pairing Data'!$C$2:$S$188,15)</f>
        <v>0</v>
      </c>
      <c r="AF55" s="6">
        <f>VLOOKUP($C55,'Food Pairing Data'!$C$2:$S$188,16)</f>
        <v>0</v>
      </c>
      <c r="AG55" s="6">
        <f>VLOOKUP($C55,'Food Pairing Data'!$C$2:$S$188,17)</f>
        <v>0</v>
      </c>
      <c r="AH55" s="6" t="s">
        <v>467</v>
      </c>
      <c r="AI55" s="6" t="s">
        <v>380</v>
      </c>
    </row>
    <row r="56" spans="1:35" ht="14">
      <c r="A56" s="6">
        <f t="shared" si="1"/>
        <v>54</v>
      </c>
      <c r="B56" s="6" t="s">
        <v>245</v>
      </c>
      <c r="C56" s="6" t="s">
        <v>474</v>
      </c>
      <c r="D56" s="6" t="s">
        <v>380</v>
      </c>
      <c r="E56" s="22">
        <f>HLOOKUP('Output (Dessert)'!$F$4,'Raw Data (Dessert)'!$U$2:$BP$88,(A56+1),)</f>
        <v>0</v>
      </c>
      <c r="F56" s="23">
        <f>IF(D56='Output (Dessert)'!$B$4,1,0)</f>
        <v>0</v>
      </c>
      <c r="G56" s="23">
        <f>IF(L56&lt;='Output (Dessert)'!$C$4,(200-'Raw Data (Dessert)'!L56),0)</f>
        <v>191.01</v>
      </c>
      <c r="H56" s="23">
        <v>4.5</v>
      </c>
      <c r="I56" s="24">
        <f>SUMPRODUCT(F56:H56,'Output (Dessert)'!$B$5:$D$5)*E56</f>
        <v>0</v>
      </c>
      <c r="J56" s="25">
        <v>0</v>
      </c>
      <c r="K56" s="49">
        <f t="shared" si="0"/>
        <v>0</v>
      </c>
      <c r="L56" s="20">
        <v>8.99</v>
      </c>
      <c r="M56" s="6" t="s">
        <v>438</v>
      </c>
      <c r="N56" s="6" t="s">
        <v>476</v>
      </c>
      <c r="O56" s="6" t="s">
        <v>477</v>
      </c>
      <c r="P56" s="6" t="s">
        <v>371</v>
      </c>
      <c r="Q56" s="26">
        <v>14</v>
      </c>
      <c r="R56" s="6" t="s">
        <v>464</v>
      </c>
      <c r="S56" s="6" t="s">
        <v>435</v>
      </c>
      <c r="T56" s="6" t="s">
        <v>270</v>
      </c>
      <c r="U56" s="6">
        <f>VLOOKUP($C56,'Food Pairing Data'!$C$2:$S$188,5)</f>
        <v>0</v>
      </c>
      <c r="V56" s="6">
        <f>VLOOKUP($C56,'Food Pairing Data'!$C$2:$S$188,6)</f>
        <v>0</v>
      </c>
      <c r="W56" s="6">
        <f>VLOOKUP($C56,'Food Pairing Data'!$C$2:$S$188,7)</f>
        <v>0</v>
      </c>
      <c r="X56" s="6">
        <f>VLOOKUP($C56,'Food Pairing Data'!$C$2:$S$188,8)</f>
        <v>0</v>
      </c>
      <c r="Y56" s="6">
        <f>VLOOKUP($C56,'Food Pairing Data'!$C$2:$S$188,9)</f>
        <v>0</v>
      </c>
      <c r="Z56" s="6">
        <f>VLOOKUP($C56,'Food Pairing Data'!$C$2:$S$188,10)</f>
        <v>0</v>
      </c>
      <c r="AA56" s="6">
        <f>VLOOKUP($C56,'Food Pairing Data'!$C$2:$S$188,11)</f>
        <v>0</v>
      </c>
      <c r="AB56" s="6">
        <f>VLOOKUP($C56,'Food Pairing Data'!$C$2:$S$188,12)</f>
        <v>0</v>
      </c>
      <c r="AC56" s="6">
        <f>VLOOKUP($C56,'Food Pairing Data'!$C$2:$S$188,13)</f>
        <v>0</v>
      </c>
      <c r="AD56" s="6">
        <f>VLOOKUP($C56,'Food Pairing Data'!$C$2:$S$188,14)</f>
        <v>1</v>
      </c>
      <c r="AE56" s="6">
        <f>VLOOKUP($C56,'Food Pairing Data'!$C$2:$S$188,15)</f>
        <v>0</v>
      </c>
      <c r="AF56" s="6">
        <f>VLOOKUP($C56,'Food Pairing Data'!$C$2:$S$188,16)</f>
        <v>0</v>
      </c>
      <c r="AG56" s="6">
        <f>VLOOKUP($C56,'Food Pairing Data'!$C$2:$S$188,17)</f>
        <v>0</v>
      </c>
      <c r="AH56" s="6" t="s">
        <v>474</v>
      </c>
      <c r="AI56" s="6" t="s">
        <v>380</v>
      </c>
    </row>
    <row r="57" spans="1:35" ht="14">
      <c r="A57" s="6">
        <f t="shared" si="1"/>
        <v>55</v>
      </c>
      <c r="B57" s="6" t="s">
        <v>181</v>
      </c>
      <c r="C57" s="6" t="s">
        <v>482</v>
      </c>
      <c r="D57" s="6" t="s">
        <v>380</v>
      </c>
      <c r="E57" s="22">
        <f>HLOOKUP('Output (Dessert)'!$F$4,'Raw Data (Dessert)'!$U$2:$BP$88,(A57+1),)</f>
        <v>0</v>
      </c>
      <c r="F57" s="23">
        <f>IF(D57='Output (Dessert)'!$B$4,1,0)</f>
        <v>0</v>
      </c>
      <c r="G57" s="23">
        <f>IF(L57&lt;='Output (Dessert)'!$C$4,(200-'Raw Data (Dessert)'!L57),0)</f>
        <v>0</v>
      </c>
      <c r="H57" s="23">
        <v>4</v>
      </c>
      <c r="I57" s="24">
        <f>SUMPRODUCT(F57:H57,'Output (Dessert)'!$B$5:$D$5)*E57</f>
        <v>0</v>
      </c>
      <c r="J57" s="25">
        <v>0</v>
      </c>
      <c r="K57" s="49">
        <f t="shared" si="0"/>
        <v>0</v>
      </c>
      <c r="L57" s="20">
        <v>36.99</v>
      </c>
      <c r="M57" s="6" t="s">
        <v>508</v>
      </c>
      <c r="N57" s="6" t="s">
        <v>509</v>
      </c>
      <c r="O57" s="6" t="s">
        <v>510</v>
      </c>
      <c r="P57" s="6" t="s">
        <v>511</v>
      </c>
      <c r="Q57" s="26">
        <v>0.14000000000000001</v>
      </c>
      <c r="R57" s="6" t="s">
        <v>143</v>
      </c>
      <c r="S57" s="6" t="s">
        <v>36</v>
      </c>
      <c r="T57" s="6" t="s">
        <v>512</v>
      </c>
      <c r="U57" s="6">
        <f>VLOOKUP($C57,'Food Pairing Data'!$C$2:$S$188,5)</f>
        <v>0</v>
      </c>
      <c r="V57" s="6">
        <f>VLOOKUP($C57,'Food Pairing Data'!$C$2:$S$188,6)</f>
        <v>0</v>
      </c>
      <c r="W57" s="6">
        <f>VLOOKUP($C57,'Food Pairing Data'!$C$2:$S$188,7)</f>
        <v>0</v>
      </c>
      <c r="X57" s="6">
        <f>VLOOKUP($C57,'Food Pairing Data'!$C$2:$S$188,8)</f>
        <v>0</v>
      </c>
      <c r="Y57" s="6">
        <f>VLOOKUP($C57,'Food Pairing Data'!$C$2:$S$188,9)</f>
        <v>0</v>
      </c>
      <c r="Z57" s="6">
        <f>VLOOKUP($C57,'Food Pairing Data'!$C$2:$S$188,10)</f>
        <v>0</v>
      </c>
      <c r="AA57" s="6">
        <f>VLOOKUP($C57,'Food Pairing Data'!$C$2:$S$188,11)</f>
        <v>0</v>
      </c>
      <c r="AB57" s="6">
        <f>VLOOKUP($C57,'Food Pairing Data'!$C$2:$S$188,12)</f>
        <v>0</v>
      </c>
      <c r="AC57" s="6">
        <f>VLOOKUP($C57,'Food Pairing Data'!$C$2:$S$188,13)</f>
        <v>0</v>
      </c>
      <c r="AD57" s="6">
        <f>VLOOKUP($C57,'Food Pairing Data'!$C$2:$S$188,14)</f>
        <v>1</v>
      </c>
      <c r="AE57" s="6">
        <f>VLOOKUP($C57,'Food Pairing Data'!$C$2:$S$188,15)</f>
        <v>0</v>
      </c>
      <c r="AF57" s="6">
        <f>VLOOKUP($C57,'Food Pairing Data'!$C$2:$S$188,16)</f>
        <v>0</v>
      </c>
      <c r="AG57" s="6">
        <f>VLOOKUP($C57,'Food Pairing Data'!$C$2:$S$188,17)</f>
        <v>0</v>
      </c>
      <c r="AH57" s="6" t="s">
        <v>482</v>
      </c>
      <c r="AI57" s="6" t="s">
        <v>380</v>
      </c>
    </row>
    <row r="58" spans="1:35" ht="14">
      <c r="A58" s="6">
        <f t="shared" si="1"/>
        <v>56</v>
      </c>
      <c r="B58" s="6" t="s">
        <v>23</v>
      </c>
      <c r="C58" s="6" t="s">
        <v>513</v>
      </c>
      <c r="D58" s="6" t="s">
        <v>380</v>
      </c>
      <c r="E58" s="22">
        <f>HLOOKUP('Output (Dessert)'!$F$4,'Raw Data (Dessert)'!$U$2:$BP$88,(A58+1),)</f>
        <v>0</v>
      </c>
      <c r="F58" s="23">
        <f>IF(D58='Output (Dessert)'!$B$4,1,0)</f>
        <v>0</v>
      </c>
      <c r="G58" s="23">
        <f>IF(L58&lt;='Output (Dessert)'!$C$4,(200-'Raw Data (Dessert)'!L58),0)</f>
        <v>185.01</v>
      </c>
      <c r="H58" s="23">
        <v>4</v>
      </c>
      <c r="I58" s="24">
        <f>SUMPRODUCT(F58:H58,'Output (Dessert)'!$B$5:$D$5)*E58</f>
        <v>0</v>
      </c>
      <c r="J58" s="25">
        <v>0</v>
      </c>
      <c r="K58" s="49">
        <f t="shared" si="0"/>
        <v>0</v>
      </c>
      <c r="L58" s="20">
        <v>14.99</v>
      </c>
      <c r="M58" s="6" t="s">
        <v>514</v>
      </c>
      <c r="N58" s="6" t="s">
        <v>515</v>
      </c>
      <c r="O58" s="6" t="s">
        <v>516</v>
      </c>
      <c r="P58" s="6" t="s">
        <v>517</v>
      </c>
      <c r="Q58" s="26">
        <v>0.105</v>
      </c>
      <c r="R58" s="6" t="s">
        <v>518</v>
      </c>
      <c r="S58" s="6" t="s">
        <v>98</v>
      </c>
      <c r="T58" s="6" t="s">
        <v>148</v>
      </c>
      <c r="U58" s="6">
        <f>VLOOKUP($C58,'Food Pairing Data'!$C$2:$S$188,5)</f>
        <v>0</v>
      </c>
      <c r="V58" s="6">
        <f>VLOOKUP($C58,'Food Pairing Data'!$C$2:$S$188,6)</f>
        <v>0</v>
      </c>
      <c r="W58" s="6">
        <f>VLOOKUP($C58,'Food Pairing Data'!$C$2:$S$188,7)</f>
        <v>0</v>
      </c>
      <c r="X58" s="6">
        <f>VLOOKUP($C58,'Food Pairing Data'!$C$2:$S$188,8)</f>
        <v>0</v>
      </c>
      <c r="Y58" s="6">
        <f>VLOOKUP($C58,'Food Pairing Data'!$C$2:$S$188,9)</f>
        <v>0</v>
      </c>
      <c r="Z58" s="6">
        <f>VLOOKUP($C58,'Food Pairing Data'!$C$2:$S$188,10)</f>
        <v>0</v>
      </c>
      <c r="AA58" s="6">
        <f>VLOOKUP($C58,'Food Pairing Data'!$C$2:$S$188,11)</f>
        <v>0</v>
      </c>
      <c r="AB58" s="6">
        <f>VLOOKUP($C58,'Food Pairing Data'!$C$2:$S$188,12)</f>
        <v>0</v>
      </c>
      <c r="AC58" s="6">
        <f>VLOOKUP($C58,'Food Pairing Data'!$C$2:$S$188,13)</f>
        <v>0</v>
      </c>
      <c r="AD58" s="6">
        <f>VLOOKUP($C58,'Food Pairing Data'!$C$2:$S$188,14)</f>
        <v>1</v>
      </c>
      <c r="AE58" s="6">
        <f>VLOOKUP($C58,'Food Pairing Data'!$C$2:$S$188,15)</f>
        <v>0</v>
      </c>
      <c r="AF58" s="6">
        <f>VLOOKUP($C58,'Food Pairing Data'!$C$2:$S$188,16)</f>
        <v>0</v>
      </c>
      <c r="AG58" s="6">
        <f>VLOOKUP($C58,'Food Pairing Data'!$C$2:$S$188,17)</f>
        <v>0</v>
      </c>
      <c r="AH58" s="6" t="s">
        <v>513</v>
      </c>
      <c r="AI58" s="6" t="s">
        <v>380</v>
      </c>
    </row>
    <row r="59" spans="1:35" ht="14">
      <c r="A59" s="6">
        <f t="shared" si="1"/>
        <v>57</v>
      </c>
      <c r="B59" s="6" t="s">
        <v>23</v>
      </c>
      <c r="C59" s="6" t="s">
        <v>519</v>
      </c>
      <c r="D59" s="6" t="s">
        <v>380</v>
      </c>
      <c r="E59" s="22">
        <f>HLOOKUP('Output (Dessert)'!$F$4,'Raw Data (Dessert)'!$U$2:$BP$88,(A59+1),)</f>
        <v>0</v>
      </c>
      <c r="F59" s="23">
        <f>IF(D59='Output (Dessert)'!$B$4,1,0)</f>
        <v>0</v>
      </c>
      <c r="G59" s="23">
        <f>IF(L59&lt;='Output (Dessert)'!$C$4,(200-'Raw Data (Dessert)'!L59),0)</f>
        <v>188.01</v>
      </c>
      <c r="H59" s="23">
        <v>4</v>
      </c>
      <c r="I59" s="24">
        <f>SUMPRODUCT(F59:H59,'Output (Dessert)'!$B$5:$D$5)*E59</f>
        <v>0</v>
      </c>
      <c r="J59" s="25">
        <v>0</v>
      </c>
      <c r="K59" s="49">
        <f t="shared" si="0"/>
        <v>0</v>
      </c>
      <c r="L59" s="20">
        <v>11.99</v>
      </c>
      <c r="M59" s="6" t="s">
        <v>508</v>
      </c>
      <c r="N59" s="6" t="s">
        <v>520</v>
      </c>
      <c r="O59" s="6" t="s">
        <v>521</v>
      </c>
      <c r="P59" s="6" t="s">
        <v>522</v>
      </c>
      <c r="Q59" s="26">
        <v>0.125</v>
      </c>
      <c r="R59" s="6" t="s">
        <v>523</v>
      </c>
      <c r="S59" s="6" t="s">
        <v>93</v>
      </c>
      <c r="T59" s="6" t="s">
        <v>512</v>
      </c>
      <c r="U59" s="6">
        <f>VLOOKUP($C59,'Food Pairing Data'!$C$2:$S$188,5)</f>
        <v>0</v>
      </c>
      <c r="V59" s="6">
        <f>VLOOKUP($C59,'Food Pairing Data'!$C$2:$S$188,6)</f>
        <v>0</v>
      </c>
      <c r="W59" s="6">
        <f>VLOOKUP($C59,'Food Pairing Data'!$C$2:$S$188,7)</f>
        <v>0</v>
      </c>
      <c r="X59" s="6">
        <f>VLOOKUP($C59,'Food Pairing Data'!$C$2:$S$188,8)</f>
        <v>0</v>
      </c>
      <c r="Y59" s="6">
        <f>VLOOKUP($C59,'Food Pairing Data'!$C$2:$S$188,9)</f>
        <v>0</v>
      </c>
      <c r="Z59" s="6">
        <f>VLOOKUP($C59,'Food Pairing Data'!$C$2:$S$188,10)</f>
        <v>0</v>
      </c>
      <c r="AA59" s="6">
        <f>VLOOKUP($C59,'Food Pairing Data'!$C$2:$S$188,11)</f>
        <v>0</v>
      </c>
      <c r="AB59" s="6">
        <f>VLOOKUP($C59,'Food Pairing Data'!$C$2:$S$188,12)</f>
        <v>0</v>
      </c>
      <c r="AC59" s="6">
        <f>VLOOKUP($C59,'Food Pairing Data'!$C$2:$S$188,13)</f>
        <v>0</v>
      </c>
      <c r="AD59" s="6">
        <f>VLOOKUP($C59,'Food Pairing Data'!$C$2:$S$188,14)</f>
        <v>1</v>
      </c>
      <c r="AE59" s="6">
        <f>VLOOKUP($C59,'Food Pairing Data'!$C$2:$S$188,15)</f>
        <v>0</v>
      </c>
      <c r="AF59" s="6">
        <f>VLOOKUP($C59,'Food Pairing Data'!$C$2:$S$188,16)</f>
        <v>0</v>
      </c>
      <c r="AG59" s="6">
        <f>VLOOKUP($C59,'Food Pairing Data'!$C$2:$S$188,17)</f>
        <v>0</v>
      </c>
      <c r="AH59" s="6" t="s">
        <v>519</v>
      </c>
      <c r="AI59" s="6" t="s">
        <v>380</v>
      </c>
    </row>
    <row r="60" spans="1:35" ht="14">
      <c r="A60" s="6">
        <f t="shared" si="1"/>
        <v>58</v>
      </c>
      <c r="B60" s="6" t="s">
        <v>23</v>
      </c>
      <c r="C60" s="6" t="s">
        <v>524</v>
      </c>
      <c r="D60" s="6" t="s">
        <v>380</v>
      </c>
      <c r="E60" s="22">
        <f>HLOOKUP('Output (Dessert)'!$F$4,'Raw Data (Dessert)'!$U$2:$BP$88,(A60+1),)</f>
        <v>0</v>
      </c>
      <c r="F60" s="23">
        <f>IF(D60='Output (Dessert)'!$B$4,1,0)</f>
        <v>0</v>
      </c>
      <c r="G60" s="23">
        <f>IF(L60&lt;='Output (Dessert)'!$C$4,(200-'Raw Data (Dessert)'!L60),0)</f>
        <v>189.01</v>
      </c>
      <c r="H60" s="23">
        <v>4</v>
      </c>
      <c r="I60" s="24">
        <f>SUMPRODUCT(F60:H60,'Output (Dessert)'!$B$5:$D$5)*E60</f>
        <v>0</v>
      </c>
      <c r="J60" s="25">
        <v>0</v>
      </c>
      <c r="K60" s="49">
        <f t="shared" si="0"/>
        <v>0</v>
      </c>
      <c r="L60" s="20">
        <v>10.99</v>
      </c>
      <c r="M60" s="6" t="s">
        <v>525</v>
      </c>
      <c r="N60" s="6" t="s">
        <v>526</v>
      </c>
      <c r="O60" s="6" t="s">
        <v>527</v>
      </c>
      <c r="P60" s="6" t="s">
        <v>528</v>
      </c>
      <c r="Q60" s="26">
        <v>0.115</v>
      </c>
      <c r="R60" s="6" t="s">
        <v>523</v>
      </c>
      <c r="S60" s="6" t="s">
        <v>529</v>
      </c>
      <c r="T60" s="6" t="s">
        <v>512</v>
      </c>
      <c r="U60" s="6">
        <f>VLOOKUP($C60,'Food Pairing Data'!$C$2:$S$188,5)</f>
        <v>0</v>
      </c>
      <c r="V60" s="6">
        <f>VLOOKUP($C60,'Food Pairing Data'!$C$2:$S$188,6)</f>
        <v>0</v>
      </c>
      <c r="W60" s="6">
        <f>VLOOKUP($C60,'Food Pairing Data'!$C$2:$S$188,7)</f>
        <v>0</v>
      </c>
      <c r="X60" s="6">
        <f>VLOOKUP($C60,'Food Pairing Data'!$C$2:$S$188,8)</f>
        <v>1</v>
      </c>
      <c r="Y60" s="6">
        <f>VLOOKUP($C60,'Food Pairing Data'!$C$2:$S$188,9)</f>
        <v>0</v>
      </c>
      <c r="Z60" s="6">
        <f>VLOOKUP($C60,'Food Pairing Data'!$C$2:$S$188,10)</f>
        <v>1</v>
      </c>
      <c r="AA60" s="6">
        <f>VLOOKUP($C60,'Food Pairing Data'!$C$2:$S$188,11)</f>
        <v>0</v>
      </c>
      <c r="AB60" s="6">
        <f>VLOOKUP($C60,'Food Pairing Data'!$C$2:$S$188,12)</f>
        <v>0</v>
      </c>
      <c r="AC60" s="6">
        <f>VLOOKUP($C60,'Food Pairing Data'!$C$2:$S$188,13)</f>
        <v>0</v>
      </c>
      <c r="AD60" s="6">
        <f>VLOOKUP($C60,'Food Pairing Data'!$C$2:$S$188,14)</f>
        <v>0</v>
      </c>
      <c r="AE60" s="6">
        <f>VLOOKUP($C60,'Food Pairing Data'!$C$2:$S$188,15)</f>
        <v>0</v>
      </c>
      <c r="AF60" s="6">
        <f>VLOOKUP($C60,'Food Pairing Data'!$C$2:$S$188,16)</f>
        <v>0</v>
      </c>
      <c r="AG60" s="6">
        <f>VLOOKUP($C60,'Food Pairing Data'!$C$2:$S$188,17)</f>
        <v>0</v>
      </c>
      <c r="AH60" s="6" t="s">
        <v>524</v>
      </c>
      <c r="AI60" s="6" t="s">
        <v>380</v>
      </c>
    </row>
    <row r="61" spans="1:35" ht="14">
      <c r="A61" s="6">
        <f t="shared" si="1"/>
        <v>59</v>
      </c>
      <c r="B61" s="6" t="s">
        <v>245</v>
      </c>
      <c r="C61" s="6" t="s">
        <v>530</v>
      </c>
      <c r="D61" s="6" t="s">
        <v>380</v>
      </c>
      <c r="E61" s="22">
        <f>HLOOKUP('Output (Dessert)'!$F$4,'Raw Data (Dessert)'!$U$2:$BP$88,(A61+1),)</f>
        <v>0</v>
      </c>
      <c r="F61" s="23">
        <f>IF(D61='Output (Dessert)'!$B$4,1,0)</f>
        <v>0</v>
      </c>
      <c r="G61" s="23">
        <f>IF(L61&lt;='Output (Dessert)'!$C$4,(200-'Raw Data (Dessert)'!L61),0)</f>
        <v>190.01</v>
      </c>
      <c r="H61" s="23">
        <v>4</v>
      </c>
      <c r="I61" s="24">
        <f>SUMPRODUCT(F61:H61,'Output (Dessert)'!$B$5:$D$5)*E61</f>
        <v>0</v>
      </c>
      <c r="J61" s="25">
        <v>0</v>
      </c>
      <c r="K61" s="49">
        <f t="shared" si="0"/>
        <v>0</v>
      </c>
      <c r="L61" s="20">
        <v>9.99</v>
      </c>
      <c r="M61" s="6" t="s">
        <v>531</v>
      </c>
      <c r="N61" s="6" t="s">
        <v>532</v>
      </c>
      <c r="O61" s="6" t="s">
        <v>533</v>
      </c>
      <c r="P61" s="6" t="s">
        <v>534</v>
      </c>
      <c r="Q61" s="26">
        <v>0.125</v>
      </c>
      <c r="R61" s="6" t="s">
        <v>535</v>
      </c>
      <c r="S61" s="6" t="s">
        <v>536</v>
      </c>
      <c r="T61" s="6" t="s">
        <v>512</v>
      </c>
      <c r="U61" s="6">
        <v>0</v>
      </c>
      <c r="V61" s="6">
        <v>0</v>
      </c>
      <c r="W61" s="6">
        <v>1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1</v>
      </c>
      <c r="AF61" s="6">
        <v>0</v>
      </c>
      <c r="AG61" s="6">
        <v>0</v>
      </c>
      <c r="AH61" s="6" t="s">
        <v>530</v>
      </c>
      <c r="AI61" s="6" t="s">
        <v>380</v>
      </c>
    </row>
    <row r="62" spans="1:35" ht="14">
      <c r="A62" s="6">
        <f t="shared" si="1"/>
        <v>60</v>
      </c>
      <c r="B62" s="6" t="s">
        <v>245</v>
      </c>
      <c r="C62" s="6" t="s">
        <v>537</v>
      </c>
      <c r="D62" s="6" t="s">
        <v>380</v>
      </c>
      <c r="E62" s="22">
        <f>HLOOKUP('Output (Dessert)'!$F$4,'Raw Data (Dessert)'!$U$2:$BP$88,(A62+1),)</f>
        <v>0</v>
      </c>
      <c r="F62" s="23">
        <f>IF(D62='Output (Dessert)'!$B$4,1,0)</f>
        <v>0</v>
      </c>
      <c r="G62" s="23">
        <f>IF(L62&lt;='Output (Dessert)'!$C$4,(200-'Raw Data (Dessert)'!L62),0)</f>
        <v>190.01</v>
      </c>
      <c r="H62" s="23">
        <v>4</v>
      </c>
      <c r="I62" s="24">
        <f>SUMPRODUCT(F62:H62,'Output (Dessert)'!$B$5:$D$5)*E62</f>
        <v>0</v>
      </c>
      <c r="J62" s="25">
        <v>0</v>
      </c>
      <c r="K62" s="49">
        <f t="shared" si="0"/>
        <v>0</v>
      </c>
      <c r="L62" s="20">
        <v>9.99</v>
      </c>
      <c r="M62" s="6" t="s">
        <v>538</v>
      </c>
      <c r="N62" s="6" t="s">
        <v>539</v>
      </c>
      <c r="O62" s="6" t="s">
        <v>299</v>
      </c>
      <c r="P62" s="6" t="s">
        <v>540</v>
      </c>
      <c r="Q62" s="26">
        <v>0.13500000000000001</v>
      </c>
      <c r="R62" s="6" t="s">
        <v>75</v>
      </c>
      <c r="S62" s="6" t="s">
        <v>152</v>
      </c>
      <c r="T62" s="6" t="s">
        <v>512</v>
      </c>
      <c r="U62" s="6">
        <f>VLOOKUP($C62,'Food Pairing Data'!$C$2:$S$188,5)</f>
        <v>0</v>
      </c>
      <c r="V62" s="6">
        <f>VLOOKUP($C62,'Food Pairing Data'!$C$2:$S$188,6)</f>
        <v>0</v>
      </c>
      <c r="W62" s="6">
        <f>VLOOKUP($C62,'Food Pairing Data'!$C$2:$S$188,7)</f>
        <v>0</v>
      </c>
      <c r="X62" s="6">
        <f>VLOOKUP($C62,'Food Pairing Data'!$C$2:$S$188,8)</f>
        <v>0</v>
      </c>
      <c r="Y62" s="6">
        <f>VLOOKUP($C62,'Food Pairing Data'!$C$2:$S$188,9)</f>
        <v>0</v>
      </c>
      <c r="Z62" s="6">
        <f>VLOOKUP($C62,'Food Pairing Data'!$C$2:$S$188,10)</f>
        <v>0</v>
      </c>
      <c r="AA62" s="6">
        <f>VLOOKUP($C62,'Food Pairing Data'!$C$2:$S$188,11)</f>
        <v>0</v>
      </c>
      <c r="AB62" s="6">
        <f>VLOOKUP($C62,'Food Pairing Data'!$C$2:$S$188,12)</f>
        <v>0</v>
      </c>
      <c r="AC62" s="6">
        <f>VLOOKUP($C62,'Food Pairing Data'!$C$2:$S$188,13)</f>
        <v>0</v>
      </c>
      <c r="AD62" s="6">
        <f>VLOOKUP($C62,'Food Pairing Data'!$C$2:$S$188,14)</f>
        <v>1</v>
      </c>
      <c r="AE62" s="6">
        <f>VLOOKUP($C62,'Food Pairing Data'!$C$2:$S$188,15)</f>
        <v>0</v>
      </c>
      <c r="AF62" s="6">
        <f>VLOOKUP($C62,'Food Pairing Data'!$C$2:$S$188,16)</f>
        <v>0</v>
      </c>
      <c r="AG62" s="6">
        <f>VLOOKUP($C62,'Food Pairing Data'!$C$2:$S$188,17)</f>
        <v>0</v>
      </c>
      <c r="AH62" s="6" t="s">
        <v>537</v>
      </c>
      <c r="AI62" s="6" t="s">
        <v>380</v>
      </c>
    </row>
    <row r="63" spans="1:35" ht="14">
      <c r="A63" s="6">
        <f t="shared" si="1"/>
        <v>61</v>
      </c>
      <c r="B63" s="6" t="s">
        <v>23</v>
      </c>
      <c r="C63" s="6" t="s">
        <v>541</v>
      </c>
      <c r="D63" s="6" t="s">
        <v>380</v>
      </c>
      <c r="E63" s="22">
        <f>HLOOKUP('Output (Dessert)'!$F$4,'Raw Data (Dessert)'!$U$2:$BP$88,(A63+1),)</f>
        <v>0</v>
      </c>
      <c r="F63" s="23">
        <f>IF(D63='Output (Dessert)'!$B$4,1,0)</f>
        <v>0</v>
      </c>
      <c r="G63" s="23">
        <f>IF(L63&lt;='Output (Dessert)'!$C$4,(200-'Raw Data (Dessert)'!L63),0)</f>
        <v>180.01</v>
      </c>
      <c r="H63" s="23">
        <v>3.5</v>
      </c>
      <c r="I63" s="24">
        <f>SUMPRODUCT(F63:H63,'Output (Dessert)'!$B$5:$D$5)*E63</f>
        <v>0</v>
      </c>
      <c r="J63" s="25">
        <v>0</v>
      </c>
      <c r="K63" s="49">
        <f t="shared" si="0"/>
        <v>0</v>
      </c>
      <c r="L63" s="20">
        <v>19.989999999999998</v>
      </c>
      <c r="M63" s="6" t="s">
        <v>542</v>
      </c>
      <c r="N63" s="6" t="s">
        <v>543</v>
      </c>
      <c r="O63" s="6" t="s">
        <v>544</v>
      </c>
      <c r="P63" s="6" t="s">
        <v>540</v>
      </c>
      <c r="Q63" s="26">
        <v>0.09</v>
      </c>
      <c r="R63" s="6" t="s">
        <v>75</v>
      </c>
      <c r="S63" s="6" t="s">
        <v>150</v>
      </c>
      <c r="T63" s="6" t="s">
        <v>512</v>
      </c>
      <c r="U63" s="6">
        <f>VLOOKUP($C63,'Food Pairing Data'!$C$2:$S$188,5)</f>
        <v>0</v>
      </c>
      <c r="V63" s="6">
        <f>VLOOKUP($C63,'Food Pairing Data'!$C$2:$S$188,6)</f>
        <v>0</v>
      </c>
      <c r="W63" s="6">
        <f>VLOOKUP($C63,'Food Pairing Data'!$C$2:$S$188,7)</f>
        <v>0</v>
      </c>
      <c r="X63" s="6">
        <f>VLOOKUP($C63,'Food Pairing Data'!$C$2:$S$188,8)</f>
        <v>1</v>
      </c>
      <c r="Y63" s="6">
        <f>VLOOKUP($C63,'Food Pairing Data'!$C$2:$S$188,9)</f>
        <v>0</v>
      </c>
      <c r="Z63" s="6">
        <f>VLOOKUP($C63,'Food Pairing Data'!$C$2:$S$188,10)</f>
        <v>1</v>
      </c>
      <c r="AA63" s="6">
        <f>VLOOKUP($C63,'Food Pairing Data'!$C$2:$S$188,11)</f>
        <v>0</v>
      </c>
      <c r="AB63" s="6">
        <f>VLOOKUP($C63,'Food Pairing Data'!$C$2:$S$188,12)</f>
        <v>0</v>
      </c>
      <c r="AC63" s="6">
        <f>VLOOKUP($C63,'Food Pairing Data'!$C$2:$S$188,13)</f>
        <v>0</v>
      </c>
      <c r="AD63" s="6">
        <f>VLOOKUP($C63,'Food Pairing Data'!$C$2:$S$188,14)</f>
        <v>0</v>
      </c>
      <c r="AE63" s="6">
        <f>VLOOKUP($C63,'Food Pairing Data'!$C$2:$S$188,15)</f>
        <v>0</v>
      </c>
      <c r="AF63" s="6">
        <f>VLOOKUP($C63,'Food Pairing Data'!$C$2:$S$188,16)</f>
        <v>0</v>
      </c>
      <c r="AG63" s="6">
        <f>VLOOKUP($C63,'Food Pairing Data'!$C$2:$S$188,17)</f>
        <v>0</v>
      </c>
      <c r="AH63" s="6" t="s">
        <v>541</v>
      </c>
      <c r="AI63" s="6" t="s">
        <v>380</v>
      </c>
    </row>
    <row r="64" spans="1:35" ht="14">
      <c r="A64" s="6">
        <f t="shared" si="1"/>
        <v>62</v>
      </c>
      <c r="B64" s="6" t="s">
        <v>23</v>
      </c>
      <c r="C64" s="6" t="s">
        <v>545</v>
      </c>
      <c r="D64" s="6" t="s">
        <v>380</v>
      </c>
      <c r="E64" s="22">
        <f>HLOOKUP('Output (Dessert)'!$F$4,'Raw Data (Dessert)'!$U$2:$BP$88,(A64+1),)</f>
        <v>0</v>
      </c>
      <c r="F64" s="23">
        <f>IF(D64='Output (Dessert)'!$B$4,1,0)</f>
        <v>0</v>
      </c>
      <c r="G64" s="23">
        <f>IF(L64&lt;='Output (Dessert)'!$C$4,(200-'Raw Data (Dessert)'!L64),0)</f>
        <v>180.01</v>
      </c>
      <c r="H64" s="23">
        <v>3.5</v>
      </c>
      <c r="I64" s="24">
        <f>SUMPRODUCT(F64:H64,'Output (Dessert)'!$B$5:$D$5)*E64</f>
        <v>0</v>
      </c>
      <c r="J64" s="25">
        <v>0</v>
      </c>
      <c r="K64" s="49">
        <f t="shared" si="0"/>
        <v>0</v>
      </c>
      <c r="L64" s="20">
        <v>19.989999999999998</v>
      </c>
      <c r="M64" s="6" t="s">
        <v>546</v>
      </c>
      <c r="N64" s="6" t="s">
        <v>547</v>
      </c>
      <c r="O64" s="6" t="s">
        <v>548</v>
      </c>
      <c r="P64" s="6" t="s">
        <v>167</v>
      </c>
      <c r="Q64" s="26">
        <v>0.13</v>
      </c>
      <c r="R64" s="6" t="s">
        <v>523</v>
      </c>
      <c r="S64" s="6" t="s">
        <v>150</v>
      </c>
      <c r="T64" s="6" t="s">
        <v>512</v>
      </c>
      <c r="U64" s="6">
        <f>VLOOKUP($C64,'Food Pairing Data'!$C$2:$S$188,5)</f>
        <v>0</v>
      </c>
      <c r="V64" s="6">
        <f>VLOOKUP($C64,'Food Pairing Data'!$C$2:$S$188,6)</f>
        <v>0</v>
      </c>
      <c r="W64" s="6">
        <f>VLOOKUP($C64,'Food Pairing Data'!$C$2:$S$188,7)</f>
        <v>0</v>
      </c>
      <c r="X64" s="6">
        <f>VLOOKUP($C64,'Food Pairing Data'!$C$2:$S$188,8)</f>
        <v>0</v>
      </c>
      <c r="Y64" s="6">
        <f>VLOOKUP($C64,'Food Pairing Data'!$C$2:$S$188,9)</f>
        <v>0</v>
      </c>
      <c r="Z64" s="6">
        <f>VLOOKUP($C64,'Food Pairing Data'!$C$2:$S$188,10)</f>
        <v>0</v>
      </c>
      <c r="AA64" s="6">
        <f>VLOOKUP($C64,'Food Pairing Data'!$C$2:$S$188,11)</f>
        <v>0</v>
      </c>
      <c r="AB64" s="6">
        <f>VLOOKUP($C64,'Food Pairing Data'!$C$2:$S$188,12)</f>
        <v>0</v>
      </c>
      <c r="AC64" s="6">
        <f>VLOOKUP($C64,'Food Pairing Data'!$C$2:$S$188,13)</f>
        <v>0</v>
      </c>
      <c r="AD64" s="6">
        <f>VLOOKUP($C64,'Food Pairing Data'!$C$2:$S$188,14)</f>
        <v>1</v>
      </c>
      <c r="AE64" s="6">
        <f>VLOOKUP($C64,'Food Pairing Data'!$C$2:$S$188,15)</f>
        <v>0</v>
      </c>
      <c r="AF64" s="6">
        <f>VLOOKUP($C64,'Food Pairing Data'!$C$2:$S$188,16)</f>
        <v>0</v>
      </c>
      <c r="AG64" s="6">
        <f>VLOOKUP($C64,'Food Pairing Data'!$C$2:$S$188,17)</f>
        <v>0</v>
      </c>
      <c r="AH64" s="6" t="s">
        <v>545</v>
      </c>
      <c r="AI64" s="6" t="s">
        <v>380</v>
      </c>
    </row>
    <row r="65" spans="1:35" ht="14">
      <c r="A65" s="6">
        <f t="shared" si="1"/>
        <v>63</v>
      </c>
      <c r="B65" s="6" t="s">
        <v>23</v>
      </c>
      <c r="C65" s="6" t="s">
        <v>549</v>
      </c>
      <c r="D65" s="6" t="s">
        <v>380</v>
      </c>
      <c r="E65" s="22">
        <f>HLOOKUP('Output (Dessert)'!$F$4,'Raw Data (Dessert)'!$U$2:$BP$88,(A65+1),)</f>
        <v>0</v>
      </c>
      <c r="F65" s="23">
        <f>IF(D65='Output (Dessert)'!$B$4,1,0)</f>
        <v>0</v>
      </c>
      <c r="G65" s="23">
        <f>IF(L65&lt;='Output (Dessert)'!$C$4,(200-'Raw Data (Dessert)'!L65),0)</f>
        <v>183.01</v>
      </c>
      <c r="H65" s="23">
        <v>3.5</v>
      </c>
      <c r="I65" s="24">
        <f>SUMPRODUCT(F65:H65,'Output (Dessert)'!$B$5:$D$5)*E65</f>
        <v>0</v>
      </c>
      <c r="J65" s="25">
        <v>0</v>
      </c>
      <c r="K65" s="49">
        <f t="shared" si="0"/>
        <v>0</v>
      </c>
      <c r="L65" s="20">
        <v>16.989999999999998</v>
      </c>
      <c r="M65" s="6" t="s">
        <v>550</v>
      </c>
      <c r="N65" s="6" t="s">
        <v>551</v>
      </c>
      <c r="O65" s="6" t="s">
        <v>552</v>
      </c>
      <c r="P65" s="6" t="s">
        <v>300</v>
      </c>
      <c r="Q65" s="26">
        <v>0.13</v>
      </c>
      <c r="R65" s="6" t="s">
        <v>523</v>
      </c>
      <c r="S65" s="6" t="s">
        <v>529</v>
      </c>
      <c r="T65" s="6" t="s">
        <v>553</v>
      </c>
      <c r="U65" s="6">
        <f>VLOOKUP($C65,'Food Pairing Data'!$C$2:$S$188,5)</f>
        <v>0</v>
      </c>
      <c r="V65" s="6">
        <f>VLOOKUP($C65,'Food Pairing Data'!$C$2:$S$188,6)</f>
        <v>0</v>
      </c>
      <c r="W65" s="6">
        <f>VLOOKUP($C65,'Food Pairing Data'!$C$2:$S$188,7)</f>
        <v>1</v>
      </c>
      <c r="X65" s="6">
        <f>VLOOKUP($C65,'Food Pairing Data'!$C$2:$S$188,8)</f>
        <v>1</v>
      </c>
      <c r="Y65" s="6">
        <f>VLOOKUP($C65,'Food Pairing Data'!$C$2:$S$188,9)</f>
        <v>0</v>
      </c>
      <c r="Z65" s="6">
        <f>VLOOKUP($C65,'Food Pairing Data'!$C$2:$S$188,10)</f>
        <v>0</v>
      </c>
      <c r="AA65" s="6">
        <f>VLOOKUP($C65,'Food Pairing Data'!$C$2:$S$188,11)</f>
        <v>0</v>
      </c>
      <c r="AB65" s="6">
        <f>VLOOKUP($C65,'Food Pairing Data'!$C$2:$S$188,12)</f>
        <v>0</v>
      </c>
      <c r="AC65" s="6">
        <f>VLOOKUP($C65,'Food Pairing Data'!$C$2:$S$188,13)</f>
        <v>0</v>
      </c>
      <c r="AD65" s="6">
        <f>VLOOKUP($C65,'Food Pairing Data'!$C$2:$S$188,14)</f>
        <v>0</v>
      </c>
      <c r="AE65" s="6">
        <f>VLOOKUP($C65,'Food Pairing Data'!$C$2:$S$188,15)</f>
        <v>0</v>
      </c>
      <c r="AF65" s="6">
        <f>VLOOKUP($C65,'Food Pairing Data'!$C$2:$S$188,16)</f>
        <v>0</v>
      </c>
      <c r="AG65" s="6">
        <f>VLOOKUP($C65,'Food Pairing Data'!$C$2:$S$188,17)</f>
        <v>0</v>
      </c>
      <c r="AH65" s="6" t="s">
        <v>549</v>
      </c>
      <c r="AI65" s="6" t="s">
        <v>380</v>
      </c>
    </row>
    <row r="66" spans="1:35" ht="14">
      <c r="A66" s="6">
        <f t="shared" si="1"/>
        <v>64</v>
      </c>
      <c r="B66" s="6" t="s">
        <v>23</v>
      </c>
      <c r="C66" s="6" t="s">
        <v>554</v>
      </c>
      <c r="D66" s="6" t="s">
        <v>380</v>
      </c>
      <c r="E66" s="22">
        <f>HLOOKUP('Output (Dessert)'!$F$4,'Raw Data (Dessert)'!$U$2:$BP$88,(A66+1),)</f>
        <v>0</v>
      </c>
      <c r="F66" s="23">
        <f>IF(D66='Output (Dessert)'!$B$4,1,0)</f>
        <v>0</v>
      </c>
      <c r="G66" s="23">
        <f>IF(L66&lt;='Output (Dessert)'!$C$4,(200-'Raw Data (Dessert)'!L66),0)</f>
        <v>189.01</v>
      </c>
      <c r="H66" s="23">
        <v>3</v>
      </c>
      <c r="I66" s="24">
        <f>SUMPRODUCT(F66:H66,'Output (Dessert)'!$B$5:$D$5)*E66</f>
        <v>0</v>
      </c>
      <c r="J66" s="25">
        <v>0</v>
      </c>
      <c r="K66" s="49">
        <f t="shared" si="0"/>
        <v>0</v>
      </c>
      <c r="L66" s="20">
        <v>10.99</v>
      </c>
      <c r="M66" s="6" t="s">
        <v>164</v>
      </c>
      <c r="N66" s="6" t="s">
        <v>555</v>
      </c>
      <c r="O66" s="6" t="s">
        <v>556</v>
      </c>
      <c r="P66" s="6" t="s">
        <v>557</v>
      </c>
      <c r="Q66" s="26">
        <v>0.125</v>
      </c>
      <c r="R66" s="6" t="s">
        <v>518</v>
      </c>
      <c r="S66" s="6" t="s">
        <v>558</v>
      </c>
      <c r="T66" s="6" t="s">
        <v>148</v>
      </c>
      <c r="U66" s="6">
        <f>VLOOKUP($C66,'Food Pairing Data'!$C$2:$S$188,5)</f>
        <v>0</v>
      </c>
      <c r="V66" s="6">
        <f>VLOOKUP($C66,'Food Pairing Data'!$C$2:$S$188,6)</f>
        <v>0</v>
      </c>
      <c r="W66" s="6">
        <f>VLOOKUP($C66,'Food Pairing Data'!$C$2:$S$188,7)</f>
        <v>1</v>
      </c>
      <c r="X66" s="6">
        <f>VLOOKUP($C66,'Food Pairing Data'!$C$2:$S$188,8)</f>
        <v>1</v>
      </c>
      <c r="Y66" s="6">
        <f>VLOOKUP($C66,'Food Pairing Data'!$C$2:$S$188,9)</f>
        <v>0</v>
      </c>
      <c r="Z66" s="6">
        <f>VLOOKUP($C66,'Food Pairing Data'!$C$2:$S$188,10)</f>
        <v>0</v>
      </c>
      <c r="AA66" s="6">
        <f>VLOOKUP($C66,'Food Pairing Data'!$C$2:$S$188,11)</f>
        <v>0</v>
      </c>
      <c r="AB66" s="6">
        <f>VLOOKUP($C66,'Food Pairing Data'!$C$2:$S$188,12)</f>
        <v>0</v>
      </c>
      <c r="AC66" s="6">
        <f>VLOOKUP($C66,'Food Pairing Data'!$C$2:$S$188,13)</f>
        <v>0</v>
      </c>
      <c r="AD66" s="6">
        <f>VLOOKUP($C66,'Food Pairing Data'!$C$2:$S$188,14)</f>
        <v>0</v>
      </c>
      <c r="AE66" s="6">
        <f>VLOOKUP($C66,'Food Pairing Data'!$C$2:$S$188,15)</f>
        <v>0</v>
      </c>
      <c r="AF66" s="6">
        <f>VLOOKUP($C66,'Food Pairing Data'!$C$2:$S$188,16)</f>
        <v>0</v>
      </c>
      <c r="AG66" s="6">
        <f>VLOOKUP($C66,'Food Pairing Data'!$C$2:$S$188,17)</f>
        <v>0</v>
      </c>
      <c r="AH66" s="6" t="s">
        <v>554</v>
      </c>
      <c r="AI66" s="6" t="s">
        <v>380</v>
      </c>
    </row>
    <row r="67" spans="1:35" ht="14">
      <c r="A67" s="6">
        <f t="shared" si="1"/>
        <v>65</v>
      </c>
      <c r="B67" s="6" t="s">
        <v>23</v>
      </c>
      <c r="C67" s="6" t="s">
        <v>559</v>
      </c>
      <c r="D67" s="6" t="s">
        <v>380</v>
      </c>
      <c r="E67" s="22">
        <f>HLOOKUP('Output (Dessert)'!$F$4,'Raw Data (Dessert)'!$U$2:$BP$88,(A67+1),)</f>
        <v>0</v>
      </c>
      <c r="F67" s="23">
        <f>IF(D67='Output (Dessert)'!$B$4,1,0)</f>
        <v>0</v>
      </c>
      <c r="G67" s="23">
        <f>IF(L67&lt;='Output (Dessert)'!$C$4,(200-'Raw Data (Dessert)'!L67),0)</f>
        <v>189.01</v>
      </c>
      <c r="H67" s="23">
        <v>3</v>
      </c>
      <c r="I67" s="24">
        <f>SUMPRODUCT(F67:H67,'Output (Dessert)'!$B$5:$D$5)*E67</f>
        <v>0</v>
      </c>
      <c r="J67" s="25">
        <v>0</v>
      </c>
      <c r="K67" s="49">
        <f t="shared" si="0"/>
        <v>0</v>
      </c>
      <c r="L67" s="20">
        <v>10.99</v>
      </c>
      <c r="M67" s="6" t="s">
        <v>531</v>
      </c>
      <c r="N67" s="6" t="s">
        <v>560</v>
      </c>
      <c r="O67" s="6" t="s">
        <v>533</v>
      </c>
      <c r="P67" s="6" t="s">
        <v>561</v>
      </c>
      <c r="Q67" s="26">
        <v>0.13500000000000001</v>
      </c>
      <c r="R67" s="6" t="s">
        <v>87</v>
      </c>
      <c r="S67" s="6" t="s">
        <v>156</v>
      </c>
      <c r="T67" s="6" t="s">
        <v>562</v>
      </c>
      <c r="U67" s="6">
        <f>VLOOKUP($C67,'Food Pairing Data'!$C$2:$S$188,5)</f>
        <v>0</v>
      </c>
      <c r="V67" s="6">
        <f>VLOOKUP($C67,'Food Pairing Data'!$C$2:$S$188,6)</f>
        <v>0</v>
      </c>
      <c r="W67" s="6">
        <f>VLOOKUP($C67,'Food Pairing Data'!$C$2:$S$188,7)</f>
        <v>0</v>
      </c>
      <c r="X67" s="6">
        <f>VLOOKUP($C67,'Food Pairing Data'!$C$2:$S$188,8)</f>
        <v>0</v>
      </c>
      <c r="Y67" s="6">
        <f>VLOOKUP($C67,'Food Pairing Data'!$C$2:$S$188,9)</f>
        <v>0</v>
      </c>
      <c r="Z67" s="6">
        <f>VLOOKUP($C67,'Food Pairing Data'!$C$2:$S$188,10)</f>
        <v>0</v>
      </c>
      <c r="AA67" s="6">
        <f>VLOOKUP($C67,'Food Pairing Data'!$C$2:$S$188,11)</f>
        <v>0</v>
      </c>
      <c r="AB67" s="6">
        <f>VLOOKUP($C67,'Food Pairing Data'!$C$2:$S$188,12)</f>
        <v>0</v>
      </c>
      <c r="AC67" s="6">
        <f>VLOOKUP($C67,'Food Pairing Data'!$C$2:$S$188,13)</f>
        <v>0</v>
      </c>
      <c r="AD67" s="6">
        <f>VLOOKUP($C67,'Food Pairing Data'!$C$2:$S$188,14)</f>
        <v>1</v>
      </c>
      <c r="AE67" s="6">
        <f>VLOOKUP($C67,'Food Pairing Data'!$C$2:$S$188,15)</f>
        <v>0</v>
      </c>
      <c r="AF67" s="6">
        <f>VLOOKUP($C67,'Food Pairing Data'!$C$2:$S$188,16)</f>
        <v>0</v>
      </c>
      <c r="AG67" s="6">
        <f>VLOOKUP($C67,'Food Pairing Data'!$C$2:$S$188,17)</f>
        <v>0</v>
      </c>
      <c r="AH67" s="6" t="s">
        <v>559</v>
      </c>
      <c r="AI67" s="6" t="s">
        <v>380</v>
      </c>
    </row>
    <row r="68" spans="1:35" ht="14">
      <c r="A68" s="6">
        <f t="shared" si="1"/>
        <v>66</v>
      </c>
      <c r="B68" s="6" t="s">
        <v>245</v>
      </c>
      <c r="C68" s="6" t="s">
        <v>563</v>
      </c>
      <c r="D68" s="6" t="s">
        <v>380</v>
      </c>
      <c r="E68" s="22">
        <f>HLOOKUP('Output (Dessert)'!$F$4,'Raw Data (Dessert)'!$U$2:$BP$88,(A68+1),)</f>
        <v>0</v>
      </c>
      <c r="F68" s="23">
        <f>IF(D68='Output (Dessert)'!$B$4,1,0)</f>
        <v>0</v>
      </c>
      <c r="G68" s="23">
        <f>IF(L68&lt;='Output (Dessert)'!$C$4,(200-'Raw Data (Dessert)'!L68),0)</f>
        <v>190.01</v>
      </c>
      <c r="H68" s="23">
        <v>3</v>
      </c>
      <c r="I68" s="24">
        <f>SUMPRODUCT(F68:H68,'Output (Dessert)'!$B$5:$D$5)*E68</f>
        <v>0</v>
      </c>
      <c r="J68" s="25">
        <v>0</v>
      </c>
      <c r="K68" s="49">
        <f t="shared" ref="K68:K88" si="2">J68</f>
        <v>0</v>
      </c>
      <c r="L68" s="20">
        <v>9.99</v>
      </c>
      <c r="M68" s="6" t="s">
        <v>164</v>
      </c>
      <c r="N68" s="6" t="s">
        <v>564</v>
      </c>
      <c r="O68" s="6" t="s">
        <v>565</v>
      </c>
      <c r="P68" s="6" t="s">
        <v>566</v>
      </c>
      <c r="Q68" s="26">
        <v>0.115</v>
      </c>
      <c r="R68" s="6" t="s">
        <v>36</v>
      </c>
      <c r="S68" s="6" t="s">
        <v>90</v>
      </c>
      <c r="T68" s="6" t="s">
        <v>147</v>
      </c>
      <c r="U68" s="6">
        <f>VLOOKUP($C68,'Food Pairing Data'!$C$2:$S$188,5)</f>
        <v>0</v>
      </c>
      <c r="V68" s="6">
        <f>VLOOKUP($C68,'Food Pairing Data'!$C$2:$S$188,6)</f>
        <v>0</v>
      </c>
      <c r="W68" s="6">
        <f>VLOOKUP($C68,'Food Pairing Data'!$C$2:$S$188,7)</f>
        <v>1</v>
      </c>
      <c r="X68" s="6">
        <f>VLOOKUP($C68,'Food Pairing Data'!$C$2:$S$188,8)</f>
        <v>1</v>
      </c>
      <c r="Y68" s="6">
        <f>VLOOKUP($C68,'Food Pairing Data'!$C$2:$S$188,9)</f>
        <v>0</v>
      </c>
      <c r="Z68" s="6">
        <f>VLOOKUP($C68,'Food Pairing Data'!$C$2:$S$188,10)</f>
        <v>0</v>
      </c>
      <c r="AA68" s="6">
        <f>VLOOKUP($C68,'Food Pairing Data'!$C$2:$S$188,11)</f>
        <v>0</v>
      </c>
      <c r="AB68" s="6">
        <f>VLOOKUP($C68,'Food Pairing Data'!$C$2:$S$188,12)</f>
        <v>0</v>
      </c>
      <c r="AC68" s="6">
        <f>VLOOKUP($C68,'Food Pairing Data'!$C$2:$S$188,13)</f>
        <v>0</v>
      </c>
      <c r="AD68" s="6">
        <f>VLOOKUP($C68,'Food Pairing Data'!$C$2:$S$188,14)</f>
        <v>0</v>
      </c>
      <c r="AE68" s="6">
        <f>VLOOKUP($C68,'Food Pairing Data'!$C$2:$S$188,15)</f>
        <v>0</v>
      </c>
      <c r="AF68" s="6">
        <f>VLOOKUP($C68,'Food Pairing Data'!$C$2:$S$188,16)</f>
        <v>0</v>
      </c>
      <c r="AG68" s="6">
        <f>VLOOKUP($C68,'Food Pairing Data'!$C$2:$S$188,17)</f>
        <v>0</v>
      </c>
      <c r="AH68" s="6" t="s">
        <v>563</v>
      </c>
      <c r="AI68" s="6" t="s">
        <v>380</v>
      </c>
    </row>
    <row r="69" spans="1:35" ht="14">
      <c r="A69" s="6">
        <f t="shared" ref="A69:A88" si="3">A68+1</f>
        <v>67</v>
      </c>
      <c r="B69" s="6" t="s">
        <v>245</v>
      </c>
      <c r="C69" s="6" t="s">
        <v>567</v>
      </c>
      <c r="D69" s="6" t="s">
        <v>380</v>
      </c>
      <c r="E69" s="22">
        <f>HLOOKUP('Output (Dessert)'!$F$4,'Raw Data (Dessert)'!$U$2:$BP$88,(A69+1),)</f>
        <v>0</v>
      </c>
      <c r="F69" s="23">
        <f>IF(D69='Output (Dessert)'!$B$4,1,0)</f>
        <v>0</v>
      </c>
      <c r="G69" s="23">
        <f>IF(L69&lt;='Output (Dessert)'!$C$4,(200-'Raw Data (Dessert)'!L69),0)</f>
        <v>193.01</v>
      </c>
      <c r="H69" s="23">
        <v>3</v>
      </c>
      <c r="I69" s="24">
        <f>SUMPRODUCT(F69:H69,'Output (Dessert)'!$B$5:$D$5)*E69</f>
        <v>0</v>
      </c>
      <c r="J69" s="25">
        <v>0</v>
      </c>
      <c r="K69" s="49">
        <f t="shared" si="2"/>
        <v>0</v>
      </c>
      <c r="L69" s="20">
        <v>6.99</v>
      </c>
      <c r="M69" s="6" t="s">
        <v>296</v>
      </c>
      <c r="N69" s="6" t="s">
        <v>568</v>
      </c>
      <c r="O69" s="6" t="s">
        <v>569</v>
      </c>
      <c r="P69" s="6" t="s">
        <v>570</v>
      </c>
      <c r="Q69" s="26">
        <v>9.5000000000000001E-2</v>
      </c>
      <c r="R69" s="6" t="s">
        <v>75</v>
      </c>
      <c r="S69" s="6" t="s">
        <v>92</v>
      </c>
      <c r="T69" s="6" t="s">
        <v>141</v>
      </c>
      <c r="U69" s="6">
        <f>VLOOKUP($C69,'Food Pairing Data'!$C$2:$S$188,5)</f>
        <v>0</v>
      </c>
      <c r="V69" s="6">
        <f>VLOOKUP($C69,'Food Pairing Data'!$C$2:$S$188,6)</f>
        <v>0</v>
      </c>
      <c r="W69" s="6">
        <f>VLOOKUP($C69,'Food Pairing Data'!$C$2:$S$188,7)</f>
        <v>0</v>
      </c>
      <c r="X69" s="6">
        <f>VLOOKUP($C69,'Food Pairing Data'!$C$2:$S$188,8)</f>
        <v>0</v>
      </c>
      <c r="Y69" s="6">
        <f>VLOOKUP($C69,'Food Pairing Data'!$C$2:$S$188,9)</f>
        <v>0</v>
      </c>
      <c r="Z69" s="6">
        <f>VLOOKUP($C69,'Food Pairing Data'!$C$2:$S$188,10)</f>
        <v>0</v>
      </c>
      <c r="AA69" s="6">
        <f>VLOOKUP($C69,'Food Pairing Data'!$C$2:$S$188,11)</f>
        <v>0</v>
      </c>
      <c r="AB69" s="6">
        <f>VLOOKUP($C69,'Food Pairing Data'!$C$2:$S$188,12)</f>
        <v>0</v>
      </c>
      <c r="AC69" s="6">
        <f>VLOOKUP($C69,'Food Pairing Data'!$C$2:$S$188,13)</f>
        <v>0</v>
      </c>
      <c r="AD69" s="6">
        <f>VLOOKUP($C69,'Food Pairing Data'!$C$2:$S$188,14)</f>
        <v>1</v>
      </c>
      <c r="AE69" s="6">
        <f>VLOOKUP($C69,'Food Pairing Data'!$C$2:$S$188,15)</f>
        <v>0</v>
      </c>
      <c r="AF69" s="6">
        <f>VLOOKUP($C69,'Food Pairing Data'!$C$2:$S$188,16)</f>
        <v>0</v>
      </c>
      <c r="AG69" s="6">
        <f>VLOOKUP($C69,'Food Pairing Data'!$C$2:$S$188,17)</f>
        <v>0</v>
      </c>
      <c r="AH69" s="6" t="s">
        <v>567</v>
      </c>
      <c r="AI69" s="6" t="s">
        <v>380</v>
      </c>
    </row>
    <row r="70" spans="1:35" ht="14">
      <c r="A70" s="6">
        <f t="shared" si="3"/>
        <v>68</v>
      </c>
      <c r="B70" s="6" t="s">
        <v>23</v>
      </c>
      <c r="C70" s="6" t="s">
        <v>571</v>
      </c>
      <c r="D70" s="6" t="s">
        <v>380</v>
      </c>
      <c r="E70" s="22">
        <f>HLOOKUP('Output (Dessert)'!$F$4,'Raw Data (Dessert)'!$U$2:$BP$88,(A70+1),)</f>
        <v>0</v>
      </c>
      <c r="F70" s="23">
        <f>IF(D70='Output (Dessert)'!$B$4,1,0)</f>
        <v>0</v>
      </c>
      <c r="G70" s="23">
        <f>IF(L70&lt;='Output (Dessert)'!$C$4,(200-'Raw Data (Dessert)'!L70),0)</f>
        <v>186.01</v>
      </c>
      <c r="H70" s="23">
        <v>2.5</v>
      </c>
      <c r="I70" s="24">
        <f>SUMPRODUCT(F70:H70,'Output (Dessert)'!$B$5:$D$5)*E70</f>
        <v>0</v>
      </c>
      <c r="J70" s="25">
        <v>0</v>
      </c>
      <c r="K70" s="49">
        <f t="shared" si="2"/>
        <v>0</v>
      </c>
      <c r="L70" s="20">
        <v>13.99</v>
      </c>
      <c r="M70" s="6" t="s">
        <v>546</v>
      </c>
      <c r="N70" s="6" t="s">
        <v>547</v>
      </c>
      <c r="O70" s="6" t="s">
        <v>533</v>
      </c>
      <c r="P70" s="6" t="s">
        <v>297</v>
      </c>
      <c r="Q70" s="26">
        <v>0.13500000000000001</v>
      </c>
      <c r="R70" s="6" t="s">
        <v>61</v>
      </c>
      <c r="S70" s="6" t="s">
        <v>142</v>
      </c>
      <c r="T70" s="6" t="s">
        <v>102</v>
      </c>
      <c r="U70" s="6">
        <f>VLOOKUP($C70,'Food Pairing Data'!$C$2:$S$188,5)</f>
        <v>0</v>
      </c>
      <c r="V70" s="6">
        <f>VLOOKUP($C70,'Food Pairing Data'!$C$2:$S$188,6)</f>
        <v>0</v>
      </c>
      <c r="W70" s="6">
        <f>VLOOKUP($C70,'Food Pairing Data'!$C$2:$S$188,7)</f>
        <v>0</v>
      </c>
      <c r="X70" s="6">
        <f>VLOOKUP($C70,'Food Pairing Data'!$C$2:$S$188,8)</f>
        <v>0</v>
      </c>
      <c r="Y70" s="6">
        <f>VLOOKUP($C70,'Food Pairing Data'!$C$2:$S$188,9)</f>
        <v>0</v>
      </c>
      <c r="Z70" s="6">
        <f>VLOOKUP($C70,'Food Pairing Data'!$C$2:$S$188,10)</f>
        <v>0</v>
      </c>
      <c r="AA70" s="6">
        <f>VLOOKUP($C70,'Food Pairing Data'!$C$2:$S$188,11)</f>
        <v>0</v>
      </c>
      <c r="AB70" s="6">
        <f>VLOOKUP($C70,'Food Pairing Data'!$C$2:$S$188,12)</f>
        <v>0</v>
      </c>
      <c r="AC70" s="6">
        <f>VLOOKUP($C70,'Food Pairing Data'!$C$2:$S$188,13)</f>
        <v>0</v>
      </c>
      <c r="AD70" s="6">
        <f>VLOOKUP($C70,'Food Pairing Data'!$C$2:$S$188,14)</f>
        <v>1</v>
      </c>
      <c r="AE70" s="6">
        <f>VLOOKUP($C70,'Food Pairing Data'!$C$2:$S$188,15)</f>
        <v>0</v>
      </c>
      <c r="AF70" s="6">
        <f>VLOOKUP($C70,'Food Pairing Data'!$C$2:$S$188,16)</f>
        <v>0</v>
      </c>
      <c r="AG70" s="6">
        <f>VLOOKUP($C70,'Food Pairing Data'!$C$2:$S$188,17)</f>
        <v>0</v>
      </c>
      <c r="AH70" s="6" t="s">
        <v>571</v>
      </c>
      <c r="AI70" s="6" t="s">
        <v>380</v>
      </c>
    </row>
    <row r="71" spans="1:35" ht="14">
      <c r="A71" s="6">
        <f t="shared" si="3"/>
        <v>69</v>
      </c>
      <c r="B71" s="6" t="s">
        <v>23</v>
      </c>
      <c r="C71" s="6" t="s">
        <v>572</v>
      </c>
      <c r="D71" s="6" t="s">
        <v>573</v>
      </c>
      <c r="E71" s="22">
        <f>HLOOKUP('Output (Dessert)'!$F$4,'Raw Data (Dessert)'!$U$2:$BP$88,(A71+1),)</f>
        <v>0</v>
      </c>
      <c r="F71" s="23">
        <f>IF(D71='Output (Dessert)'!$B$4,1,0)</f>
        <v>0</v>
      </c>
      <c r="G71" s="23">
        <f>IF(L71&lt;='Output (Dessert)'!$C$4,(200-'Raw Data (Dessert)'!L71),0)</f>
        <v>180.01</v>
      </c>
      <c r="H71" s="23">
        <v>5</v>
      </c>
      <c r="I71" s="24">
        <f>SUMPRODUCT(F71:H71,'Output (Dessert)'!$B$5:$D$5)*E71</f>
        <v>0</v>
      </c>
      <c r="J71" s="25">
        <v>0</v>
      </c>
      <c r="K71" s="49">
        <f t="shared" si="2"/>
        <v>0</v>
      </c>
      <c r="L71" s="20">
        <v>19.989999999999998</v>
      </c>
      <c r="M71" s="6" t="s">
        <v>574</v>
      </c>
      <c r="N71" s="6" t="s">
        <v>575</v>
      </c>
      <c r="O71" s="6" t="s">
        <v>416</v>
      </c>
      <c r="P71" s="6" t="s">
        <v>417</v>
      </c>
      <c r="Q71" s="26">
        <v>0.115</v>
      </c>
      <c r="R71" s="6" t="s">
        <v>56</v>
      </c>
      <c r="S71" s="6" t="s">
        <v>418</v>
      </c>
      <c r="T71" s="6" t="s">
        <v>148</v>
      </c>
      <c r="U71" s="6">
        <f>VLOOKUP($C71,'Food Pairing Data'!$C$2:$S$188,5)</f>
        <v>0</v>
      </c>
      <c r="V71" s="6">
        <f>VLOOKUP($C71,'Food Pairing Data'!$C$2:$S$188,6)</f>
        <v>0</v>
      </c>
      <c r="W71" s="6">
        <f>VLOOKUP($C71,'Food Pairing Data'!$C$2:$S$188,7)</f>
        <v>0</v>
      </c>
      <c r="X71" s="6">
        <f>VLOOKUP($C71,'Food Pairing Data'!$C$2:$S$188,8)</f>
        <v>0</v>
      </c>
      <c r="Y71" s="6">
        <f>VLOOKUP($C71,'Food Pairing Data'!$C$2:$S$188,9)</f>
        <v>0</v>
      </c>
      <c r="Z71" s="6">
        <f>VLOOKUP($C71,'Food Pairing Data'!$C$2:$S$188,10)</f>
        <v>0</v>
      </c>
      <c r="AA71" s="6">
        <f>VLOOKUP($C71,'Food Pairing Data'!$C$2:$S$188,11)</f>
        <v>0</v>
      </c>
      <c r="AB71" s="6">
        <f>VLOOKUP($C71,'Food Pairing Data'!$C$2:$S$188,12)</f>
        <v>0</v>
      </c>
      <c r="AC71" s="6">
        <f>VLOOKUP($C71,'Food Pairing Data'!$C$2:$S$188,13)</f>
        <v>0</v>
      </c>
      <c r="AD71" s="6">
        <f>VLOOKUP($C71,'Food Pairing Data'!$C$2:$S$188,14)</f>
        <v>1</v>
      </c>
      <c r="AE71" s="6">
        <f>VLOOKUP($C71,'Food Pairing Data'!$C$2:$S$188,15)</f>
        <v>0</v>
      </c>
      <c r="AF71" s="6">
        <f>VLOOKUP($C71,'Food Pairing Data'!$C$2:$S$188,16)</f>
        <v>0</v>
      </c>
      <c r="AG71" s="6">
        <f>VLOOKUP($C71,'Food Pairing Data'!$C$2:$S$188,17)</f>
        <v>0</v>
      </c>
      <c r="AH71" s="6" t="s">
        <v>572</v>
      </c>
      <c r="AI71" s="6" t="s">
        <v>573</v>
      </c>
    </row>
    <row r="72" spans="1:35" ht="14">
      <c r="A72" s="6">
        <f t="shared" si="3"/>
        <v>70</v>
      </c>
      <c r="B72" s="6" t="s">
        <v>23</v>
      </c>
      <c r="C72" s="6" t="s">
        <v>419</v>
      </c>
      <c r="D72" s="6" t="s">
        <v>573</v>
      </c>
      <c r="E72" s="22">
        <f>HLOOKUP('Output (Dessert)'!$F$4,'Raw Data (Dessert)'!$U$2:$BP$88,(A72+1),)</f>
        <v>0</v>
      </c>
      <c r="F72" s="23">
        <f>IF(D72='Output (Dessert)'!$B$4,1,0)</f>
        <v>0</v>
      </c>
      <c r="G72" s="23">
        <f>IF(L72&lt;='Output (Dessert)'!$C$4,(200-'Raw Data (Dessert)'!L72),0)</f>
        <v>181.01</v>
      </c>
      <c r="H72" s="23">
        <v>5</v>
      </c>
      <c r="I72" s="24">
        <f>SUMPRODUCT(F72:H72,'Output (Dessert)'!$B$5:$D$5)*E72</f>
        <v>0</v>
      </c>
      <c r="J72" s="25">
        <v>0</v>
      </c>
      <c r="K72" s="49">
        <f t="shared" si="2"/>
        <v>0</v>
      </c>
      <c r="L72" s="20">
        <v>18.989999999999998</v>
      </c>
      <c r="M72" s="6" t="s">
        <v>525</v>
      </c>
      <c r="N72" s="6" t="s">
        <v>580</v>
      </c>
      <c r="O72" s="6" t="s">
        <v>421</v>
      </c>
      <c r="P72" s="6" t="s">
        <v>422</v>
      </c>
      <c r="Q72" s="26">
        <v>0.14000000000000001</v>
      </c>
      <c r="R72" s="6" t="s">
        <v>523</v>
      </c>
      <c r="S72" s="6" t="s">
        <v>558</v>
      </c>
      <c r="T72" s="6" t="s">
        <v>102</v>
      </c>
      <c r="U72" s="6">
        <f>VLOOKUP($C72,'Food Pairing Data'!$C$2:$S$188,5)</f>
        <v>0</v>
      </c>
      <c r="V72" s="6">
        <f>VLOOKUP($C72,'Food Pairing Data'!$C$2:$S$188,6)</f>
        <v>0</v>
      </c>
      <c r="W72" s="6">
        <f>VLOOKUP($C72,'Food Pairing Data'!$C$2:$S$188,7)</f>
        <v>0</v>
      </c>
      <c r="X72" s="6">
        <f>VLOOKUP($C72,'Food Pairing Data'!$C$2:$S$188,8)</f>
        <v>1</v>
      </c>
      <c r="Y72" s="6">
        <f>VLOOKUP($C72,'Food Pairing Data'!$C$2:$S$188,9)</f>
        <v>0</v>
      </c>
      <c r="Z72" s="6">
        <f>VLOOKUP($C72,'Food Pairing Data'!$C$2:$S$188,10)</f>
        <v>1</v>
      </c>
      <c r="AA72" s="6">
        <f>VLOOKUP($C72,'Food Pairing Data'!$C$2:$S$188,11)</f>
        <v>0</v>
      </c>
      <c r="AB72" s="6">
        <f>VLOOKUP($C72,'Food Pairing Data'!$C$2:$S$188,12)</f>
        <v>0</v>
      </c>
      <c r="AC72" s="6">
        <f>VLOOKUP($C72,'Food Pairing Data'!$C$2:$S$188,13)</f>
        <v>0</v>
      </c>
      <c r="AD72" s="6">
        <f>VLOOKUP($C72,'Food Pairing Data'!$C$2:$S$188,14)</f>
        <v>0</v>
      </c>
      <c r="AE72" s="6">
        <f>VLOOKUP($C72,'Food Pairing Data'!$C$2:$S$188,15)</f>
        <v>0</v>
      </c>
      <c r="AF72" s="6">
        <f>VLOOKUP($C72,'Food Pairing Data'!$C$2:$S$188,16)</f>
        <v>0</v>
      </c>
      <c r="AG72" s="6">
        <f>VLOOKUP($C72,'Food Pairing Data'!$C$2:$S$188,17)</f>
        <v>0</v>
      </c>
      <c r="AH72" s="6" t="s">
        <v>419</v>
      </c>
      <c r="AI72" s="6" t="s">
        <v>573</v>
      </c>
    </row>
    <row r="73" spans="1:35" ht="14">
      <c r="A73" s="6">
        <f t="shared" si="3"/>
        <v>71</v>
      </c>
      <c r="B73" s="6" t="s">
        <v>23</v>
      </c>
      <c r="C73" s="6" t="s">
        <v>423</v>
      </c>
      <c r="D73" s="6" t="s">
        <v>573</v>
      </c>
      <c r="E73" s="22">
        <f>HLOOKUP('Output (Dessert)'!$F$4,'Raw Data (Dessert)'!$U$2:$BP$88,(A73+1),)</f>
        <v>0</v>
      </c>
      <c r="F73" s="23">
        <f>IF(D73='Output (Dessert)'!$B$4,1,0)</f>
        <v>0</v>
      </c>
      <c r="G73" s="23">
        <f>IF(L73&lt;='Output (Dessert)'!$C$4,(200-'Raw Data (Dessert)'!L73),0)</f>
        <v>185.01</v>
      </c>
      <c r="H73" s="23">
        <v>4.5</v>
      </c>
      <c r="I73" s="24">
        <f>SUMPRODUCT(F73:H73,'Output (Dessert)'!$B$5:$D$5)*E73</f>
        <v>0</v>
      </c>
      <c r="J73" s="25">
        <v>0</v>
      </c>
      <c r="K73" s="49">
        <f t="shared" si="2"/>
        <v>0</v>
      </c>
      <c r="L73" s="20">
        <v>14.99</v>
      </c>
      <c r="M73" s="6" t="s">
        <v>164</v>
      </c>
      <c r="N73" s="6" t="s">
        <v>424</v>
      </c>
      <c r="O73" s="6" t="s">
        <v>425</v>
      </c>
      <c r="P73" s="6" t="s">
        <v>540</v>
      </c>
      <c r="Q73" s="26">
        <v>0.13</v>
      </c>
      <c r="R73" s="6" t="s">
        <v>56</v>
      </c>
      <c r="S73" s="6" t="s">
        <v>518</v>
      </c>
      <c r="T73" s="6" t="s">
        <v>149</v>
      </c>
      <c r="U73" s="6">
        <f>VLOOKUP($C73,'Food Pairing Data'!$C$2:$S$188,5)</f>
        <v>0</v>
      </c>
      <c r="V73" s="6">
        <f>VLOOKUP($C73,'Food Pairing Data'!$C$2:$S$188,6)</f>
        <v>0</v>
      </c>
      <c r="W73" s="6">
        <f>VLOOKUP($C73,'Food Pairing Data'!$C$2:$S$188,7)</f>
        <v>1</v>
      </c>
      <c r="X73" s="6">
        <f>VLOOKUP($C73,'Food Pairing Data'!$C$2:$S$188,8)</f>
        <v>1</v>
      </c>
      <c r="Y73" s="6">
        <f>VLOOKUP($C73,'Food Pairing Data'!$C$2:$S$188,9)</f>
        <v>0</v>
      </c>
      <c r="Z73" s="6">
        <f>VLOOKUP($C73,'Food Pairing Data'!$C$2:$S$188,10)</f>
        <v>0</v>
      </c>
      <c r="AA73" s="6">
        <f>VLOOKUP($C73,'Food Pairing Data'!$C$2:$S$188,11)</f>
        <v>0</v>
      </c>
      <c r="AB73" s="6">
        <f>VLOOKUP($C73,'Food Pairing Data'!$C$2:$S$188,12)</f>
        <v>0</v>
      </c>
      <c r="AC73" s="6">
        <f>VLOOKUP($C73,'Food Pairing Data'!$C$2:$S$188,13)</f>
        <v>0</v>
      </c>
      <c r="AD73" s="6">
        <f>VLOOKUP($C73,'Food Pairing Data'!$C$2:$S$188,14)</f>
        <v>0</v>
      </c>
      <c r="AE73" s="6">
        <f>VLOOKUP($C73,'Food Pairing Data'!$C$2:$S$188,15)</f>
        <v>0</v>
      </c>
      <c r="AF73" s="6">
        <f>VLOOKUP($C73,'Food Pairing Data'!$C$2:$S$188,16)</f>
        <v>0</v>
      </c>
      <c r="AG73" s="6">
        <f>VLOOKUP($C73,'Food Pairing Data'!$C$2:$S$188,17)</f>
        <v>0</v>
      </c>
      <c r="AH73" s="6" t="s">
        <v>423</v>
      </c>
      <c r="AI73" s="6" t="s">
        <v>573</v>
      </c>
    </row>
    <row r="74" spans="1:35" ht="14">
      <c r="A74" s="6">
        <f t="shared" si="3"/>
        <v>72</v>
      </c>
      <c r="B74" s="6" t="s">
        <v>23</v>
      </c>
      <c r="C74" s="6" t="s">
        <v>426</v>
      </c>
      <c r="D74" s="6" t="s">
        <v>573</v>
      </c>
      <c r="E74" s="22">
        <f>HLOOKUP('Output (Dessert)'!$F$4,'Raw Data (Dessert)'!$U$2:$BP$88,(A74+1),)</f>
        <v>0</v>
      </c>
      <c r="F74" s="23">
        <f>IF(D74='Output (Dessert)'!$B$4,1,0)</f>
        <v>0</v>
      </c>
      <c r="G74" s="23">
        <f>IF(L74&lt;='Output (Dessert)'!$C$4,(200-'Raw Data (Dessert)'!L74),0)</f>
        <v>183.01</v>
      </c>
      <c r="H74" s="23">
        <v>4</v>
      </c>
      <c r="I74" s="24">
        <f>SUMPRODUCT(F74:H74,'Output (Dessert)'!$B$5:$D$5)*E74</f>
        <v>0</v>
      </c>
      <c r="J74" s="25">
        <v>0</v>
      </c>
      <c r="K74" s="49">
        <f t="shared" si="2"/>
        <v>0</v>
      </c>
      <c r="L74" s="20">
        <v>16.989999999999998</v>
      </c>
      <c r="M74" s="6" t="s">
        <v>525</v>
      </c>
      <c r="N74" s="6" t="s">
        <v>427</v>
      </c>
      <c r="O74" s="6" t="s">
        <v>428</v>
      </c>
      <c r="P74" s="6" t="s">
        <v>429</v>
      </c>
      <c r="Q74" s="26">
        <v>0.14000000000000001</v>
      </c>
      <c r="R74" s="6" t="s">
        <v>63</v>
      </c>
      <c r="S74" s="6" t="s">
        <v>56</v>
      </c>
      <c r="T74" s="6" t="s">
        <v>553</v>
      </c>
      <c r="U74" s="6">
        <f>VLOOKUP($C74,'Food Pairing Data'!$C$2:$S$188,5)</f>
        <v>0</v>
      </c>
      <c r="V74" s="6">
        <f>VLOOKUP($C74,'Food Pairing Data'!$C$2:$S$188,6)</f>
        <v>0</v>
      </c>
      <c r="W74" s="6">
        <f>VLOOKUP($C74,'Food Pairing Data'!$C$2:$S$188,7)</f>
        <v>0</v>
      </c>
      <c r="X74" s="6">
        <f>VLOOKUP($C74,'Food Pairing Data'!$C$2:$S$188,8)</f>
        <v>1</v>
      </c>
      <c r="Y74" s="6">
        <f>VLOOKUP($C74,'Food Pairing Data'!$C$2:$S$188,9)</f>
        <v>0</v>
      </c>
      <c r="Z74" s="6">
        <f>VLOOKUP($C74,'Food Pairing Data'!$C$2:$S$188,10)</f>
        <v>1</v>
      </c>
      <c r="AA74" s="6">
        <f>VLOOKUP($C74,'Food Pairing Data'!$C$2:$S$188,11)</f>
        <v>0</v>
      </c>
      <c r="AB74" s="6">
        <f>VLOOKUP($C74,'Food Pairing Data'!$C$2:$S$188,12)</f>
        <v>0</v>
      </c>
      <c r="AC74" s="6">
        <f>VLOOKUP($C74,'Food Pairing Data'!$C$2:$S$188,13)</f>
        <v>0</v>
      </c>
      <c r="AD74" s="6">
        <f>VLOOKUP($C74,'Food Pairing Data'!$C$2:$S$188,14)</f>
        <v>0</v>
      </c>
      <c r="AE74" s="6">
        <f>VLOOKUP($C74,'Food Pairing Data'!$C$2:$S$188,15)</f>
        <v>0</v>
      </c>
      <c r="AF74" s="6">
        <f>VLOOKUP($C74,'Food Pairing Data'!$C$2:$S$188,16)</f>
        <v>0</v>
      </c>
      <c r="AG74" s="6">
        <f>VLOOKUP($C74,'Food Pairing Data'!$C$2:$S$188,17)</f>
        <v>0</v>
      </c>
      <c r="AH74" s="6" t="s">
        <v>426</v>
      </c>
      <c r="AI74" s="6" t="s">
        <v>573</v>
      </c>
    </row>
    <row r="75" spans="1:35" ht="14">
      <c r="A75" s="6">
        <f t="shared" si="3"/>
        <v>73</v>
      </c>
      <c r="B75" s="6" t="s">
        <v>245</v>
      </c>
      <c r="C75" s="6" t="s">
        <v>601</v>
      </c>
      <c r="D75" s="6" t="s">
        <v>573</v>
      </c>
      <c r="E75" s="22">
        <f>HLOOKUP('Output (Dessert)'!$F$4,'Raw Data (Dessert)'!$U$2:$BP$88,(A75+1),)</f>
        <v>0</v>
      </c>
      <c r="F75" s="23">
        <f>IF(D75='Output (Dessert)'!$B$4,1,0)</f>
        <v>0</v>
      </c>
      <c r="G75" s="23">
        <f>IF(L75&lt;='Output (Dessert)'!$C$4,(200-'Raw Data (Dessert)'!L75),0)</f>
        <v>190.01</v>
      </c>
      <c r="H75" s="23">
        <v>4</v>
      </c>
      <c r="I75" s="24">
        <f>SUMPRODUCT(F75:H75,'Output (Dessert)'!$B$5:$D$5)*E75</f>
        <v>0</v>
      </c>
      <c r="J75" s="25">
        <v>0</v>
      </c>
      <c r="K75" s="49">
        <f t="shared" si="2"/>
        <v>0</v>
      </c>
      <c r="L75" s="20">
        <v>9.99</v>
      </c>
      <c r="M75" s="6" t="s">
        <v>525</v>
      </c>
      <c r="N75" s="6" t="s">
        <v>602</v>
      </c>
      <c r="O75" s="6" t="s">
        <v>603</v>
      </c>
      <c r="P75" s="6" t="s">
        <v>604</v>
      </c>
      <c r="Q75" s="26">
        <v>0.12</v>
      </c>
      <c r="R75" s="6" t="s">
        <v>518</v>
      </c>
      <c r="S75" s="6" t="s">
        <v>90</v>
      </c>
      <c r="T75" s="6" t="s">
        <v>102</v>
      </c>
      <c r="U75" s="6">
        <f>VLOOKUP($C75,'Food Pairing Data'!$C$2:$S$188,5)</f>
        <v>0</v>
      </c>
      <c r="V75" s="6">
        <f>VLOOKUP($C75,'Food Pairing Data'!$C$2:$S$188,6)</f>
        <v>0</v>
      </c>
      <c r="W75" s="6">
        <f>VLOOKUP($C75,'Food Pairing Data'!$C$2:$S$188,7)</f>
        <v>0</v>
      </c>
      <c r="X75" s="6">
        <f>VLOOKUP($C75,'Food Pairing Data'!$C$2:$S$188,8)</f>
        <v>0</v>
      </c>
      <c r="Y75" s="6">
        <f>VLOOKUP($C75,'Food Pairing Data'!$C$2:$S$188,9)</f>
        <v>0</v>
      </c>
      <c r="Z75" s="6">
        <f>VLOOKUP($C75,'Food Pairing Data'!$C$2:$S$188,10)</f>
        <v>0</v>
      </c>
      <c r="AA75" s="6">
        <f>VLOOKUP($C75,'Food Pairing Data'!$C$2:$S$188,11)</f>
        <v>0</v>
      </c>
      <c r="AB75" s="6">
        <f>VLOOKUP($C75,'Food Pairing Data'!$C$2:$S$188,12)</f>
        <v>0</v>
      </c>
      <c r="AC75" s="6">
        <f>VLOOKUP($C75,'Food Pairing Data'!$C$2:$S$188,13)</f>
        <v>0</v>
      </c>
      <c r="AD75" s="6">
        <f>VLOOKUP($C75,'Food Pairing Data'!$C$2:$S$188,14)</f>
        <v>1</v>
      </c>
      <c r="AE75" s="6">
        <f>VLOOKUP($C75,'Food Pairing Data'!$C$2:$S$188,15)</f>
        <v>0</v>
      </c>
      <c r="AF75" s="6">
        <f>VLOOKUP($C75,'Food Pairing Data'!$C$2:$S$188,16)</f>
        <v>0</v>
      </c>
      <c r="AG75" s="6">
        <f>VLOOKUP($C75,'Food Pairing Data'!$C$2:$S$188,17)</f>
        <v>0</v>
      </c>
      <c r="AH75" s="6" t="s">
        <v>601</v>
      </c>
      <c r="AI75" s="6" t="s">
        <v>573</v>
      </c>
    </row>
    <row r="76" spans="1:35" ht="14">
      <c r="A76" s="6">
        <f t="shared" si="3"/>
        <v>74</v>
      </c>
      <c r="B76" s="6" t="s">
        <v>161</v>
      </c>
      <c r="C76" s="6" t="s">
        <v>605</v>
      </c>
      <c r="D76" s="6" t="s">
        <v>606</v>
      </c>
      <c r="E76" s="22">
        <f>HLOOKUP('Output (Dessert)'!$F$4,'Raw Data (Dessert)'!$U$2:$BP$88,(A76+1),)</f>
        <v>0</v>
      </c>
      <c r="F76" s="23">
        <f>IF(D76='Output (Dessert)'!$B$4,1,0)</f>
        <v>0</v>
      </c>
      <c r="G76" s="23">
        <f>IF(L76&lt;='Output (Dessert)'!$C$4,(200-'Raw Data (Dessert)'!L76),0)</f>
        <v>0</v>
      </c>
      <c r="H76" s="23">
        <v>5</v>
      </c>
      <c r="I76" s="24">
        <f>SUMPRODUCT(F76:H76,'Output (Dessert)'!$B$5:$D$5)*E76</f>
        <v>0</v>
      </c>
      <c r="J76" s="25">
        <v>0</v>
      </c>
      <c r="K76" s="49">
        <f t="shared" si="2"/>
        <v>0</v>
      </c>
      <c r="L76" s="20">
        <v>54.99</v>
      </c>
      <c r="M76" s="6" t="s">
        <v>525</v>
      </c>
      <c r="N76" s="6" t="s">
        <v>607</v>
      </c>
      <c r="O76" s="6" t="s">
        <v>608</v>
      </c>
      <c r="P76" s="6" t="s">
        <v>540</v>
      </c>
      <c r="Q76" s="26">
        <v>0.125</v>
      </c>
      <c r="R76" s="6" t="s">
        <v>74</v>
      </c>
      <c r="S76" s="6" t="s">
        <v>86</v>
      </c>
      <c r="T76" s="6" t="s">
        <v>104</v>
      </c>
      <c r="U76" s="6">
        <f>VLOOKUP($C76,'Food Pairing Data'!$C$2:$S$188,5)</f>
        <v>0</v>
      </c>
      <c r="V76" s="6">
        <f>VLOOKUP($C76,'Food Pairing Data'!$C$2:$S$188,6)</f>
        <v>0</v>
      </c>
      <c r="W76" s="6">
        <f>VLOOKUP($C76,'Food Pairing Data'!$C$2:$S$188,7)</f>
        <v>0</v>
      </c>
      <c r="X76" s="6">
        <f>VLOOKUP($C76,'Food Pairing Data'!$C$2:$S$188,8)</f>
        <v>0</v>
      </c>
      <c r="Y76" s="6">
        <f>VLOOKUP($C76,'Food Pairing Data'!$C$2:$S$188,9)</f>
        <v>0</v>
      </c>
      <c r="Z76" s="6">
        <f>VLOOKUP($C76,'Food Pairing Data'!$C$2:$S$188,10)</f>
        <v>0</v>
      </c>
      <c r="AA76" s="6">
        <f>VLOOKUP($C76,'Food Pairing Data'!$C$2:$S$188,11)</f>
        <v>0</v>
      </c>
      <c r="AB76" s="6">
        <f>VLOOKUP($C76,'Food Pairing Data'!$C$2:$S$188,12)</f>
        <v>0</v>
      </c>
      <c r="AC76" s="6">
        <f>VLOOKUP($C76,'Food Pairing Data'!$C$2:$S$188,13)</f>
        <v>0</v>
      </c>
      <c r="AD76" s="6">
        <f>VLOOKUP($C76,'Food Pairing Data'!$C$2:$S$188,14)</f>
        <v>1</v>
      </c>
      <c r="AE76" s="6">
        <f>VLOOKUP($C76,'Food Pairing Data'!$C$2:$S$188,15)</f>
        <v>0</v>
      </c>
      <c r="AF76" s="6">
        <f>VLOOKUP($C76,'Food Pairing Data'!$C$2:$S$188,16)</f>
        <v>0</v>
      </c>
      <c r="AG76" s="6">
        <f>VLOOKUP($C76,'Food Pairing Data'!$C$2:$S$188,17)</f>
        <v>0</v>
      </c>
      <c r="AH76" s="6" t="s">
        <v>605</v>
      </c>
      <c r="AI76" s="6" t="s">
        <v>606</v>
      </c>
    </row>
    <row r="77" spans="1:35" ht="14">
      <c r="A77" s="6">
        <f t="shared" si="3"/>
        <v>75</v>
      </c>
      <c r="B77" s="6" t="s">
        <v>181</v>
      </c>
      <c r="C77" s="6" t="s">
        <v>609</v>
      </c>
      <c r="D77" s="6" t="s">
        <v>606</v>
      </c>
      <c r="E77" s="22">
        <f>HLOOKUP('Output (Dessert)'!$F$4,'Raw Data (Dessert)'!$U$2:$BP$88,(A77+1),)</f>
        <v>0</v>
      </c>
      <c r="F77" s="23">
        <f>IF(D77='Output (Dessert)'!$B$4,1,0)</f>
        <v>0</v>
      </c>
      <c r="G77" s="23">
        <f>IF(L77&lt;='Output (Dessert)'!$C$4,(200-'Raw Data (Dessert)'!L77),0)</f>
        <v>0</v>
      </c>
      <c r="H77" s="23">
        <v>5</v>
      </c>
      <c r="I77" s="24">
        <f>SUMPRODUCT(F77:H77,'Output (Dessert)'!$B$5:$D$5)*E77</f>
        <v>0</v>
      </c>
      <c r="J77" s="25">
        <v>0</v>
      </c>
      <c r="K77" s="49">
        <f t="shared" si="2"/>
        <v>0</v>
      </c>
      <c r="L77" s="20">
        <v>37.99</v>
      </c>
      <c r="M77" s="6" t="s">
        <v>525</v>
      </c>
      <c r="N77" s="6" t="s">
        <v>610</v>
      </c>
      <c r="O77" s="6" t="s">
        <v>611</v>
      </c>
      <c r="P77" s="6" t="s">
        <v>612</v>
      </c>
      <c r="Q77" s="26">
        <v>0.12</v>
      </c>
      <c r="R77" s="6" t="s">
        <v>518</v>
      </c>
      <c r="S77" s="6" t="s">
        <v>74</v>
      </c>
      <c r="T77" s="6" t="s">
        <v>53</v>
      </c>
      <c r="U77" s="6">
        <f>VLOOKUP($C77,'Food Pairing Data'!$C$2:$S$188,5)</f>
        <v>0</v>
      </c>
      <c r="V77" s="6">
        <f>VLOOKUP($C77,'Food Pairing Data'!$C$2:$S$188,6)</f>
        <v>0</v>
      </c>
      <c r="W77" s="6">
        <f>VLOOKUP($C77,'Food Pairing Data'!$C$2:$S$188,7)</f>
        <v>0</v>
      </c>
      <c r="X77" s="6">
        <f>VLOOKUP($C77,'Food Pairing Data'!$C$2:$S$188,8)</f>
        <v>1</v>
      </c>
      <c r="Y77" s="6">
        <f>VLOOKUP($C77,'Food Pairing Data'!$C$2:$S$188,9)</f>
        <v>0</v>
      </c>
      <c r="Z77" s="6">
        <f>VLOOKUP($C77,'Food Pairing Data'!$C$2:$S$188,10)</f>
        <v>1</v>
      </c>
      <c r="AA77" s="6">
        <f>VLOOKUP($C77,'Food Pairing Data'!$C$2:$S$188,11)</f>
        <v>0</v>
      </c>
      <c r="AB77" s="6">
        <f>VLOOKUP($C77,'Food Pairing Data'!$C$2:$S$188,12)</f>
        <v>0</v>
      </c>
      <c r="AC77" s="6">
        <f>VLOOKUP($C77,'Food Pairing Data'!$C$2:$S$188,13)</f>
        <v>0</v>
      </c>
      <c r="AD77" s="6">
        <f>VLOOKUP($C77,'Food Pairing Data'!$C$2:$S$188,14)</f>
        <v>0</v>
      </c>
      <c r="AE77" s="6">
        <f>VLOOKUP($C77,'Food Pairing Data'!$C$2:$S$188,15)</f>
        <v>0</v>
      </c>
      <c r="AF77" s="6">
        <f>VLOOKUP($C77,'Food Pairing Data'!$C$2:$S$188,16)</f>
        <v>0</v>
      </c>
      <c r="AG77" s="6">
        <f>VLOOKUP($C77,'Food Pairing Data'!$C$2:$S$188,17)</f>
        <v>0</v>
      </c>
      <c r="AH77" s="6" t="s">
        <v>609</v>
      </c>
      <c r="AI77" s="6" t="s">
        <v>606</v>
      </c>
    </row>
    <row r="78" spans="1:35" ht="14">
      <c r="A78" s="6">
        <f t="shared" si="3"/>
        <v>76</v>
      </c>
      <c r="B78" s="6" t="s">
        <v>23</v>
      </c>
      <c r="C78" s="6" t="s">
        <v>572</v>
      </c>
      <c r="D78" s="6" t="s">
        <v>606</v>
      </c>
      <c r="E78" s="22">
        <f>HLOOKUP('Output (Dessert)'!$F$4,'Raw Data (Dessert)'!$U$2:$BP$88,(A78+1),)</f>
        <v>0</v>
      </c>
      <c r="F78" s="23">
        <f>IF(D78='Output (Dessert)'!$B$4,1,0)</f>
        <v>0</v>
      </c>
      <c r="G78" s="23">
        <f>IF(L78&lt;='Output (Dessert)'!$C$4,(200-'Raw Data (Dessert)'!L78),0)</f>
        <v>180.01</v>
      </c>
      <c r="H78" s="23">
        <v>5</v>
      </c>
      <c r="I78" s="24">
        <f>SUMPRODUCT(F78:H78,'Output (Dessert)'!$B$5:$D$5)*E78</f>
        <v>0</v>
      </c>
      <c r="J78" s="25">
        <v>0</v>
      </c>
      <c r="K78" s="49">
        <f t="shared" si="2"/>
        <v>0</v>
      </c>
      <c r="L78" s="20">
        <v>19.989999999999998</v>
      </c>
      <c r="M78" s="6" t="s">
        <v>574</v>
      </c>
      <c r="N78" s="6" t="s">
        <v>575</v>
      </c>
      <c r="O78" s="6" t="s">
        <v>416</v>
      </c>
      <c r="P78" s="6" t="s">
        <v>417</v>
      </c>
      <c r="Q78" s="26">
        <v>0.115</v>
      </c>
      <c r="R78" s="6" t="s">
        <v>56</v>
      </c>
      <c r="S78" s="6" t="s">
        <v>78</v>
      </c>
      <c r="T78" s="6" t="s">
        <v>148</v>
      </c>
      <c r="U78" s="6">
        <f>VLOOKUP($C78,'Food Pairing Data'!$C$2:$S$188,5)</f>
        <v>0</v>
      </c>
      <c r="V78" s="6">
        <f>VLOOKUP($C78,'Food Pairing Data'!$C$2:$S$188,6)</f>
        <v>0</v>
      </c>
      <c r="W78" s="6">
        <f>VLOOKUP($C78,'Food Pairing Data'!$C$2:$S$188,7)</f>
        <v>0</v>
      </c>
      <c r="X78" s="6">
        <f>VLOOKUP($C78,'Food Pairing Data'!$C$2:$S$188,8)</f>
        <v>0</v>
      </c>
      <c r="Y78" s="6">
        <f>VLOOKUP($C78,'Food Pairing Data'!$C$2:$S$188,9)</f>
        <v>0</v>
      </c>
      <c r="Z78" s="6">
        <f>VLOOKUP($C78,'Food Pairing Data'!$C$2:$S$188,10)</f>
        <v>0</v>
      </c>
      <c r="AA78" s="6">
        <f>VLOOKUP($C78,'Food Pairing Data'!$C$2:$S$188,11)</f>
        <v>0</v>
      </c>
      <c r="AB78" s="6">
        <f>VLOOKUP($C78,'Food Pairing Data'!$C$2:$S$188,12)</f>
        <v>0</v>
      </c>
      <c r="AC78" s="6">
        <f>VLOOKUP($C78,'Food Pairing Data'!$C$2:$S$188,13)</f>
        <v>0</v>
      </c>
      <c r="AD78" s="6">
        <f>VLOOKUP($C78,'Food Pairing Data'!$C$2:$S$188,14)</f>
        <v>1</v>
      </c>
      <c r="AE78" s="6">
        <f>VLOOKUP($C78,'Food Pairing Data'!$C$2:$S$188,15)</f>
        <v>0</v>
      </c>
      <c r="AF78" s="6">
        <f>VLOOKUP($C78,'Food Pairing Data'!$C$2:$S$188,16)</f>
        <v>0</v>
      </c>
      <c r="AG78" s="6">
        <f>VLOOKUP($C78,'Food Pairing Data'!$C$2:$S$188,17)</f>
        <v>0</v>
      </c>
      <c r="AH78" s="6" t="s">
        <v>572</v>
      </c>
      <c r="AI78" s="6" t="s">
        <v>606</v>
      </c>
    </row>
    <row r="79" spans="1:35" ht="14">
      <c r="A79" s="6">
        <f t="shared" si="3"/>
        <v>77</v>
      </c>
      <c r="B79" s="6" t="s">
        <v>245</v>
      </c>
      <c r="C79" s="6" t="s">
        <v>613</v>
      </c>
      <c r="D79" s="6" t="s">
        <v>606</v>
      </c>
      <c r="E79" s="22">
        <f>HLOOKUP('Output (Dessert)'!$F$4,'Raw Data (Dessert)'!$U$2:$BP$88,(A79+1),)</f>
        <v>0</v>
      </c>
      <c r="F79" s="23">
        <f>IF(D79='Output (Dessert)'!$B$4,1,0)</f>
        <v>0</v>
      </c>
      <c r="G79" s="23">
        <f>IF(L79&lt;='Output (Dessert)'!$C$4,(200-'Raw Data (Dessert)'!L79),0)</f>
        <v>191.01</v>
      </c>
      <c r="H79" s="23">
        <v>4.5</v>
      </c>
      <c r="I79" s="24">
        <f>SUMPRODUCT(F79:H79,'Output (Dessert)'!$B$5:$D$5)*E79</f>
        <v>0</v>
      </c>
      <c r="J79" s="25">
        <v>0</v>
      </c>
      <c r="K79" s="49">
        <f t="shared" si="2"/>
        <v>0</v>
      </c>
      <c r="L79" s="20">
        <v>8.99</v>
      </c>
      <c r="M79" s="6" t="s">
        <v>525</v>
      </c>
      <c r="N79" s="6" t="s">
        <v>602</v>
      </c>
      <c r="O79" s="6" t="s">
        <v>614</v>
      </c>
      <c r="P79" s="6" t="s">
        <v>615</v>
      </c>
      <c r="Q79" s="26">
        <v>0.11</v>
      </c>
      <c r="R79" s="6" t="s">
        <v>168</v>
      </c>
      <c r="S79" s="6" t="s">
        <v>616</v>
      </c>
      <c r="T79" s="6" t="s">
        <v>147</v>
      </c>
      <c r="U79" s="6">
        <f>VLOOKUP($C79,'Food Pairing Data'!$C$2:$S$188,5)</f>
        <v>0</v>
      </c>
      <c r="V79" s="6">
        <f>VLOOKUP($C79,'Food Pairing Data'!$C$2:$S$188,6)</f>
        <v>0</v>
      </c>
      <c r="W79" s="6">
        <f>VLOOKUP($C79,'Food Pairing Data'!$C$2:$S$188,7)</f>
        <v>0</v>
      </c>
      <c r="X79" s="6">
        <f>VLOOKUP($C79,'Food Pairing Data'!$C$2:$S$188,8)</f>
        <v>0</v>
      </c>
      <c r="Y79" s="6">
        <f>VLOOKUP($C79,'Food Pairing Data'!$C$2:$S$188,9)</f>
        <v>0</v>
      </c>
      <c r="Z79" s="6">
        <f>VLOOKUP($C79,'Food Pairing Data'!$C$2:$S$188,10)</f>
        <v>0</v>
      </c>
      <c r="AA79" s="6">
        <f>VLOOKUP($C79,'Food Pairing Data'!$C$2:$S$188,11)</f>
        <v>0</v>
      </c>
      <c r="AB79" s="6">
        <f>VLOOKUP($C79,'Food Pairing Data'!$C$2:$S$188,12)</f>
        <v>0</v>
      </c>
      <c r="AC79" s="6">
        <f>VLOOKUP($C79,'Food Pairing Data'!$C$2:$S$188,13)</f>
        <v>0</v>
      </c>
      <c r="AD79" s="6">
        <f>VLOOKUP($C79,'Food Pairing Data'!$C$2:$S$188,14)</f>
        <v>1</v>
      </c>
      <c r="AE79" s="6">
        <f>VLOOKUP($C79,'Food Pairing Data'!$C$2:$S$188,15)</f>
        <v>0</v>
      </c>
      <c r="AF79" s="6">
        <f>VLOOKUP($C79,'Food Pairing Data'!$C$2:$S$188,16)</f>
        <v>0</v>
      </c>
      <c r="AG79" s="6">
        <f>VLOOKUP($C79,'Food Pairing Data'!$C$2:$S$188,17)</f>
        <v>0</v>
      </c>
      <c r="AH79" s="6" t="s">
        <v>613</v>
      </c>
      <c r="AI79" s="6" t="s">
        <v>606</v>
      </c>
    </row>
    <row r="80" spans="1:35" ht="14">
      <c r="A80" s="6">
        <f t="shared" si="3"/>
        <v>78</v>
      </c>
      <c r="B80" s="6" t="s">
        <v>161</v>
      </c>
      <c r="C80" s="6" t="s">
        <v>617</v>
      </c>
      <c r="D80" s="6" t="s">
        <v>606</v>
      </c>
      <c r="E80" s="22">
        <f>HLOOKUP('Output (Dessert)'!$F$4,'Raw Data (Dessert)'!$U$2:$BP$88,(A80+1),)</f>
        <v>0</v>
      </c>
      <c r="F80" s="23">
        <f>IF(D80='Output (Dessert)'!$B$4,1,0)</f>
        <v>0</v>
      </c>
      <c r="G80" s="23">
        <f>IF(L80&lt;='Output (Dessert)'!$C$4,(200-'Raw Data (Dessert)'!L80),0)</f>
        <v>0</v>
      </c>
      <c r="H80" s="23">
        <v>4</v>
      </c>
      <c r="I80" s="24">
        <f>SUMPRODUCT(F80:H80,'Output (Dessert)'!$B$5:$D$5)*E80</f>
        <v>0</v>
      </c>
      <c r="J80" s="25">
        <v>0</v>
      </c>
      <c r="K80" s="49">
        <f t="shared" si="2"/>
        <v>0</v>
      </c>
      <c r="L80" s="20">
        <v>57.99</v>
      </c>
      <c r="M80" s="6" t="s">
        <v>525</v>
      </c>
      <c r="N80" s="6" t="s">
        <v>618</v>
      </c>
      <c r="O80" s="6" t="s">
        <v>619</v>
      </c>
      <c r="P80" s="6" t="s">
        <v>620</v>
      </c>
      <c r="Q80" s="26">
        <v>0.12</v>
      </c>
      <c r="R80" s="6" t="s">
        <v>75</v>
      </c>
      <c r="S80" s="6" t="s">
        <v>74</v>
      </c>
      <c r="T80" s="6" t="s">
        <v>148</v>
      </c>
      <c r="U80" s="6">
        <v>0</v>
      </c>
      <c r="V80" s="6">
        <v>0</v>
      </c>
      <c r="W80" s="6">
        <v>0</v>
      </c>
      <c r="X80" s="6">
        <v>1</v>
      </c>
      <c r="Y80" s="6">
        <v>1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>
        <v>0</v>
      </c>
      <c r="AH80" s="6" t="s">
        <v>617</v>
      </c>
      <c r="AI80" s="6" t="s">
        <v>606</v>
      </c>
    </row>
    <row r="81" spans="1:35" ht="14">
      <c r="A81" s="6">
        <f t="shared" si="3"/>
        <v>79</v>
      </c>
      <c r="B81" s="6" t="s">
        <v>23</v>
      </c>
      <c r="C81" s="6" t="s">
        <v>621</v>
      </c>
      <c r="D81" s="6" t="s">
        <v>606</v>
      </c>
      <c r="E81" s="22">
        <f>HLOOKUP('Output (Dessert)'!$F$4,'Raw Data (Dessert)'!$U$2:$BP$88,(A81+1),)</f>
        <v>0</v>
      </c>
      <c r="F81" s="23">
        <f>IF(D81='Output (Dessert)'!$B$4,1,0)</f>
        <v>0</v>
      </c>
      <c r="G81" s="23">
        <f>IF(L81&lt;='Output (Dessert)'!$C$4,(200-'Raw Data (Dessert)'!L81),0)</f>
        <v>184.01</v>
      </c>
      <c r="H81" s="23">
        <v>4</v>
      </c>
      <c r="I81" s="24">
        <f>SUMPRODUCT(F81:H81,'Output (Dessert)'!$B$5:$D$5)*E81</f>
        <v>0</v>
      </c>
      <c r="J81" s="25">
        <v>0</v>
      </c>
      <c r="K81" s="49">
        <f t="shared" si="2"/>
        <v>0</v>
      </c>
      <c r="L81" s="20">
        <v>15.99</v>
      </c>
      <c r="M81" s="6" t="s">
        <v>574</v>
      </c>
      <c r="O81" s="6" t="s">
        <v>622</v>
      </c>
      <c r="P81" s="6" t="s">
        <v>623</v>
      </c>
      <c r="Q81" s="26">
        <v>0.115</v>
      </c>
      <c r="R81" s="6" t="s">
        <v>74</v>
      </c>
      <c r="S81" s="6" t="s">
        <v>624</v>
      </c>
      <c r="T81" s="6" t="s">
        <v>53</v>
      </c>
      <c r="U81" s="6">
        <f>VLOOKUP($C81,'Food Pairing Data'!$C$2:$S$188,5)</f>
        <v>0</v>
      </c>
      <c r="V81" s="6">
        <f>VLOOKUP($C81,'Food Pairing Data'!$C$2:$S$188,6)</f>
        <v>0</v>
      </c>
      <c r="W81" s="6">
        <f>VLOOKUP($C81,'Food Pairing Data'!$C$2:$S$188,7)</f>
        <v>1</v>
      </c>
      <c r="X81" s="6">
        <f>VLOOKUP($C81,'Food Pairing Data'!$C$2:$S$188,8)</f>
        <v>1</v>
      </c>
      <c r="Y81" s="6">
        <f>VLOOKUP($C81,'Food Pairing Data'!$C$2:$S$188,9)</f>
        <v>0</v>
      </c>
      <c r="Z81" s="6">
        <f>VLOOKUP($C81,'Food Pairing Data'!$C$2:$S$188,10)</f>
        <v>0</v>
      </c>
      <c r="AA81" s="6">
        <f>VLOOKUP($C81,'Food Pairing Data'!$C$2:$S$188,11)</f>
        <v>0</v>
      </c>
      <c r="AB81" s="6">
        <f>VLOOKUP($C81,'Food Pairing Data'!$C$2:$S$188,12)</f>
        <v>0</v>
      </c>
      <c r="AC81" s="6">
        <f>VLOOKUP($C81,'Food Pairing Data'!$C$2:$S$188,13)</f>
        <v>0</v>
      </c>
      <c r="AD81" s="6">
        <f>VLOOKUP($C81,'Food Pairing Data'!$C$2:$S$188,14)</f>
        <v>0</v>
      </c>
      <c r="AE81" s="6">
        <f>VLOOKUP($C81,'Food Pairing Data'!$C$2:$S$188,15)</f>
        <v>0</v>
      </c>
      <c r="AF81" s="6">
        <f>VLOOKUP($C81,'Food Pairing Data'!$C$2:$S$188,16)</f>
        <v>0</v>
      </c>
      <c r="AG81" s="6">
        <f>VLOOKUP($C81,'Food Pairing Data'!$C$2:$S$188,17)</f>
        <v>0</v>
      </c>
      <c r="AH81" s="6" t="s">
        <v>621</v>
      </c>
      <c r="AI81" s="6" t="s">
        <v>606</v>
      </c>
    </row>
    <row r="82" spans="1:35" ht="14">
      <c r="A82" s="6">
        <f t="shared" si="3"/>
        <v>80</v>
      </c>
      <c r="B82" s="6" t="s">
        <v>245</v>
      </c>
      <c r="C82" s="6" t="s">
        <v>601</v>
      </c>
      <c r="D82" s="6" t="s">
        <v>606</v>
      </c>
      <c r="E82" s="22">
        <f>HLOOKUP('Output (Dessert)'!$F$4,'Raw Data (Dessert)'!$U$2:$BP$88,(A82+1),)</f>
        <v>0</v>
      </c>
      <c r="F82" s="23">
        <f>IF(D82='Output (Dessert)'!$B$4,1,0)</f>
        <v>0</v>
      </c>
      <c r="G82" s="23">
        <f>IF(L82&lt;='Output (Dessert)'!$C$4,(200-'Raw Data (Dessert)'!L82),0)</f>
        <v>190.01</v>
      </c>
      <c r="H82" s="23">
        <v>4</v>
      </c>
      <c r="I82" s="24">
        <f>SUMPRODUCT(F82:H82,'Output (Dessert)'!$B$5:$D$5)*E82</f>
        <v>0</v>
      </c>
      <c r="J82" s="25">
        <v>0</v>
      </c>
      <c r="K82" s="49">
        <f t="shared" si="2"/>
        <v>0</v>
      </c>
      <c r="L82" s="20">
        <v>9.99</v>
      </c>
      <c r="M82" s="6" t="s">
        <v>525</v>
      </c>
      <c r="N82" s="6" t="s">
        <v>602</v>
      </c>
      <c r="O82" s="6" t="s">
        <v>603</v>
      </c>
      <c r="P82" s="6" t="s">
        <v>604</v>
      </c>
      <c r="Q82" s="26">
        <v>0.12</v>
      </c>
      <c r="R82" s="6" t="s">
        <v>518</v>
      </c>
      <c r="S82" s="6" t="s">
        <v>625</v>
      </c>
      <c r="T82" s="6" t="s">
        <v>512</v>
      </c>
      <c r="U82" s="6">
        <f>VLOOKUP($C82,'Food Pairing Data'!$C$2:$S$188,5)</f>
        <v>0</v>
      </c>
      <c r="V82" s="6">
        <f>VLOOKUP($C82,'Food Pairing Data'!$C$2:$S$188,6)</f>
        <v>0</v>
      </c>
      <c r="W82" s="6">
        <f>VLOOKUP($C82,'Food Pairing Data'!$C$2:$S$188,7)</f>
        <v>0</v>
      </c>
      <c r="X82" s="6">
        <f>VLOOKUP($C82,'Food Pairing Data'!$C$2:$S$188,8)</f>
        <v>0</v>
      </c>
      <c r="Y82" s="6">
        <f>VLOOKUP($C82,'Food Pairing Data'!$C$2:$S$188,9)</f>
        <v>0</v>
      </c>
      <c r="Z82" s="6">
        <f>VLOOKUP($C82,'Food Pairing Data'!$C$2:$S$188,10)</f>
        <v>0</v>
      </c>
      <c r="AA82" s="6">
        <f>VLOOKUP($C82,'Food Pairing Data'!$C$2:$S$188,11)</f>
        <v>0</v>
      </c>
      <c r="AB82" s="6">
        <f>VLOOKUP($C82,'Food Pairing Data'!$C$2:$S$188,12)</f>
        <v>0</v>
      </c>
      <c r="AC82" s="6">
        <f>VLOOKUP($C82,'Food Pairing Data'!$C$2:$S$188,13)</f>
        <v>0</v>
      </c>
      <c r="AD82" s="6">
        <f>VLOOKUP($C82,'Food Pairing Data'!$C$2:$S$188,14)</f>
        <v>1</v>
      </c>
      <c r="AE82" s="6">
        <f>VLOOKUP($C82,'Food Pairing Data'!$C$2:$S$188,15)</f>
        <v>0</v>
      </c>
      <c r="AF82" s="6">
        <f>VLOOKUP($C82,'Food Pairing Data'!$C$2:$S$188,16)</f>
        <v>0</v>
      </c>
      <c r="AG82" s="6">
        <f>VLOOKUP($C82,'Food Pairing Data'!$C$2:$S$188,17)</f>
        <v>0</v>
      </c>
      <c r="AH82" s="6" t="s">
        <v>601</v>
      </c>
      <c r="AI82" s="6" t="s">
        <v>606</v>
      </c>
    </row>
    <row r="83" spans="1:35" ht="14">
      <c r="A83" s="6">
        <f t="shared" si="3"/>
        <v>81</v>
      </c>
      <c r="B83" s="6" t="s">
        <v>23</v>
      </c>
      <c r="C83" s="6" t="s">
        <v>626</v>
      </c>
      <c r="D83" s="6" t="s">
        <v>606</v>
      </c>
      <c r="E83" s="22">
        <f>HLOOKUP('Output (Dessert)'!$F$4,'Raw Data (Dessert)'!$U$2:$BP$88,(A83+1),)</f>
        <v>1</v>
      </c>
      <c r="F83" s="23">
        <f>IF(D83='Output (Dessert)'!$B$4,1,0)</f>
        <v>0</v>
      </c>
      <c r="G83" s="23">
        <f>IF(L83&lt;='Output (Dessert)'!$C$4,(200-'Raw Data (Dessert)'!L83),0)</f>
        <v>185.01</v>
      </c>
      <c r="H83" s="23">
        <v>3.5</v>
      </c>
      <c r="I83" s="24">
        <f>SUMPRODUCT(F83:H83,'Output (Dessert)'!$B$5:$D$5)*E83</f>
        <v>148.358</v>
      </c>
      <c r="J83" s="25">
        <v>1</v>
      </c>
      <c r="K83" s="49">
        <f t="shared" si="2"/>
        <v>1</v>
      </c>
      <c r="L83" s="20">
        <v>14.99</v>
      </c>
      <c r="M83" s="6" t="s">
        <v>164</v>
      </c>
      <c r="N83" s="6" t="s">
        <v>627</v>
      </c>
      <c r="O83" s="6" t="s">
        <v>628</v>
      </c>
      <c r="P83" s="6" t="s">
        <v>300</v>
      </c>
      <c r="Q83" s="26">
        <v>0.05</v>
      </c>
      <c r="R83" s="6" t="s">
        <v>168</v>
      </c>
      <c r="S83" s="6" t="s">
        <v>85</v>
      </c>
      <c r="T83" s="6" t="s">
        <v>102</v>
      </c>
      <c r="U83" s="6">
        <v>0</v>
      </c>
      <c r="V83" s="6">
        <v>0</v>
      </c>
      <c r="W83" s="6">
        <v>0</v>
      </c>
      <c r="X83" s="6">
        <v>0</v>
      </c>
      <c r="Y83" s="6">
        <v>0</v>
      </c>
      <c r="Z83" s="6">
        <v>1</v>
      </c>
      <c r="AA83" s="6">
        <v>0</v>
      </c>
      <c r="AB83" s="6">
        <v>0</v>
      </c>
      <c r="AC83" s="6">
        <v>0</v>
      </c>
      <c r="AD83" s="6">
        <v>1</v>
      </c>
      <c r="AE83" s="6">
        <v>0</v>
      </c>
      <c r="AF83" s="6">
        <v>0</v>
      </c>
      <c r="AG83" s="6">
        <v>1</v>
      </c>
      <c r="AH83" s="6" t="s">
        <v>626</v>
      </c>
      <c r="AI83" s="6" t="s">
        <v>606</v>
      </c>
    </row>
    <row r="84" spans="1:35" ht="14">
      <c r="A84" s="6">
        <f t="shared" si="3"/>
        <v>82</v>
      </c>
      <c r="B84" s="6" t="s">
        <v>23</v>
      </c>
      <c r="C84" s="6" t="s">
        <v>629</v>
      </c>
      <c r="D84" s="6" t="s">
        <v>606</v>
      </c>
      <c r="E84" s="22">
        <f>HLOOKUP('Output (Dessert)'!$F$4,'Raw Data (Dessert)'!$U$2:$BP$88,(A84+1),)</f>
        <v>0</v>
      </c>
      <c r="F84" s="23">
        <f>IF(D84='Output (Dessert)'!$B$4,1,0)</f>
        <v>0</v>
      </c>
      <c r="G84" s="23">
        <f>IF(L84&lt;='Output (Dessert)'!$C$4,(200-'Raw Data (Dessert)'!L84),0)</f>
        <v>187.01</v>
      </c>
      <c r="H84" s="23">
        <v>3.5</v>
      </c>
      <c r="I84" s="24">
        <f>SUMPRODUCT(F84:H84,'Output (Dessert)'!$B$5:$D$5)*E84</f>
        <v>0</v>
      </c>
      <c r="J84" s="25">
        <v>0</v>
      </c>
      <c r="K84" s="49">
        <f t="shared" si="2"/>
        <v>0</v>
      </c>
      <c r="L84" s="20">
        <v>12.99</v>
      </c>
      <c r="M84" s="6" t="s">
        <v>164</v>
      </c>
      <c r="N84" s="6" t="s">
        <v>630</v>
      </c>
      <c r="O84" s="6" t="s">
        <v>631</v>
      </c>
      <c r="P84" s="6" t="s">
        <v>557</v>
      </c>
      <c r="Q84" s="26">
        <v>0.115</v>
      </c>
      <c r="R84" s="6" t="s">
        <v>68</v>
      </c>
      <c r="S84" s="6" t="s">
        <v>84</v>
      </c>
      <c r="T84" s="6" t="s">
        <v>104</v>
      </c>
      <c r="U84" s="6">
        <f>VLOOKUP($C84,'Food Pairing Data'!$C$2:$S$188,5)</f>
        <v>0</v>
      </c>
      <c r="V84" s="6">
        <f>VLOOKUP($C84,'Food Pairing Data'!$C$2:$S$188,6)</f>
        <v>0</v>
      </c>
      <c r="W84" s="6">
        <f>VLOOKUP($C84,'Food Pairing Data'!$C$2:$S$188,7)</f>
        <v>0</v>
      </c>
      <c r="X84" s="6">
        <f>VLOOKUP($C84,'Food Pairing Data'!$C$2:$S$188,8)</f>
        <v>0</v>
      </c>
      <c r="Y84" s="6">
        <f>VLOOKUP($C84,'Food Pairing Data'!$C$2:$S$188,9)</f>
        <v>0</v>
      </c>
      <c r="Z84" s="6">
        <f>VLOOKUP($C84,'Food Pairing Data'!$C$2:$S$188,10)</f>
        <v>0</v>
      </c>
      <c r="AA84" s="6">
        <f>VLOOKUP($C84,'Food Pairing Data'!$C$2:$S$188,11)</f>
        <v>0</v>
      </c>
      <c r="AB84" s="6">
        <f>VLOOKUP($C84,'Food Pairing Data'!$C$2:$S$188,12)</f>
        <v>0</v>
      </c>
      <c r="AC84" s="6">
        <f>VLOOKUP($C84,'Food Pairing Data'!$C$2:$S$188,13)</f>
        <v>0</v>
      </c>
      <c r="AD84" s="6">
        <f>VLOOKUP($C84,'Food Pairing Data'!$C$2:$S$188,14)</f>
        <v>1</v>
      </c>
      <c r="AE84" s="6">
        <f>VLOOKUP($C84,'Food Pairing Data'!$C$2:$S$188,15)</f>
        <v>0</v>
      </c>
      <c r="AF84" s="6">
        <f>VLOOKUP($C84,'Food Pairing Data'!$C$2:$S$188,16)</f>
        <v>0</v>
      </c>
      <c r="AG84" s="6">
        <f>VLOOKUP($C84,'Food Pairing Data'!$C$2:$S$188,17)</f>
        <v>0</v>
      </c>
      <c r="AH84" s="6" t="s">
        <v>629</v>
      </c>
      <c r="AI84" s="6" t="s">
        <v>606</v>
      </c>
    </row>
    <row r="85" spans="1:35" ht="14">
      <c r="A85" s="6">
        <f t="shared" si="3"/>
        <v>83</v>
      </c>
      <c r="B85" s="6" t="s">
        <v>23</v>
      </c>
      <c r="C85" s="6" t="s">
        <v>632</v>
      </c>
      <c r="D85" s="6" t="s">
        <v>295</v>
      </c>
      <c r="E85" s="22">
        <f>HLOOKUP('Output (Dessert)'!$F$4,'Raw Data (Dessert)'!$U$2:$BP$88,(A85+1),)</f>
        <v>0</v>
      </c>
      <c r="F85" s="23">
        <f>IF(D85='Output (Dessert)'!$B$4,1,0)</f>
        <v>0</v>
      </c>
      <c r="G85" s="23">
        <f>IF(L85&lt;='Output (Dessert)'!$C$4,(200-'Raw Data (Dessert)'!L85),0)</f>
        <v>183.01</v>
      </c>
      <c r="H85" s="23">
        <v>5</v>
      </c>
      <c r="I85" s="24">
        <f>SUMPRODUCT(F85:H85,'Output (Dessert)'!$B$5:$D$5)*E85</f>
        <v>0</v>
      </c>
      <c r="J85" s="25">
        <v>0</v>
      </c>
      <c r="K85" s="49">
        <f t="shared" si="2"/>
        <v>0</v>
      </c>
      <c r="L85" s="20">
        <v>16.989999999999998</v>
      </c>
      <c r="M85" s="6" t="s">
        <v>574</v>
      </c>
      <c r="N85" s="6" t="s">
        <v>633</v>
      </c>
      <c r="P85" s="6" t="s">
        <v>540</v>
      </c>
      <c r="Q85" s="26">
        <v>0.15</v>
      </c>
      <c r="R85" s="6" t="s">
        <v>96</v>
      </c>
      <c r="S85" s="6" t="s">
        <v>97</v>
      </c>
      <c r="T85" s="6" t="s">
        <v>53</v>
      </c>
      <c r="U85" s="6">
        <f>VLOOKUP($C85,'Food Pairing Data'!$C$2:$S$188,5)</f>
        <v>0</v>
      </c>
      <c r="V85" s="6">
        <f>VLOOKUP($C85,'Food Pairing Data'!$C$2:$S$188,6)</f>
        <v>0</v>
      </c>
      <c r="W85" s="6">
        <f>VLOOKUP($C85,'Food Pairing Data'!$C$2:$S$188,7)</f>
        <v>0</v>
      </c>
      <c r="X85" s="6">
        <f>VLOOKUP($C85,'Food Pairing Data'!$C$2:$S$188,8)</f>
        <v>0</v>
      </c>
      <c r="Y85" s="6">
        <f>VLOOKUP($C85,'Food Pairing Data'!$C$2:$S$188,9)</f>
        <v>0</v>
      </c>
      <c r="Z85" s="6">
        <f>VLOOKUP($C85,'Food Pairing Data'!$C$2:$S$188,10)</f>
        <v>0</v>
      </c>
      <c r="AA85" s="6">
        <f>VLOOKUP($C85,'Food Pairing Data'!$C$2:$S$188,11)</f>
        <v>0</v>
      </c>
      <c r="AB85" s="6">
        <f>VLOOKUP($C85,'Food Pairing Data'!$C$2:$S$188,12)</f>
        <v>0</v>
      </c>
      <c r="AC85" s="6">
        <f>VLOOKUP($C85,'Food Pairing Data'!$C$2:$S$188,13)</f>
        <v>0</v>
      </c>
      <c r="AD85" s="6">
        <f>VLOOKUP($C85,'Food Pairing Data'!$C$2:$S$188,14)</f>
        <v>1</v>
      </c>
      <c r="AE85" s="6">
        <f>VLOOKUP($C85,'Food Pairing Data'!$C$2:$S$188,15)</f>
        <v>0</v>
      </c>
      <c r="AF85" s="6">
        <f>VLOOKUP($C85,'Food Pairing Data'!$C$2:$S$188,16)</f>
        <v>0</v>
      </c>
      <c r="AG85" s="6">
        <f>VLOOKUP($C85,'Food Pairing Data'!$C$2:$S$188,17)</f>
        <v>0</v>
      </c>
      <c r="AH85" s="6" t="s">
        <v>632</v>
      </c>
      <c r="AI85" s="6" t="s">
        <v>295</v>
      </c>
    </row>
    <row r="86" spans="1:35" ht="14">
      <c r="A86" s="6">
        <f t="shared" si="3"/>
        <v>84</v>
      </c>
      <c r="B86" s="6" t="s">
        <v>23</v>
      </c>
      <c r="C86" s="6" t="s">
        <v>634</v>
      </c>
      <c r="D86" s="6" t="s">
        <v>295</v>
      </c>
      <c r="E86" s="22">
        <f>HLOOKUP('Output (Dessert)'!$F$4,'Raw Data (Dessert)'!$U$2:$BP$88,(A86+1),)</f>
        <v>0</v>
      </c>
      <c r="F86" s="23">
        <f>IF(D86='Output (Dessert)'!$B$4,1,0)</f>
        <v>0</v>
      </c>
      <c r="G86" s="23">
        <f>IF(L86&lt;='Output (Dessert)'!$C$4,(200-'Raw Data (Dessert)'!L86),0)</f>
        <v>183.01</v>
      </c>
      <c r="H86" s="23">
        <v>4.5</v>
      </c>
      <c r="I86" s="24">
        <f>SUMPRODUCT(F86:H86,'Output (Dessert)'!$B$5:$D$5)*E86</f>
        <v>0</v>
      </c>
      <c r="J86" s="25">
        <v>0</v>
      </c>
      <c r="K86" s="49">
        <f t="shared" si="2"/>
        <v>0</v>
      </c>
      <c r="L86" s="20">
        <v>16.989999999999998</v>
      </c>
      <c r="M86" s="6" t="s">
        <v>635</v>
      </c>
      <c r="N86" s="6" t="s">
        <v>636</v>
      </c>
      <c r="P86" s="6" t="s">
        <v>637</v>
      </c>
      <c r="Q86" s="26">
        <v>0.14599999999999999</v>
      </c>
      <c r="R86" s="6" t="s">
        <v>153</v>
      </c>
      <c r="S86" s="6" t="s">
        <v>91</v>
      </c>
      <c r="T86" s="6" t="s">
        <v>141</v>
      </c>
      <c r="U86" s="6">
        <f>VLOOKUP($C86,'Food Pairing Data'!$C$2:$S$188,5)</f>
        <v>0</v>
      </c>
      <c r="V86" s="6">
        <f>VLOOKUP($C86,'Food Pairing Data'!$C$2:$S$188,6)</f>
        <v>0</v>
      </c>
      <c r="W86" s="6">
        <f>VLOOKUP($C86,'Food Pairing Data'!$C$2:$S$188,7)</f>
        <v>0</v>
      </c>
      <c r="X86" s="6">
        <f>VLOOKUP($C86,'Food Pairing Data'!$C$2:$S$188,8)</f>
        <v>1</v>
      </c>
      <c r="Y86" s="6">
        <f>VLOOKUP($C86,'Food Pairing Data'!$C$2:$S$188,9)</f>
        <v>0</v>
      </c>
      <c r="Z86" s="6">
        <f>VLOOKUP($C86,'Food Pairing Data'!$C$2:$S$188,10)</f>
        <v>1</v>
      </c>
      <c r="AA86" s="6">
        <f>VLOOKUP($C86,'Food Pairing Data'!$C$2:$S$188,11)</f>
        <v>0</v>
      </c>
      <c r="AB86" s="6">
        <f>VLOOKUP($C86,'Food Pairing Data'!$C$2:$S$188,12)</f>
        <v>0</v>
      </c>
      <c r="AC86" s="6">
        <f>VLOOKUP($C86,'Food Pairing Data'!$C$2:$S$188,13)</f>
        <v>0</v>
      </c>
      <c r="AD86" s="6">
        <f>VLOOKUP($C86,'Food Pairing Data'!$C$2:$S$188,14)</f>
        <v>0</v>
      </c>
      <c r="AE86" s="6">
        <f>VLOOKUP($C86,'Food Pairing Data'!$C$2:$S$188,15)</f>
        <v>0</v>
      </c>
      <c r="AF86" s="6">
        <f>VLOOKUP($C86,'Food Pairing Data'!$C$2:$S$188,16)</f>
        <v>0</v>
      </c>
      <c r="AG86" s="6">
        <f>VLOOKUP($C86,'Food Pairing Data'!$C$2:$S$188,17)</f>
        <v>0</v>
      </c>
      <c r="AH86" s="6" t="s">
        <v>634</v>
      </c>
      <c r="AI86" s="6" t="s">
        <v>295</v>
      </c>
    </row>
    <row r="87" spans="1:35" ht="14">
      <c r="A87" s="6">
        <f t="shared" si="3"/>
        <v>85</v>
      </c>
      <c r="B87" s="6" t="s">
        <v>23</v>
      </c>
      <c r="C87" s="6" t="s">
        <v>638</v>
      </c>
      <c r="D87" s="6" t="s">
        <v>295</v>
      </c>
      <c r="E87" s="22">
        <f>HLOOKUP('Output (Dessert)'!$F$4,'Raw Data (Dessert)'!$U$2:$BP$88,(A87+1),)</f>
        <v>0</v>
      </c>
      <c r="F87" s="23">
        <f>IF(D87='Output (Dessert)'!$B$4,1,0)</f>
        <v>0</v>
      </c>
      <c r="G87" s="23">
        <f>IF(L87&lt;='Output (Dessert)'!$C$4,(200-'Raw Data (Dessert)'!L87),0)</f>
        <v>185.01</v>
      </c>
      <c r="H87" s="23">
        <v>4.5</v>
      </c>
      <c r="I87" s="24">
        <f>SUMPRODUCT(F87:H87,'Output (Dessert)'!$B$5:$D$5)*E87</f>
        <v>0</v>
      </c>
      <c r="J87" s="25">
        <v>0</v>
      </c>
      <c r="K87" s="49">
        <f t="shared" si="2"/>
        <v>0</v>
      </c>
      <c r="L87" s="20">
        <v>14.99</v>
      </c>
      <c r="M87" s="6" t="s">
        <v>574</v>
      </c>
      <c r="N87" s="6" t="s">
        <v>639</v>
      </c>
      <c r="O87" s="6" t="s">
        <v>640</v>
      </c>
      <c r="P87" s="6" t="s">
        <v>641</v>
      </c>
      <c r="Q87" s="26">
        <v>0.15</v>
      </c>
      <c r="R87" s="6" t="s">
        <v>96</v>
      </c>
      <c r="S87" s="6" t="s">
        <v>642</v>
      </c>
      <c r="T87" s="6" t="s">
        <v>643</v>
      </c>
      <c r="U87" s="6">
        <f>VLOOKUP($C87,'Food Pairing Data'!$C$2:$S$188,5)</f>
        <v>0</v>
      </c>
      <c r="V87" s="6">
        <f>VLOOKUP($C87,'Food Pairing Data'!$C$2:$S$188,6)</f>
        <v>0</v>
      </c>
      <c r="W87" s="6">
        <f>VLOOKUP($C87,'Food Pairing Data'!$C$2:$S$188,7)</f>
        <v>0</v>
      </c>
      <c r="X87" s="6">
        <f>VLOOKUP($C87,'Food Pairing Data'!$C$2:$S$188,8)</f>
        <v>0</v>
      </c>
      <c r="Y87" s="6">
        <f>VLOOKUP($C87,'Food Pairing Data'!$C$2:$S$188,9)</f>
        <v>0</v>
      </c>
      <c r="Z87" s="6">
        <f>VLOOKUP($C87,'Food Pairing Data'!$C$2:$S$188,10)</f>
        <v>0</v>
      </c>
      <c r="AA87" s="6">
        <f>VLOOKUP($C87,'Food Pairing Data'!$C$2:$S$188,11)</f>
        <v>0</v>
      </c>
      <c r="AB87" s="6">
        <f>VLOOKUP($C87,'Food Pairing Data'!$C$2:$S$188,12)</f>
        <v>0</v>
      </c>
      <c r="AC87" s="6">
        <f>VLOOKUP($C87,'Food Pairing Data'!$C$2:$S$188,13)</f>
        <v>0</v>
      </c>
      <c r="AD87" s="6">
        <f>VLOOKUP($C87,'Food Pairing Data'!$C$2:$S$188,14)</f>
        <v>1</v>
      </c>
      <c r="AE87" s="6">
        <f>VLOOKUP($C87,'Food Pairing Data'!$C$2:$S$188,15)</f>
        <v>0</v>
      </c>
      <c r="AF87" s="6">
        <f>VLOOKUP($C87,'Food Pairing Data'!$C$2:$S$188,16)</f>
        <v>0</v>
      </c>
      <c r="AG87" s="6">
        <f>VLOOKUP($C87,'Food Pairing Data'!$C$2:$S$188,17)</f>
        <v>0</v>
      </c>
      <c r="AH87" s="6" t="s">
        <v>638</v>
      </c>
      <c r="AI87" s="6" t="s">
        <v>295</v>
      </c>
    </row>
    <row r="88" spans="1:35" ht="15" thickBot="1">
      <c r="A88" s="6">
        <f t="shared" si="3"/>
        <v>86</v>
      </c>
      <c r="B88" s="6" t="s">
        <v>23</v>
      </c>
      <c r="C88" s="6" t="s">
        <v>491</v>
      </c>
      <c r="D88" s="6" t="s">
        <v>295</v>
      </c>
      <c r="E88" s="27">
        <f>HLOOKUP('Output (Dessert)'!$F$4,'Raw Data (Dessert)'!$U$2:$BP$88,(A88+1),)</f>
        <v>0</v>
      </c>
      <c r="F88" s="28">
        <f>IF(D88='Output (Dessert)'!$B$4,1,0)</f>
        <v>0</v>
      </c>
      <c r="G88" s="28">
        <f>IF(L88&lt;='Output (Dessert)'!$C$4,(200-'Raw Data (Dessert)'!L88),0)</f>
        <v>180.01</v>
      </c>
      <c r="H88" s="28">
        <v>4</v>
      </c>
      <c r="I88" s="29">
        <f>SUMPRODUCT(F88:H88,'Output (Dessert)'!$B$5:$D$5)*E88</f>
        <v>0</v>
      </c>
      <c r="J88" s="30">
        <v>0</v>
      </c>
      <c r="K88" s="49">
        <f t="shared" si="2"/>
        <v>0</v>
      </c>
      <c r="L88" s="20">
        <v>19.989999999999998</v>
      </c>
      <c r="M88" s="6" t="s">
        <v>296</v>
      </c>
      <c r="N88" s="6" t="s">
        <v>492</v>
      </c>
      <c r="O88" s="6" t="s">
        <v>493</v>
      </c>
      <c r="P88" s="6" t="s">
        <v>297</v>
      </c>
      <c r="Q88" s="26">
        <v>0.19</v>
      </c>
      <c r="R88" s="6" t="s">
        <v>69</v>
      </c>
      <c r="S88" s="6" t="s">
        <v>616</v>
      </c>
      <c r="T88" s="6" t="s">
        <v>147</v>
      </c>
      <c r="U88" s="6">
        <f>VLOOKUP($C88,'Food Pairing Data'!$C$2:$S$188,5)</f>
        <v>0</v>
      </c>
      <c r="V88" s="6">
        <f>VLOOKUP($C88,'Food Pairing Data'!$C$2:$S$188,6)</f>
        <v>0</v>
      </c>
      <c r="W88" s="6">
        <f>VLOOKUP($C88,'Food Pairing Data'!$C$2:$S$188,7)</f>
        <v>1</v>
      </c>
      <c r="X88" s="6">
        <f>VLOOKUP($C88,'Food Pairing Data'!$C$2:$S$188,8)</f>
        <v>1</v>
      </c>
      <c r="Y88" s="6">
        <f>VLOOKUP($C88,'Food Pairing Data'!$C$2:$S$188,9)</f>
        <v>0</v>
      </c>
      <c r="Z88" s="6">
        <f>VLOOKUP($C88,'Food Pairing Data'!$C$2:$S$188,10)</f>
        <v>0</v>
      </c>
      <c r="AA88" s="6">
        <f>VLOOKUP($C88,'Food Pairing Data'!$C$2:$S$188,11)</f>
        <v>0</v>
      </c>
      <c r="AB88" s="6">
        <f>VLOOKUP($C88,'Food Pairing Data'!$C$2:$S$188,12)</f>
        <v>0</v>
      </c>
      <c r="AC88" s="6">
        <f>VLOOKUP($C88,'Food Pairing Data'!$C$2:$S$188,13)</f>
        <v>0</v>
      </c>
      <c r="AD88" s="6">
        <f>VLOOKUP($C88,'Food Pairing Data'!$C$2:$S$188,14)</f>
        <v>0</v>
      </c>
      <c r="AE88" s="6">
        <f>VLOOKUP($C88,'Food Pairing Data'!$C$2:$S$188,15)</f>
        <v>0</v>
      </c>
      <c r="AF88" s="6">
        <f>VLOOKUP($C88,'Food Pairing Data'!$C$2:$S$188,16)</f>
        <v>0</v>
      </c>
      <c r="AG88" s="6">
        <f>VLOOKUP($C88,'Food Pairing Data'!$C$2:$S$188,17)</f>
        <v>0</v>
      </c>
      <c r="AH88" s="6" t="s">
        <v>491</v>
      </c>
      <c r="AI88" s="6" t="s">
        <v>295</v>
      </c>
    </row>
    <row r="89" spans="1:35">
      <c r="J89" s="31">
        <f>SUM(J3:J88)</f>
        <v>1</v>
      </c>
      <c r="K89" s="31"/>
      <c r="U89" s="6">
        <f>SUM(U3:U88)</f>
        <v>3</v>
      </c>
      <c r="V89" s="6">
        <f t="shared" ref="V89:AG89" si="4">SUM(V3:V88)</f>
        <v>3</v>
      </c>
      <c r="W89" s="6">
        <f t="shared" si="4"/>
        <v>15</v>
      </c>
      <c r="X89" s="6">
        <f t="shared" si="4"/>
        <v>25</v>
      </c>
      <c r="Y89" s="6">
        <f t="shared" si="4"/>
        <v>1</v>
      </c>
      <c r="Z89" s="6">
        <f t="shared" si="4"/>
        <v>16</v>
      </c>
      <c r="AA89" s="6">
        <f t="shared" si="4"/>
        <v>0</v>
      </c>
      <c r="AB89" s="6">
        <f t="shared" si="4"/>
        <v>0</v>
      </c>
      <c r="AC89" s="6">
        <f t="shared" si="4"/>
        <v>0</v>
      </c>
      <c r="AD89" s="6">
        <f t="shared" si="4"/>
        <v>53</v>
      </c>
      <c r="AE89" s="6">
        <f t="shared" si="4"/>
        <v>1</v>
      </c>
      <c r="AF89" s="6">
        <f t="shared" si="4"/>
        <v>0</v>
      </c>
      <c r="AG89" s="6">
        <f t="shared" si="4"/>
        <v>7</v>
      </c>
    </row>
    <row r="90" spans="1:35">
      <c r="J90" s="6" t="s">
        <v>302</v>
      </c>
    </row>
    <row r="91" spans="1:35" ht="14">
      <c r="E91" s="38" t="s">
        <v>713</v>
      </c>
      <c r="J91" s="31">
        <v>1</v>
      </c>
      <c r="K91" s="31"/>
      <c r="L91" s="20"/>
    </row>
    <row r="92" spans="1:35">
      <c r="E92" s="38" t="s">
        <v>305</v>
      </c>
      <c r="F92" s="6" t="s">
        <v>44</v>
      </c>
      <c r="G92" s="6" t="s">
        <v>714</v>
      </c>
      <c r="H92" s="38" t="s">
        <v>715</v>
      </c>
    </row>
    <row r="93" spans="1:35">
      <c r="E93" s="6">
        <f>'Output (Dessert)'!B5</f>
        <v>0.1</v>
      </c>
      <c r="F93" s="6">
        <f>'Output (Dessert)'!C5</f>
        <v>0.8</v>
      </c>
      <c r="G93" s="6">
        <f>'Output (Dessert)'!D5</f>
        <v>9.9999999999999978E-2</v>
      </c>
      <c r="H93" s="31">
        <f>SUM(E93:G93)</f>
        <v>1</v>
      </c>
      <c r="I93" s="38" t="s">
        <v>302</v>
      </c>
      <c r="J93" s="31">
        <v>1</v>
      </c>
      <c r="L93" s="15"/>
    </row>
    <row r="95" spans="1:35" ht="14" thickBot="1">
      <c r="G95" s="6" t="s">
        <v>303</v>
      </c>
    </row>
    <row r="96" spans="1:35" ht="14" thickBot="1">
      <c r="G96" s="32" t="e">
        <f>SUMPRODUCT(I3:I88,J3:J88)</f>
        <v>#VALUE!</v>
      </c>
    </row>
    <row r="98" spans="3:9">
      <c r="C98" s="6" t="s">
        <v>304</v>
      </c>
      <c r="D98" s="6" t="s">
        <v>305</v>
      </c>
      <c r="E98" s="6" t="s">
        <v>44</v>
      </c>
      <c r="F98" s="6" t="s">
        <v>45</v>
      </c>
      <c r="G98" s="6" t="s">
        <v>46</v>
      </c>
      <c r="H98" s="6" t="s">
        <v>47</v>
      </c>
      <c r="I98" s="38" t="s">
        <v>105</v>
      </c>
    </row>
    <row r="99" spans="3:9">
      <c r="C99" s="6" t="str">
        <f>VLOOKUP($J$89,$K$3:$AI$88,24,FALSE)</f>
        <v>Bartenura Moscato</v>
      </c>
      <c r="D99" s="6" t="str">
        <f>VLOOKUP($J$89,$K$3:$AI$88,25,FALSE)</f>
        <v>Sparkling</v>
      </c>
      <c r="E99" s="6">
        <f>VLOOKUP($J$89,$K$3:$AI$88,2,FALSE)</f>
        <v>14.99</v>
      </c>
      <c r="F99" s="6" t="str">
        <f>VLOOKUP($J$89,$K$3:$AI$88,3,FALSE)</f>
        <v>Italy</v>
      </c>
      <c r="G99" s="6" t="str">
        <f>VLOOKUP($J$89,$K$3:$AI$88,4,FALSE)</f>
        <v xml:space="preserve">Lombardy › Pavia </v>
      </c>
      <c r="H99" s="6" t="str">
        <f>VLOOKUP($J$89,$K$3:$AI$88,5,FALSE)</f>
        <v>Moscato</v>
      </c>
      <c r="I99" s="6" t="str">
        <f>VLOOKUP($J$89,$K$3:$AI$88,10,FALSE)</f>
        <v>Beef stew</v>
      </c>
    </row>
  </sheetData>
  <sheetCalcPr fullCalcOnLoad="1"/>
  <mergeCells count="3">
    <mergeCell ref="V1:AS1"/>
    <mergeCell ref="AT1:BG1"/>
    <mergeCell ref="BH1:BP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6" enableFormatConditionsCalculation="0"/>
  <dimension ref="A4:K20"/>
  <sheetViews>
    <sheetView topLeftCell="A2" workbookViewId="0">
      <selection activeCell="C11" sqref="C11"/>
    </sheetView>
  </sheetViews>
  <sheetFormatPr baseColWidth="10" defaultColWidth="10.7109375" defaultRowHeight="13"/>
  <cols>
    <col min="1" max="1" width="30.42578125" style="6" bestFit="1" customWidth="1"/>
    <col min="2" max="4" width="10.7109375" style="6"/>
    <col min="5" max="5" width="14.5703125" style="6" bestFit="1" customWidth="1"/>
    <col min="6" max="6" width="24.42578125" style="6" bestFit="1" customWidth="1"/>
    <col min="7" max="7" width="22.28515625" style="6" bestFit="1" customWidth="1"/>
    <col min="8" max="16384" width="10.7109375" style="6"/>
  </cols>
  <sheetData>
    <row r="4" spans="1:11">
      <c r="A4" s="9" t="s">
        <v>306</v>
      </c>
      <c r="B4" s="9"/>
      <c r="C4" s="9"/>
      <c r="D4" s="47" t="s">
        <v>107</v>
      </c>
      <c r="E4" s="9"/>
      <c r="F4" s="9"/>
    </row>
    <row r="5" spans="1:11">
      <c r="A5" s="9"/>
      <c r="B5" s="47" t="s">
        <v>307</v>
      </c>
      <c r="C5" s="48" t="s">
        <v>308</v>
      </c>
      <c r="D5" s="47" t="s">
        <v>108</v>
      </c>
      <c r="E5" s="47" t="s">
        <v>309</v>
      </c>
      <c r="F5" s="9"/>
    </row>
    <row r="6" spans="1:11">
      <c r="A6" s="36"/>
      <c r="B6" s="10" t="s">
        <v>312</v>
      </c>
      <c r="C6" s="11">
        <v>25</v>
      </c>
      <c r="D6" s="11">
        <v>4</v>
      </c>
      <c r="E6" s="11">
        <v>2</v>
      </c>
      <c r="F6" s="12" t="str">
        <f>VLOOKUP(E6,I7:J19,2)</f>
        <v>Pork/Lamb</v>
      </c>
      <c r="I6" s="39" t="s">
        <v>106</v>
      </c>
      <c r="J6" s="40"/>
      <c r="K6" s="41"/>
    </row>
    <row r="7" spans="1:11" ht="14">
      <c r="A7" s="9" t="s">
        <v>310</v>
      </c>
      <c r="B7" s="10">
        <v>0.2</v>
      </c>
      <c r="C7" s="11">
        <v>0.6</v>
      </c>
      <c r="D7" s="12">
        <v>0.2</v>
      </c>
      <c r="E7" s="6">
        <f>SUM(B7:D7)</f>
        <v>1</v>
      </c>
      <c r="F7" s="7" t="s">
        <v>313</v>
      </c>
      <c r="G7" s="6">
        <v>1</v>
      </c>
      <c r="I7" s="42">
        <v>1</v>
      </c>
      <c r="J7" s="43" t="s">
        <v>499</v>
      </c>
      <c r="K7" s="44"/>
    </row>
    <row r="8" spans="1:11" ht="14">
      <c r="I8" s="42">
        <f>I7+1</f>
        <v>2</v>
      </c>
      <c r="J8" s="43" t="s">
        <v>500</v>
      </c>
      <c r="K8" s="44"/>
    </row>
    <row r="9" spans="1:11" ht="14">
      <c r="I9" s="42">
        <f t="shared" ref="I9:I19" si="0">I8+1</f>
        <v>3</v>
      </c>
      <c r="J9" s="43" t="s">
        <v>501</v>
      </c>
      <c r="K9" s="44"/>
    </row>
    <row r="10" spans="1:11" ht="14">
      <c r="I10" s="42">
        <f t="shared" si="0"/>
        <v>4</v>
      </c>
      <c r="J10" s="43" t="s">
        <v>502</v>
      </c>
      <c r="K10" s="44"/>
    </row>
    <row r="11" spans="1:11" ht="14">
      <c r="A11" s="3" t="s">
        <v>304</v>
      </c>
      <c r="B11" s="4" t="s">
        <v>305</v>
      </c>
      <c r="C11" s="4" t="s">
        <v>44</v>
      </c>
      <c r="D11" s="4" t="s">
        <v>45</v>
      </c>
      <c r="E11" s="4" t="s">
        <v>46</v>
      </c>
      <c r="F11" s="4" t="s">
        <v>47</v>
      </c>
      <c r="G11" s="5" t="s">
        <v>105</v>
      </c>
      <c r="I11" s="42">
        <f t="shared" si="0"/>
        <v>5</v>
      </c>
      <c r="J11" s="43" t="s">
        <v>503</v>
      </c>
      <c r="K11" s="44"/>
    </row>
    <row r="12" spans="1:11" ht="14">
      <c r="A12" s="8" t="str">
        <f>'Raw Data'!C99</f>
        <v>Blandy's Alvada Madeira 5 Year Old</v>
      </c>
      <c r="B12" s="8" t="str">
        <f>'Raw Data'!D99</f>
        <v>Red</v>
      </c>
      <c r="C12" s="8">
        <f>'Raw Data'!E99</f>
        <v>19.989999999999998</v>
      </c>
      <c r="D12" s="8" t="str">
        <f>'Raw Data'!F99</f>
        <v>Portugal</v>
      </c>
      <c r="E12" s="8" t="str">
        <f>'Raw Data'!G99</f>
        <v xml:space="preserve">Madeira </v>
      </c>
      <c r="F12" s="8" t="str">
        <f>'Raw Data'!H99</f>
        <v>Malmsey (50%), Bual (50%)</v>
      </c>
      <c r="G12" s="8" t="str">
        <f>'Raw Data'!I99</f>
        <v>tomato pasta</v>
      </c>
      <c r="I12" s="42">
        <f t="shared" si="0"/>
        <v>6</v>
      </c>
      <c r="J12" s="43" t="s">
        <v>504</v>
      </c>
      <c r="K12" s="44"/>
    </row>
    <row r="13" spans="1:11" ht="14">
      <c r="I13" s="42">
        <f t="shared" si="0"/>
        <v>7</v>
      </c>
      <c r="J13" s="43" t="s">
        <v>505</v>
      </c>
      <c r="K13" s="44"/>
    </row>
    <row r="14" spans="1:11" ht="14">
      <c r="I14" s="42">
        <f t="shared" si="0"/>
        <v>8</v>
      </c>
      <c r="J14" s="43" t="s">
        <v>506</v>
      </c>
      <c r="K14" s="44"/>
    </row>
    <row r="15" spans="1:11" ht="14">
      <c r="B15" s="6" t="s">
        <v>498</v>
      </c>
      <c r="I15" s="42">
        <f t="shared" si="0"/>
        <v>9</v>
      </c>
      <c r="J15" s="43" t="s">
        <v>507</v>
      </c>
      <c r="K15" s="44"/>
    </row>
    <row r="16" spans="1:11" ht="14">
      <c r="I16" s="42">
        <f t="shared" si="0"/>
        <v>10</v>
      </c>
      <c r="J16" s="43" t="s">
        <v>669</v>
      </c>
      <c r="K16" s="44"/>
    </row>
    <row r="17" spans="9:11" ht="14">
      <c r="I17" s="42">
        <f t="shared" si="0"/>
        <v>11</v>
      </c>
      <c r="J17" s="43" t="s">
        <v>670</v>
      </c>
      <c r="K17" s="44"/>
    </row>
    <row r="18" spans="9:11" ht="14">
      <c r="I18" s="42">
        <f t="shared" si="0"/>
        <v>12</v>
      </c>
      <c r="J18" s="43" t="s">
        <v>56</v>
      </c>
      <c r="K18" s="44"/>
    </row>
    <row r="19" spans="9:11" ht="14">
      <c r="I19" s="42">
        <f t="shared" si="0"/>
        <v>13</v>
      </c>
      <c r="J19" s="43" t="s">
        <v>295</v>
      </c>
      <c r="K19" s="44"/>
    </row>
    <row r="20" spans="9:11">
      <c r="I20" s="8"/>
      <c r="J20" s="45"/>
      <c r="K20" s="46"/>
    </row>
  </sheetData>
  <sheetCalcPr fullCalcOnLoad="1"/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codeName="Sheet7" enableFormatConditionsCalculation="0"/>
  <dimension ref="A1:BO99"/>
  <sheetViews>
    <sheetView tabSelected="1" workbookViewId="0">
      <selection activeCell="B5" sqref="B5:D5"/>
    </sheetView>
  </sheetViews>
  <sheetFormatPr baseColWidth="10" defaultColWidth="7.5703125" defaultRowHeight="13"/>
  <cols>
    <col min="1" max="1" width="7.140625" style="6" customWidth="1"/>
    <col min="2" max="2" width="0.140625" style="6" customWidth="1"/>
    <col min="3" max="3" width="45.28515625" style="6" customWidth="1"/>
    <col min="4" max="5" width="10.85546875" style="6" customWidth="1"/>
    <col min="6" max="6" width="8.7109375" style="6" bestFit="1" customWidth="1"/>
    <col min="7" max="7" width="17.7109375" style="6" customWidth="1"/>
    <col min="8" max="8" width="7.5703125" style="6"/>
    <col min="9" max="9" width="17.7109375" style="6" bestFit="1" customWidth="1"/>
    <col min="10" max="11" width="9.7109375" style="6" customWidth="1"/>
    <col min="12" max="12" width="11.7109375" style="6" customWidth="1"/>
    <col min="13" max="13" width="11" style="6" customWidth="1"/>
    <col min="14" max="14" width="31.5703125" style="6" customWidth="1"/>
    <col min="15" max="15" width="21.85546875" style="6" customWidth="1"/>
    <col min="16" max="17" width="7.5703125" style="6"/>
    <col min="18" max="18" width="11.42578125" style="6" customWidth="1"/>
    <col min="19" max="19" width="12.28515625" style="6" customWidth="1"/>
    <col min="20" max="20" width="16.42578125" style="6" customWidth="1"/>
    <col min="21" max="21" width="8.28515625" style="6" bestFit="1" customWidth="1"/>
    <col min="22" max="16384" width="7.5703125" style="6"/>
  </cols>
  <sheetData>
    <row r="1" spans="1:67">
      <c r="U1" s="146"/>
      <c r="V1" s="146"/>
      <c r="W1" s="146"/>
      <c r="X1" s="146"/>
      <c r="Y1" s="146"/>
      <c r="Z1" s="146"/>
      <c r="AA1" s="146"/>
      <c r="AB1" s="146"/>
      <c r="AC1" s="146"/>
      <c r="AD1" s="146"/>
      <c r="AE1" s="146"/>
      <c r="AF1" s="146"/>
      <c r="AG1" s="146"/>
      <c r="AH1" s="146"/>
      <c r="AI1" s="146"/>
      <c r="AJ1" s="146"/>
      <c r="AK1" s="146"/>
      <c r="AL1" s="146"/>
      <c r="AM1" s="146"/>
      <c r="AN1" s="146"/>
      <c r="AO1" s="146"/>
      <c r="AP1" s="146"/>
      <c r="AQ1" s="146"/>
      <c r="AR1" s="146"/>
      <c r="AS1" s="146"/>
      <c r="AT1" s="146"/>
      <c r="AU1" s="146"/>
      <c r="AV1" s="146"/>
      <c r="AW1" s="146"/>
      <c r="AX1" s="146"/>
      <c r="AY1" s="146"/>
      <c r="AZ1" s="146"/>
      <c r="BA1" s="146"/>
      <c r="BB1" s="146"/>
      <c r="BC1" s="146"/>
      <c r="BD1" s="146"/>
      <c r="BE1" s="146"/>
      <c r="BF1" s="146"/>
      <c r="BG1" s="146"/>
      <c r="BH1" s="146"/>
      <c r="BI1" s="146"/>
      <c r="BJ1" s="146"/>
      <c r="BK1" s="146"/>
      <c r="BL1" s="146"/>
      <c r="BM1" s="146"/>
      <c r="BN1" s="146"/>
      <c r="BO1" s="146"/>
    </row>
    <row r="2" spans="1:67" ht="15" thickBot="1">
      <c r="A2" s="13" t="s">
        <v>38</v>
      </c>
      <c r="B2" s="14" t="s">
        <v>39</v>
      </c>
      <c r="C2" s="14" t="s">
        <v>40</v>
      </c>
      <c r="D2" s="14" t="s">
        <v>41</v>
      </c>
      <c r="E2" s="14" t="s">
        <v>496</v>
      </c>
      <c r="F2" s="14" t="s">
        <v>311</v>
      </c>
      <c r="G2" s="14" t="s">
        <v>494</v>
      </c>
      <c r="H2" s="14" t="s">
        <v>42</v>
      </c>
      <c r="I2" s="14" t="s">
        <v>648</v>
      </c>
      <c r="J2" s="14" t="s">
        <v>43</v>
      </c>
      <c r="K2" s="14" t="s">
        <v>44</v>
      </c>
      <c r="L2" s="14" t="s">
        <v>45</v>
      </c>
      <c r="M2" s="14" t="s">
        <v>46</v>
      </c>
      <c r="N2" s="14" t="s">
        <v>47</v>
      </c>
      <c r="O2" s="14" t="s">
        <v>48</v>
      </c>
      <c r="P2" s="14" t="s">
        <v>49</v>
      </c>
      <c r="Q2" s="14" t="s">
        <v>50</v>
      </c>
      <c r="R2" s="14" t="s">
        <v>51</v>
      </c>
      <c r="S2" s="14" t="s">
        <v>52</v>
      </c>
      <c r="T2" s="2" t="s">
        <v>499</v>
      </c>
      <c r="U2" s="2" t="s">
        <v>500</v>
      </c>
      <c r="V2" s="2" t="s">
        <v>501</v>
      </c>
      <c r="W2" s="2" t="s">
        <v>502</v>
      </c>
      <c r="X2" s="2" t="s">
        <v>503</v>
      </c>
      <c r="Y2" s="2" t="s">
        <v>504</v>
      </c>
      <c r="Z2" s="2" t="s">
        <v>505</v>
      </c>
      <c r="AA2" s="2" t="s">
        <v>506</v>
      </c>
      <c r="AB2" s="2" t="s">
        <v>507</v>
      </c>
      <c r="AC2" s="2" t="s">
        <v>669</v>
      </c>
      <c r="AD2" s="2" t="s">
        <v>670</v>
      </c>
      <c r="AE2" s="2" t="s">
        <v>56</v>
      </c>
      <c r="AF2" s="2" t="s">
        <v>295</v>
      </c>
      <c r="AG2" s="1" t="s">
        <v>160</v>
      </c>
      <c r="AH2" s="14" t="s">
        <v>41</v>
      </c>
      <c r="AI2" s="15"/>
      <c r="AJ2" s="15"/>
      <c r="AK2" s="15"/>
      <c r="AL2" s="15"/>
      <c r="AM2" s="15"/>
      <c r="AN2" s="15"/>
      <c r="AO2" s="15"/>
      <c r="AP2" s="15"/>
      <c r="AQ2" s="15"/>
    </row>
    <row r="3" spans="1:67" ht="14">
      <c r="A3" s="6">
        <v>1</v>
      </c>
      <c r="B3" s="6" t="s">
        <v>161</v>
      </c>
      <c r="C3" s="6" t="s">
        <v>162</v>
      </c>
      <c r="D3" s="6" t="s">
        <v>163</v>
      </c>
      <c r="E3" s="16">
        <f>HLOOKUP(Output!$F$6,'Raw Data'!$T$2:$AG$88,(A3+1),)</f>
        <v>0</v>
      </c>
      <c r="F3" s="17">
        <f>IF(D3=Output!$B$6,1,0)</f>
        <v>1</v>
      </c>
      <c r="G3" s="17">
        <f>IF(K3&lt;=Output!$C$6,(200-'Raw Data'!K3),0)</f>
        <v>0</v>
      </c>
      <c r="H3" s="17">
        <v>5</v>
      </c>
      <c r="I3" s="18">
        <f>SUMPRODUCT(F3:H3,Output!$B$7:$D$7)*E3</f>
        <v>0</v>
      </c>
      <c r="J3" s="19">
        <v>0</v>
      </c>
      <c r="K3" s="20">
        <v>110</v>
      </c>
      <c r="L3" s="6" t="s">
        <v>164</v>
      </c>
      <c r="M3" s="6" t="s">
        <v>165</v>
      </c>
      <c r="N3" s="6" t="s">
        <v>166</v>
      </c>
      <c r="O3" s="6" t="s">
        <v>167</v>
      </c>
      <c r="P3" s="21">
        <v>0.14499999999999999</v>
      </c>
      <c r="Q3" s="6" t="s">
        <v>53</v>
      </c>
      <c r="R3" s="6" t="s">
        <v>89</v>
      </c>
      <c r="S3" s="6" t="s">
        <v>168</v>
      </c>
      <c r="T3" s="6">
        <f>VLOOKUP($C3,'Food Pairing Data'!$C$2:$S$188,5)</f>
        <v>0</v>
      </c>
      <c r="U3" s="6">
        <f>VLOOKUP($C3,'Food Pairing Data'!$C$2:$S$188,6)</f>
        <v>0</v>
      </c>
      <c r="V3" s="6">
        <f>VLOOKUP($C3,'Food Pairing Data'!$C$2:$S$188,7)</f>
        <v>0</v>
      </c>
      <c r="W3" s="6">
        <f>VLOOKUP($C3,'Food Pairing Data'!$C$2:$S$188,8)</f>
        <v>0</v>
      </c>
      <c r="X3" s="6">
        <f>VLOOKUP($C3,'Food Pairing Data'!$C$2:$S$188,9)</f>
        <v>0</v>
      </c>
      <c r="Y3" s="6">
        <f>VLOOKUP($C3,'Food Pairing Data'!$C$2:$S$188,10)</f>
        <v>0</v>
      </c>
      <c r="Z3" s="6">
        <f>VLOOKUP($C3,'Food Pairing Data'!$C$2:$S$188,11)</f>
        <v>0</v>
      </c>
      <c r="AA3" s="6">
        <f>VLOOKUP($C3,'Food Pairing Data'!$C$2:$S$188,12)</f>
        <v>0</v>
      </c>
      <c r="AB3" s="6">
        <f>VLOOKUP($C3,'Food Pairing Data'!$C$2:$S$188,13)</f>
        <v>0</v>
      </c>
      <c r="AC3" s="6">
        <f>VLOOKUP($C3,'Food Pairing Data'!$C$2:$S$188,14)</f>
        <v>1</v>
      </c>
      <c r="AD3" s="6">
        <f>VLOOKUP($C3,'Food Pairing Data'!$C$2:$S$188,15)</f>
        <v>0</v>
      </c>
      <c r="AE3" s="6">
        <f>VLOOKUP($C3,'Food Pairing Data'!$C$2:$S$188,16)</f>
        <v>0</v>
      </c>
      <c r="AF3" s="6">
        <f>VLOOKUP($C3,'Food Pairing Data'!$C$2:$S$188,17)</f>
        <v>0</v>
      </c>
      <c r="AG3" s="6" t="s">
        <v>162</v>
      </c>
      <c r="AH3" s="6" t="s">
        <v>163</v>
      </c>
    </row>
    <row r="4" spans="1:67" ht="14">
      <c r="A4" s="6">
        <f>A3+1</f>
        <v>2</v>
      </c>
      <c r="B4" s="6" t="s">
        <v>161</v>
      </c>
      <c r="C4" s="6" t="s">
        <v>169</v>
      </c>
      <c r="D4" s="6" t="s">
        <v>163</v>
      </c>
      <c r="E4" s="22">
        <f>HLOOKUP(Output!$F$6,'Raw Data'!$T$2:$BO$88,(A4+1),)</f>
        <v>0</v>
      </c>
      <c r="F4" s="23">
        <f>IF(D4=Output!$B$6,1,0)</f>
        <v>1</v>
      </c>
      <c r="G4" s="23">
        <f>IF(K4&lt;=Output!$C$6,(200-'Raw Data'!K4),0)</f>
        <v>0</v>
      </c>
      <c r="H4" s="23">
        <v>5</v>
      </c>
      <c r="I4" s="24">
        <f>SUMPRODUCT(F4:H4,Output!$B$7:$D$7)*E4</f>
        <v>0</v>
      </c>
      <c r="J4" s="25">
        <v>0</v>
      </c>
      <c r="K4" s="20">
        <v>79.989999999999995</v>
      </c>
      <c r="L4" s="6" t="s">
        <v>170</v>
      </c>
      <c r="M4" s="6" t="s">
        <v>171</v>
      </c>
      <c r="N4" s="6" t="s">
        <v>172</v>
      </c>
      <c r="O4" s="6" t="s">
        <v>173</v>
      </c>
      <c r="P4" s="26" t="s">
        <v>174</v>
      </c>
      <c r="Q4" s="6" t="s">
        <v>65</v>
      </c>
      <c r="R4" s="6" t="s">
        <v>91</v>
      </c>
      <c r="S4" s="6" t="s">
        <v>58</v>
      </c>
      <c r="T4" s="6">
        <f>VLOOKUP($C4,'Food Pairing Data'!$C$2:$S$188,5)</f>
        <v>0</v>
      </c>
      <c r="U4" s="6">
        <f>VLOOKUP($C4,'Food Pairing Data'!$C$2:$S$188,6)</f>
        <v>0</v>
      </c>
      <c r="V4" s="6">
        <f>VLOOKUP($C4,'Food Pairing Data'!$C$2:$S$188,7)</f>
        <v>0</v>
      </c>
      <c r="W4" s="6">
        <f>VLOOKUP($C4,'Food Pairing Data'!$C$2:$S$188,8)</f>
        <v>0</v>
      </c>
      <c r="X4" s="6">
        <f>VLOOKUP($C4,'Food Pairing Data'!$C$2:$S$188,9)</f>
        <v>0</v>
      </c>
      <c r="Y4" s="6">
        <f>VLOOKUP($C4,'Food Pairing Data'!$C$2:$S$188,10)</f>
        <v>0</v>
      </c>
      <c r="Z4" s="6">
        <f>VLOOKUP($C4,'Food Pairing Data'!$C$2:$S$188,11)</f>
        <v>0</v>
      </c>
      <c r="AA4" s="6">
        <f>VLOOKUP($C4,'Food Pairing Data'!$C$2:$S$188,12)</f>
        <v>0</v>
      </c>
      <c r="AB4" s="6">
        <f>VLOOKUP($C4,'Food Pairing Data'!$C$2:$S$188,13)</f>
        <v>0</v>
      </c>
      <c r="AC4" s="6">
        <f>VLOOKUP($C4,'Food Pairing Data'!$C$2:$S$188,14)</f>
        <v>1</v>
      </c>
      <c r="AD4" s="6">
        <f>VLOOKUP($C4,'Food Pairing Data'!$C$2:$S$188,15)</f>
        <v>0</v>
      </c>
      <c r="AE4" s="6">
        <f>VLOOKUP($C4,'Food Pairing Data'!$C$2:$S$188,16)</f>
        <v>0</v>
      </c>
      <c r="AF4" s="6">
        <f>VLOOKUP($C4,'Food Pairing Data'!$C$2:$S$188,17)</f>
        <v>0</v>
      </c>
      <c r="AG4" s="6" t="s">
        <v>169</v>
      </c>
      <c r="AH4" s="6" t="s">
        <v>163</v>
      </c>
    </row>
    <row r="5" spans="1:67" ht="14">
      <c r="A5" s="6">
        <f t="shared" ref="A5:A68" si="0">A4+1</f>
        <v>3</v>
      </c>
      <c r="B5" s="6" t="s">
        <v>161</v>
      </c>
      <c r="C5" s="6" t="s">
        <v>175</v>
      </c>
      <c r="D5" s="6" t="s">
        <v>163</v>
      </c>
      <c r="E5" s="22">
        <f>HLOOKUP(Output!$F$6,'Raw Data'!$T$2:$BO$88,(A5+1),)</f>
        <v>0</v>
      </c>
      <c r="F5" s="23">
        <f>IF(D5=Output!$B$6,1,0)</f>
        <v>1</v>
      </c>
      <c r="G5" s="23">
        <f>IF(K5&lt;=Output!$C$6,(200-'Raw Data'!K5),0)</f>
        <v>0</v>
      </c>
      <c r="H5" s="23">
        <v>5</v>
      </c>
      <c r="I5" s="24">
        <f>SUMPRODUCT(F5:H5,Output!$B$7:$D$7)*E5</f>
        <v>0</v>
      </c>
      <c r="J5" s="25">
        <v>0</v>
      </c>
      <c r="K5" s="20">
        <v>49.99</v>
      </c>
      <c r="L5" s="6" t="s">
        <v>176</v>
      </c>
      <c r="M5" s="6" t="s">
        <v>177</v>
      </c>
      <c r="N5" s="6" t="s">
        <v>178</v>
      </c>
      <c r="O5" s="6" t="s">
        <v>179</v>
      </c>
      <c r="P5" s="26" t="s">
        <v>180</v>
      </c>
      <c r="Q5" s="6" t="s">
        <v>55</v>
      </c>
      <c r="R5" s="6" t="s">
        <v>89</v>
      </c>
      <c r="S5" s="6" t="s">
        <v>58</v>
      </c>
      <c r="T5" s="6">
        <f>VLOOKUP($C5,'Food Pairing Data'!$C$2:$S$188,5)</f>
        <v>0</v>
      </c>
      <c r="U5" s="6">
        <f>VLOOKUP($C5,'Food Pairing Data'!$C$2:$S$188,6)</f>
        <v>0</v>
      </c>
      <c r="V5" s="6">
        <f>VLOOKUP($C5,'Food Pairing Data'!$C$2:$S$188,7)</f>
        <v>0</v>
      </c>
      <c r="W5" s="6">
        <f>VLOOKUP($C5,'Food Pairing Data'!$C$2:$S$188,8)</f>
        <v>1</v>
      </c>
      <c r="X5" s="6">
        <f>VLOOKUP($C5,'Food Pairing Data'!$C$2:$S$188,9)</f>
        <v>0</v>
      </c>
      <c r="Y5" s="6">
        <f>VLOOKUP($C5,'Food Pairing Data'!$C$2:$S$188,10)</f>
        <v>1</v>
      </c>
      <c r="Z5" s="6">
        <f>VLOOKUP($C5,'Food Pairing Data'!$C$2:$S$188,11)</f>
        <v>0</v>
      </c>
      <c r="AA5" s="6">
        <f>VLOOKUP($C5,'Food Pairing Data'!$C$2:$S$188,12)</f>
        <v>0</v>
      </c>
      <c r="AB5" s="6">
        <f>VLOOKUP($C5,'Food Pairing Data'!$C$2:$S$188,13)</f>
        <v>0</v>
      </c>
      <c r="AC5" s="6">
        <f>VLOOKUP($C5,'Food Pairing Data'!$C$2:$S$188,14)</f>
        <v>0</v>
      </c>
      <c r="AD5" s="6">
        <f>VLOOKUP($C5,'Food Pairing Data'!$C$2:$S$188,15)</f>
        <v>0</v>
      </c>
      <c r="AE5" s="6">
        <f>VLOOKUP($C5,'Food Pairing Data'!$C$2:$S$188,16)</f>
        <v>0</v>
      </c>
      <c r="AF5" s="6">
        <f>VLOOKUP($C5,'Food Pairing Data'!$C$2:$S$188,17)</f>
        <v>0</v>
      </c>
      <c r="AG5" s="6" t="s">
        <v>175</v>
      </c>
      <c r="AH5" s="6" t="s">
        <v>163</v>
      </c>
    </row>
    <row r="6" spans="1:67" ht="14">
      <c r="A6" s="6">
        <f t="shared" si="0"/>
        <v>4</v>
      </c>
      <c r="B6" s="6" t="s">
        <v>181</v>
      </c>
      <c r="C6" s="6" t="s">
        <v>182</v>
      </c>
      <c r="D6" s="6" t="s">
        <v>163</v>
      </c>
      <c r="E6" s="22">
        <f>HLOOKUP(Output!$F$6,'Raw Data'!$T$2:$BO$88,(A6+1),)</f>
        <v>0</v>
      </c>
      <c r="F6" s="23">
        <f>IF(D6=Output!$B$6,1,0)</f>
        <v>1</v>
      </c>
      <c r="G6" s="23">
        <f>IF(K6&lt;=Output!$C$6,(200-'Raw Data'!K6),0)</f>
        <v>0</v>
      </c>
      <c r="H6" s="23">
        <v>5</v>
      </c>
      <c r="I6" s="24">
        <f>SUMPRODUCT(F6:H6,Output!$B$7:$D$7)*E6</f>
        <v>0</v>
      </c>
      <c r="J6" s="25">
        <v>0</v>
      </c>
      <c r="K6" s="20">
        <v>34.99</v>
      </c>
      <c r="L6" s="6" t="s">
        <v>183</v>
      </c>
      <c r="M6" s="6" t="s">
        <v>184</v>
      </c>
      <c r="N6" s="6" t="s">
        <v>185</v>
      </c>
      <c r="O6" s="6" t="s">
        <v>186</v>
      </c>
      <c r="P6" s="26" t="s">
        <v>180</v>
      </c>
      <c r="Q6" s="6" t="s">
        <v>72</v>
      </c>
      <c r="R6" s="6" t="s">
        <v>64</v>
      </c>
      <c r="S6" s="6" t="s">
        <v>58</v>
      </c>
      <c r="T6" s="6">
        <f>VLOOKUP($C6,'Food Pairing Data'!$C$2:$S$188,5)</f>
        <v>0</v>
      </c>
      <c r="U6" s="6">
        <f>VLOOKUP($C6,'Food Pairing Data'!$C$2:$S$188,6)</f>
        <v>0</v>
      </c>
      <c r="V6" s="6">
        <f>VLOOKUP($C6,'Food Pairing Data'!$C$2:$S$188,7)</f>
        <v>0</v>
      </c>
      <c r="W6" s="6">
        <f>VLOOKUP($C6,'Food Pairing Data'!$C$2:$S$188,8)</f>
        <v>0</v>
      </c>
      <c r="X6" s="6">
        <f>VLOOKUP($C6,'Food Pairing Data'!$C$2:$S$188,9)</f>
        <v>0</v>
      </c>
      <c r="Y6" s="6">
        <f>VLOOKUP($C6,'Food Pairing Data'!$C$2:$S$188,10)</f>
        <v>0</v>
      </c>
      <c r="Z6" s="6">
        <f>VLOOKUP($C6,'Food Pairing Data'!$C$2:$S$188,11)</f>
        <v>0</v>
      </c>
      <c r="AA6" s="6">
        <f>VLOOKUP($C6,'Food Pairing Data'!$C$2:$S$188,12)</f>
        <v>0</v>
      </c>
      <c r="AB6" s="6">
        <f>VLOOKUP($C6,'Food Pairing Data'!$C$2:$S$188,13)</f>
        <v>0</v>
      </c>
      <c r="AC6" s="6">
        <f>VLOOKUP($C6,'Food Pairing Data'!$C$2:$S$188,14)</f>
        <v>1</v>
      </c>
      <c r="AD6" s="6">
        <f>VLOOKUP($C6,'Food Pairing Data'!$C$2:$S$188,15)</f>
        <v>0</v>
      </c>
      <c r="AE6" s="6">
        <f>VLOOKUP($C6,'Food Pairing Data'!$C$2:$S$188,16)</f>
        <v>0</v>
      </c>
      <c r="AF6" s="6">
        <f>VLOOKUP($C6,'Food Pairing Data'!$C$2:$S$188,17)</f>
        <v>0</v>
      </c>
      <c r="AG6" s="6" t="s">
        <v>182</v>
      </c>
      <c r="AH6" s="6" t="s">
        <v>163</v>
      </c>
    </row>
    <row r="7" spans="1:67" ht="14">
      <c r="A7" s="6">
        <f t="shared" si="0"/>
        <v>5</v>
      </c>
      <c r="B7" s="6" t="s">
        <v>181</v>
      </c>
      <c r="C7" s="6" t="s">
        <v>11</v>
      </c>
      <c r="D7" s="6" t="s">
        <v>163</v>
      </c>
      <c r="E7" s="22">
        <f>HLOOKUP(Output!$F$6,'Raw Data'!$T$2:$BO$88,(A7+1),)</f>
        <v>0</v>
      </c>
      <c r="F7" s="23">
        <f>IF(D7=Output!$B$6,1,0)</f>
        <v>1</v>
      </c>
      <c r="G7" s="23">
        <f>IF(K7&lt;=Output!$C$6,(200-'Raw Data'!K7),0)</f>
        <v>0</v>
      </c>
      <c r="H7" s="23">
        <v>5</v>
      </c>
      <c r="I7" s="24">
        <f>SUMPRODUCT(F7:H7,Output!$B$7:$D$7)*E7</f>
        <v>0</v>
      </c>
      <c r="J7" s="25">
        <v>0</v>
      </c>
      <c r="K7" s="20">
        <v>29.99</v>
      </c>
      <c r="L7" s="6" t="s">
        <v>176</v>
      </c>
      <c r="M7" s="6" t="s">
        <v>12</v>
      </c>
      <c r="N7" s="6" t="s">
        <v>13</v>
      </c>
      <c r="O7" s="6" t="s">
        <v>186</v>
      </c>
      <c r="P7" s="26" t="s">
        <v>174</v>
      </c>
      <c r="Q7" s="6" t="s">
        <v>14</v>
      </c>
      <c r="R7" s="6" t="s">
        <v>64</v>
      </c>
      <c r="S7" s="6" t="s">
        <v>58</v>
      </c>
      <c r="T7" s="6">
        <f>VLOOKUP($C7,'Food Pairing Data'!$C$2:$S$188,5)</f>
        <v>0</v>
      </c>
      <c r="U7" s="6">
        <f>VLOOKUP($C7,'Food Pairing Data'!$C$2:$S$188,6)</f>
        <v>0</v>
      </c>
      <c r="V7" s="6">
        <f>VLOOKUP($C7,'Food Pairing Data'!$C$2:$S$188,7)</f>
        <v>0</v>
      </c>
      <c r="W7" s="6">
        <f>VLOOKUP($C7,'Food Pairing Data'!$C$2:$S$188,8)</f>
        <v>1</v>
      </c>
      <c r="X7" s="6">
        <f>VLOOKUP($C7,'Food Pairing Data'!$C$2:$S$188,9)</f>
        <v>0</v>
      </c>
      <c r="Y7" s="6">
        <f>VLOOKUP($C7,'Food Pairing Data'!$C$2:$S$188,10)</f>
        <v>1</v>
      </c>
      <c r="Z7" s="6">
        <f>VLOOKUP($C7,'Food Pairing Data'!$C$2:$S$188,11)</f>
        <v>0</v>
      </c>
      <c r="AA7" s="6">
        <f>VLOOKUP($C7,'Food Pairing Data'!$C$2:$S$188,12)</f>
        <v>0</v>
      </c>
      <c r="AB7" s="6">
        <f>VLOOKUP($C7,'Food Pairing Data'!$C$2:$S$188,13)</f>
        <v>0</v>
      </c>
      <c r="AC7" s="6">
        <f>VLOOKUP($C7,'Food Pairing Data'!$C$2:$S$188,14)</f>
        <v>0</v>
      </c>
      <c r="AD7" s="6">
        <f>VLOOKUP($C7,'Food Pairing Data'!$C$2:$S$188,15)</f>
        <v>0</v>
      </c>
      <c r="AE7" s="6">
        <f>VLOOKUP($C7,'Food Pairing Data'!$C$2:$S$188,16)</f>
        <v>0</v>
      </c>
      <c r="AF7" s="6">
        <f>VLOOKUP($C7,'Food Pairing Data'!$C$2:$S$188,17)</f>
        <v>0</v>
      </c>
      <c r="AG7" s="6" t="s">
        <v>11</v>
      </c>
      <c r="AH7" s="6" t="s">
        <v>163</v>
      </c>
    </row>
    <row r="8" spans="1:67" ht="14">
      <c r="A8" s="6">
        <f t="shared" si="0"/>
        <v>6</v>
      </c>
      <c r="B8" s="6" t="s">
        <v>181</v>
      </c>
      <c r="C8" s="6" t="s">
        <v>15</v>
      </c>
      <c r="D8" s="6" t="s">
        <v>163</v>
      </c>
      <c r="E8" s="22">
        <f>HLOOKUP(Output!$F$6,'Raw Data'!$T$2:$BO$88,(A8+1),)</f>
        <v>0</v>
      </c>
      <c r="F8" s="23">
        <f>IF(D8=Output!$B$6,1,0)</f>
        <v>1</v>
      </c>
      <c r="G8" s="23">
        <f>IF(K8&lt;=Output!$C$6,(200-'Raw Data'!K8),0)</f>
        <v>0</v>
      </c>
      <c r="H8" s="23">
        <v>5</v>
      </c>
      <c r="I8" s="24">
        <f>SUMPRODUCT(F8:H8,Output!$B$7:$D$7)*E8</f>
        <v>0</v>
      </c>
      <c r="J8" s="25">
        <v>0</v>
      </c>
      <c r="K8" s="20">
        <v>25.99</v>
      </c>
      <c r="L8" s="6" t="s">
        <v>183</v>
      </c>
      <c r="M8" s="6" t="s">
        <v>184</v>
      </c>
      <c r="N8" s="6" t="s">
        <v>16</v>
      </c>
      <c r="O8" s="6" t="s">
        <v>173</v>
      </c>
      <c r="P8" s="26" t="s">
        <v>180</v>
      </c>
      <c r="Q8" s="6" t="s">
        <v>53</v>
      </c>
      <c r="R8" s="6" t="s">
        <v>154</v>
      </c>
      <c r="S8" s="6" t="s">
        <v>58</v>
      </c>
      <c r="T8" s="6">
        <f>VLOOKUP($C8,'Food Pairing Data'!$C$2:$S$188,5)</f>
        <v>0</v>
      </c>
      <c r="U8" s="6">
        <f>VLOOKUP($C8,'Food Pairing Data'!$C$2:$S$188,6)</f>
        <v>0</v>
      </c>
      <c r="V8" s="6">
        <f>VLOOKUP($C8,'Food Pairing Data'!$C$2:$S$188,7)</f>
        <v>0</v>
      </c>
      <c r="W8" s="6">
        <f>VLOOKUP($C8,'Food Pairing Data'!$C$2:$S$188,8)</f>
        <v>0</v>
      </c>
      <c r="X8" s="6">
        <f>VLOOKUP($C8,'Food Pairing Data'!$C$2:$S$188,9)</f>
        <v>0</v>
      </c>
      <c r="Y8" s="6">
        <f>VLOOKUP($C8,'Food Pairing Data'!$C$2:$S$188,10)</f>
        <v>0</v>
      </c>
      <c r="Z8" s="6">
        <f>VLOOKUP($C8,'Food Pairing Data'!$C$2:$S$188,11)</f>
        <v>0</v>
      </c>
      <c r="AA8" s="6">
        <f>VLOOKUP($C8,'Food Pairing Data'!$C$2:$S$188,12)</f>
        <v>0</v>
      </c>
      <c r="AB8" s="6">
        <f>VLOOKUP($C8,'Food Pairing Data'!$C$2:$S$188,13)</f>
        <v>0</v>
      </c>
      <c r="AC8" s="6">
        <f>VLOOKUP($C8,'Food Pairing Data'!$C$2:$S$188,14)</f>
        <v>1</v>
      </c>
      <c r="AD8" s="6">
        <f>VLOOKUP($C8,'Food Pairing Data'!$C$2:$S$188,15)</f>
        <v>0</v>
      </c>
      <c r="AE8" s="6">
        <f>VLOOKUP($C8,'Food Pairing Data'!$C$2:$S$188,16)</f>
        <v>0</v>
      </c>
      <c r="AF8" s="6">
        <f>VLOOKUP($C8,'Food Pairing Data'!$C$2:$S$188,17)</f>
        <v>0</v>
      </c>
      <c r="AG8" s="6" t="s">
        <v>15</v>
      </c>
      <c r="AH8" s="6" t="s">
        <v>163</v>
      </c>
    </row>
    <row r="9" spans="1:67" ht="14">
      <c r="A9" s="6">
        <f t="shared" si="0"/>
        <v>7</v>
      </c>
      <c r="B9" s="6" t="s">
        <v>181</v>
      </c>
      <c r="C9" s="6" t="s">
        <v>17</v>
      </c>
      <c r="D9" s="6" t="s">
        <v>163</v>
      </c>
      <c r="E9" s="22">
        <f>HLOOKUP(Output!$F$6,'Raw Data'!$T$2:$BO$88,(A9+1),)</f>
        <v>0</v>
      </c>
      <c r="F9" s="23">
        <f>IF(D9=Output!$B$6,1,0)</f>
        <v>1</v>
      </c>
      <c r="G9" s="23">
        <f>IF(K9&lt;=Output!$C$6,(200-'Raw Data'!K9),0)</f>
        <v>177.01</v>
      </c>
      <c r="H9" s="23">
        <v>5</v>
      </c>
      <c r="I9" s="24">
        <f>SUMPRODUCT(F9:H9,Output!$B$7:$D$7)*E9</f>
        <v>0</v>
      </c>
      <c r="J9" s="25">
        <v>0</v>
      </c>
      <c r="K9" s="20">
        <v>22.99</v>
      </c>
      <c r="L9" s="6" t="s">
        <v>18</v>
      </c>
      <c r="M9" s="6" t="s">
        <v>19</v>
      </c>
      <c r="N9" s="6" t="s">
        <v>20</v>
      </c>
      <c r="O9" s="6" t="s">
        <v>21</v>
      </c>
      <c r="P9" s="26" t="s">
        <v>174</v>
      </c>
      <c r="Q9" s="6" t="s">
        <v>53</v>
      </c>
      <c r="R9" s="6" t="s">
        <v>65</v>
      </c>
      <c r="S9" s="6" t="s">
        <v>22</v>
      </c>
      <c r="T9" s="6">
        <f>VLOOKUP($C9,'Food Pairing Data'!$C$2:$S$188,5)</f>
        <v>0</v>
      </c>
      <c r="U9" s="6">
        <f>VLOOKUP($C9,'Food Pairing Data'!$C$2:$S$188,6)</f>
        <v>0</v>
      </c>
      <c r="V9" s="6">
        <f>VLOOKUP($C9,'Food Pairing Data'!$C$2:$S$188,7)</f>
        <v>1</v>
      </c>
      <c r="W9" s="6">
        <f>VLOOKUP($C9,'Food Pairing Data'!$C$2:$S$188,8)</f>
        <v>1</v>
      </c>
      <c r="X9" s="6">
        <f>VLOOKUP($C9,'Food Pairing Data'!$C$2:$S$188,9)</f>
        <v>0</v>
      </c>
      <c r="Y9" s="6">
        <f>VLOOKUP($C9,'Food Pairing Data'!$C$2:$S$188,10)</f>
        <v>0</v>
      </c>
      <c r="Z9" s="6">
        <f>VLOOKUP($C9,'Food Pairing Data'!$C$2:$S$188,11)</f>
        <v>0</v>
      </c>
      <c r="AA9" s="6">
        <f>VLOOKUP($C9,'Food Pairing Data'!$C$2:$S$188,12)</f>
        <v>0</v>
      </c>
      <c r="AB9" s="6">
        <f>VLOOKUP($C9,'Food Pairing Data'!$C$2:$S$188,13)</f>
        <v>0</v>
      </c>
      <c r="AC9" s="6">
        <f>VLOOKUP($C9,'Food Pairing Data'!$C$2:$S$188,14)</f>
        <v>0</v>
      </c>
      <c r="AD9" s="6">
        <f>VLOOKUP($C9,'Food Pairing Data'!$C$2:$S$188,15)</f>
        <v>0</v>
      </c>
      <c r="AE9" s="6">
        <f>VLOOKUP($C9,'Food Pairing Data'!$C$2:$S$188,16)</f>
        <v>0</v>
      </c>
      <c r="AF9" s="6">
        <f>VLOOKUP($C9,'Food Pairing Data'!$C$2:$S$188,17)</f>
        <v>0</v>
      </c>
      <c r="AG9" s="6" t="s">
        <v>17</v>
      </c>
      <c r="AH9" s="6" t="s">
        <v>163</v>
      </c>
    </row>
    <row r="10" spans="1:67" ht="14">
      <c r="A10" s="6">
        <f t="shared" si="0"/>
        <v>8</v>
      </c>
      <c r="B10" s="6" t="s">
        <v>23</v>
      </c>
      <c r="C10" s="6" t="s">
        <v>24</v>
      </c>
      <c r="D10" s="6" t="s">
        <v>163</v>
      </c>
      <c r="E10" s="22">
        <f>HLOOKUP(Output!$F$6,'Raw Data'!$T$2:$BO$88,(A10+1),)</f>
        <v>0</v>
      </c>
      <c r="F10" s="23">
        <f>IF(D10=Output!$B$6,1,0)</f>
        <v>1</v>
      </c>
      <c r="G10" s="23">
        <f>IF(K10&lt;=Output!$C$6,(200-'Raw Data'!K10),0)</f>
        <v>180.01</v>
      </c>
      <c r="H10" s="23">
        <v>5</v>
      </c>
      <c r="I10" s="24">
        <f>SUMPRODUCT(F10:H10,Output!$B$7:$D$7)*E10</f>
        <v>0</v>
      </c>
      <c r="J10" s="25">
        <v>0</v>
      </c>
      <c r="K10" s="20">
        <v>19.989999999999998</v>
      </c>
      <c r="L10" s="6" t="s">
        <v>25</v>
      </c>
      <c r="M10" s="6" t="s">
        <v>26</v>
      </c>
      <c r="N10" s="6" t="s">
        <v>27</v>
      </c>
      <c r="O10" s="6" t="s">
        <v>21</v>
      </c>
      <c r="P10" s="26" t="s">
        <v>28</v>
      </c>
      <c r="Q10" s="6" t="s">
        <v>29</v>
      </c>
      <c r="R10" s="6" t="s">
        <v>29</v>
      </c>
      <c r="S10" s="6" t="s">
        <v>22</v>
      </c>
      <c r="T10" s="37">
        <v>1</v>
      </c>
      <c r="U10" s="37">
        <v>0</v>
      </c>
      <c r="V10" s="37">
        <v>0</v>
      </c>
      <c r="W10" s="37">
        <v>0</v>
      </c>
      <c r="X10" s="37">
        <v>0</v>
      </c>
      <c r="Y10" s="37">
        <v>0</v>
      </c>
      <c r="Z10" s="37">
        <v>0</v>
      </c>
      <c r="AA10" s="37">
        <v>0</v>
      </c>
      <c r="AB10" s="37">
        <v>0</v>
      </c>
      <c r="AC10" s="37">
        <v>0</v>
      </c>
      <c r="AD10" s="37">
        <v>0</v>
      </c>
      <c r="AE10" s="37">
        <v>0</v>
      </c>
      <c r="AF10" s="37">
        <v>0</v>
      </c>
      <c r="AG10" s="6" t="s">
        <v>24</v>
      </c>
      <c r="AH10" s="6" t="s">
        <v>163</v>
      </c>
    </row>
    <row r="11" spans="1:67" ht="14">
      <c r="A11" s="6">
        <f t="shared" si="0"/>
        <v>9</v>
      </c>
      <c r="B11" s="6" t="s">
        <v>23</v>
      </c>
      <c r="C11" s="6" t="s">
        <v>30</v>
      </c>
      <c r="D11" s="6" t="s">
        <v>163</v>
      </c>
      <c r="E11" s="22">
        <f>HLOOKUP(Output!$F$6,'Raw Data'!$T$2:$BO$88,(A11+1),)</f>
        <v>0</v>
      </c>
      <c r="F11" s="23">
        <f>IF(D11=Output!$B$6,1,0)</f>
        <v>1</v>
      </c>
      <c r="G11" s="23">
        <f>IF(K11&lt;=Output!$C$6,(200-'Raw Data'!K11),0)</f>
        <v>180.01</v>
      </c>
      <c r="H11" s="23">
        <v>5</v>
      </c>
      <c r="I11" s="24">
        <f>SUMPRODUCT(F11:H11,Output!$B$7:$D$7)*E11</f>
        <v>0</v>
      </c>
      <c r="J11" s="25">
        <v>0</v>
      </c>
      <c r="K11" s="20">
        <v>19.989999999999998</v>
      </c>
      <c r="L11" s="6" t="s">
        <v>176</v>
      </c>
      <c r="M11" s="6" t="s">
        <v>31</v>
      </c>
      <c r="N11" s="6" t="s">
        <v>32</v>
      </c>
      <c r="O11" s="6" t="s">
        <v>33</v>
      </c>
      <c r="P11" s="26" t="s">
        <v>34</v>
      </c>
      <c r="Q11" s="6" t="s">
        <v>69</v>
      </c>
      <c r="R11" s="6" t="s">
        <v>57</v>
      </c>
      <c r="S11" s="6" t="s">
        <v>22</v>
      </c>
      <c r="T11" s="6">
        <f>VLOOKUP($C11,'Food Pairing Data'!$C$2:$S$188,5)</f>
        <v>0</v>
      </c>
      <c r="U11" s="6">
        <f>VLOOKUP($C11,'Food Pairing Data'!$C$2:$S$188,6)</f>
        <v>0</v>
      </c>
      <c r="V11" s="6">
        <f>VLOOKUP($C11,'Food Pairing Data'!$C$2:$S$188,7)</f>
        <v>0</v>
      </c>
      <c r="W11" s="6">
        <f>VLOOKUP($C11,'Food Pairing Data'!$C$2:$S$188,8)</f>
        <v>0</v>
      </c>
      <c r="X11" s="6">
        <f>VLOOKUP($C11,'Food Pairing Data'!$C$2:$S$188,9)</f>
        <v>0</v>
      </c>
      <c r="Y11" s="6">
        <f>VLOOKUP($C11,'Food Pairing Data'!$C$2:$S$188,10)</f>
        <v>0</v>
      </c>
      <c r="Z11" s="6">
        <f>VLOOKUP($C11,'Food Pairing Data'!$C$2:$S$188,11)</f>
        <v>0</v>
      </c>
      <c r="AA11" s="6">
        <f>VLOOKUP($C11,'Food Pairing Data'!$C$2:$S$188,12)</f>
        <v>0</v>
      </c>
      <c r="AB11" s="6">
        <f>VLOOKUP($C11,'Food Pairing Data'!$C$2:$S$188,13)</f>
        <v>0</v>
      </c>
      <c r="AC11" s="6">
        <f>VLOOKUP($C11,'Food Pairing Data'!$C$2:$S$188,14)</f>
        <v>1</v>
      </c>
      <c r="AD11" s="6">
        <f>VLOOKUP($C11,'Food Pairing Data'!$C$2:$S$188,15)</f>
        <v>0</v>
      </c>
      <c r="AE11" s="6">
        <f>VLOOKUP($C11,'Food Pairing Data'!$C$2:$S$188,16)</f>
        <v>0</v>
      </c>
      <c r="AF11" s="6">
        <f>VLOOKUP($C11,'Food Pairing Data'!$C$2:$S$188,17)</f>
        <v>0</v>
      </c>
      <c r="AG11" s="6" t="s">
        <v>30</v>
      </c>
      <c r="AH11" s="6" t="s">
        <v>163</v>
      </c>
    </row>
    <row r="12" spans="1:67" ht="14">
      <c r="A12" s="6">
        <f t="shared" si="0"/>
        <v>10</v>
      </c>
      <c r="B12" s="6" t="s">
        <v>23</v>
      </c>
      <c r="C12" s="6" t="s">
        <v>234</v>
      </c>
      <c r="D12" s="6" t="s">
        <v>163</v>
      </c>
      <c r="E12" s="22">
        <f>HLOOKUP(Output!$F$6,'Raw Data'!$T$2:$BO$88,(A12+1),)</f>
        <v>0</v>
      </c>
      <c r="F12" s="23">
        <f>IF(D12=Output!$B$6,1,0)</f>
        <v>1</v>
      </c>
      <c r="G12" s="23">
        <f>IF(K12&lt;=Output!$C$6,(200-'Raw Data'!K12),0)</f>
        <v>181.01</v>
      </c>
      <c r="H12" s="23">
        <v>5</v>
      </c>
      <c r="I12" s="24">
        <f>SUMPRODUCT(F12:H12,Output!$B$7:$D$7)*E12</f>
        <v>0</v>
      </c>
      <c r="J12" s="25">
        <v>0</v>
      </c>
      <c r="K12" s="20">
        <v>18.989999999999998</v>
      </c>
      <c r="L12" s="6" t="s">
        <v>176</v>
      </c>
      <c r="M12" s="6" t="s">
        <v>235</v>
      </c>
      <c r="N12" s="6" t="s">
        <v>236</v>
      </c>
      <c r="O12" s="6" t="s">
        <v>21</v>
      </c>
      <c r="P12" s="26" t="s">
        <v>237</v>
      </c>
      <c r="Q12" s="6" t="s">
        <v>53</v>
      </c>
      <c r="R12" s="6" t="s">
        <v>238</v>
      </c>
      <c r="S12" s="6" t="s">
        <v>239</v>
      </c>
      <c r="T12" s="6">
        <f>VLOOKUP($C12,'Food Pairing Data'!$C$2:$S$188,5)</f>
        <v>0</v>
      </c>
      <c r="U12" s="6">
        <f>VLOOKUP($C12,'Food Pairing Data'!$C$2:$S$188,6)</f>
        <v>0</v>
      </c>
      <c r="V12" s="6">
        <f>VLOOKUP($C12,'Food Pairing Data'!$C$2:$S$188,7)</f>
        <v>1</v>
      </c>
      <c r="W12" s="6">
        <f>VLOOKUP($C12,'Food Pairing Data'!$C$2:$S$188,8)</f>
        <v>0</v>
      </c>
      <c r="X12" s="6">
        <f>VLOOKUP($C12,'Food Pairing Data'!$C$2:$S$188,9)</f>
        <v>0</v>
      </c>
      <c r="Y12" s="6">
        <f>VLOOKUP($C12,'Food Pairing Data'!$C$2:$S$188,10)</f>
        <v>0</v>
      </c>
      <c r="Z12" s="6">
        <f>VLOOKUP($C12,'Food Pairing Data'!$C$2:$S$188,11)</f>
        <v>0</v>
      </c>
      <c r="AA12" s="6">
        <f>VLOOKUP($C12,'Food Pairing Data'!$C$2:$S$188,12)</f>
        <v>0</v>
      </c>
      <c r="AB12" s="6">
        <f>VLOOKUP($C12,'Food Pairing Data'!$C$2:$S$188,13)</f>
        <v>0</v>
      </c>
      <c r="AC12" s="6">
        <f>VLOOKUP($C12,'Food Pairing Data'!$C$2:$S$188,14)</f>
        <v>0</v>
      </c>
      <c r="AD12" s="6">
        <f>VLOOKUP($C12,'Food Pairing Data'!$C$2:$S$188,15)</f>
        <v>0</v>
      </c>
      <c r="AE12" s="6">
        <f>VLOOKUP($C12,'Food Pairing Data'!$C$2:$S$188,16)</f>
        <v>0</v>
      </c>
      <c r="AF12" s="6">
        <f>VLOOKUP($C12,'Food Pairing Data'!$C$2:$S$188,17)</f>
        <v>0</v>
      </c>
      <c r="AG12" s="6" t="s">
        <v>234</v>
      </c>
      <c r="AH12" s="6" t="s">
        <v>163</v>
      </c>
    </row>
    <row r="13" spans="1:67" ht="14">
      <c r="A13" s="6">
        <f t="shared" si="0"/>
        <v>11</v>
      </c>
      <c r="B13" s="6" t="s">
        <v>23</v>
      </c>
      <c r="C13" s="6" t="s">
        <v>240</v>
      </c>
      <c r="D13" s="6" t="s">
        <v>163</v>
      </c>
      <c r="E13" s="22">
        <f>HLOOKUP(Output!$F$6,'Raw Data'!$T$2:$BO$88,(A13+1),)</f>
        <v>0</v>
      </c>
      <c r="F13" s="23">
        <f>IF(D13=Output!$B$6,1,0)</f>
        <v>1</v>
      </c>
      <c r="G13" s="23">
        <f>IF(K13&lt;=Output!$C$6,(200-'Raw Data'!K13),0)</f>
        <v>182.01</v>
      </c>
      <c r="H13" s="23">
        <v>5</v>
      </c>
      <c r="I13" s="24">
        <f>SUMPRODUCT(F13:H13,Output!$B$7:$D$7)*E13</f>
        <v>0</v>
      </c>
      <c r="J13" s="25">
        <v>0</v>
      </c>
      <c r="K13" s="20">
        <v>17.989999999999998</v>
      </c>
      <c r="L13" s="6" t="s">
        <v>241</v>
      </c>
      <c r="M13" s="6" t="s">
        <v>242</v>
      </c>
      <c r="N13" s="6" t="s">
        <v>243</v>
      </c>
      <c r="O13" s="6" t="s">
        <v>173</v>
      </c>
      <c r="P13" s="26" t="s">
        <v>174</v>
      </c>
      <c r="Q13" s="6" t="s">
        <v>53</v>
      </c>
      <c r="R13" s="6" t="s">
        <v>64</v>
      </c>
      <c r="S13" s="6" t="s">
        <v>244</v>
      </c>
      <c r="T13" s="6">
        <f>VLOOKUP($C13,'Food Pairing Data'!$C$2:$S$188,5)</f>
        <v>0</v>
      </c>
      <c r="U13" s="6">
        <f>VLOOKUP($C13,'Food Pairing Data'!$C$2:$S$188,6)</f>
        <v>0</v>
      </c>
      <c r="V13" s="6">
        <f>VLOOKUP($C13,'Food Pairing Data'!$C$2:$S$188,7)</f>
        <v>0</v>
      </c>
      <c r="W13" s="6">
        <f>VLOOKUP($C13,'Food Pairing Data'!$C$2:$S$188,8)</f>
        <v>0</v>
      </c>
      <c r="X13" s="6">
        <f>VLOOKUP($C13,'Food Pairing Data'!$C$2:$S$188,9)</f>
        <v>0</v>
      </c>
      <c r="Y13" s="6">
        <f>VLOOKUP($C13,'Food Pairing Data'!$C$2:$S$188,10)</f>
        <v>0</v>
      </c>
      <c r="Z13" s="6">
        <f>VLOOKUP($C13,'Food Pairing Data'!$C$2:$S$188,11)</f>
        <v>0</v>
      </c>
      <c r="AA13" s="6">
        <f>VLOOKUP($C13,'Food Pairing Data'!$C$2:$S$188,12)</f>
        <v>0</v>
      </c>
      <c r="AB13" s="6">
        <f>VLOOKUP($C13,'Food Pairing Data'!$C$2:$S$188,13)</f>
        <v>0</v>
      </c>
      <c r="AC13" s="6">
        <f>VLOOKUP($C13,'Food Pairing Data'!$C$2:$S$188,14)</f>
        <v>1</v>
      </c>
      <c r="AD13" s="6">
        <f>VLOOKUP($C13,'Food Pairing Data'!$C$2:$S$188,15)</f>
        <v>0</v>
      </c>
      <c r="AE13" s="6">
        <f>VLOOKUP($C13,'Food Pairing Data'!$C$2:$S$188,16)</f>
        <v>0</v>
      </c>
      <c r="AF13" s="6">
        <f>VLOOKUP($C13,'Food Pairing Data'!$C$2:$S$188,17)</f>
        <v>0</v>
      </c>
      <c r="AG13" s="6" t="s">
        <v>240</v>
      </c>
      <c r="AH13" s="6" t="s">
        <v>163</v>
      </c>
    </row>
    <row r="14" spans="1:67" ht="14">
      <c r="A14" s="6">
        <f t="shared" si="0"/>
        <v>12</v>
      </c>
      <c r="B14" s="6" t="s">
        <v>245</v>
      </c>
      <c r="C14" s="6" t="s">
        <v>246</v>
      </c>
      <c r="D14" s="6" t="s">
        <v>163</v>
      </c>
      <c r="E14" s="22">
        <f>HLOOKUP(Output!$F$6,'Raw Data'!$T$2:$BO$88,(A14+1),)</f>
        <v>1</v>
      </c>
      <c r="F14" s="23">
        <f>IF(D14=Output!$B$6,1,0)</f>
        <v>1</v>
      </c>
      <c r="G14" s="23">
        <f>IF(K14&lt;=Output!$C$6,(200-'Raw Data'!K14),0)</f>
        <v>191.01</v>
      </c>
      <c r="H14" s="23">
        <v>5</v>
      </c>
      <c r="I14" s="24">
        <f>SUMPRODUCT(F14:H14,Output!$B$7:$D$7)*E14</f>
        <v>115.806</v>
      </c>
      <c r="J14" s="25">
        <v>1</v>
      </c>
      <c r="K14" s="20">
        <v>8.99</v>
      </c>
      <c r="L14" s="6" t="s">
        <v>170</v>
      </c>
      <c r="M14" s="6" t="s">
        <v>247</v>
      </c>
      <c r="N14" s="6" t="s">
        <v>248</v>
      </c>
      <c r="O14" s="6" t="s">
        <v>249</v>
      </c>
      <c r="P14" s="26" t="s">
        <v>174</v>
      </c>
      <c r="Q14" s="6" t="s">
        <v>65</v>
      </c>
      <c r="R14" s="6" t="s">
        <v>53</v>
      </c>
      <c r="S14" s="6" t="s">
        <v>58</v>
      </c>
      <c r="T14" s="6">
        <v>1</v>
      </c>
      <c r="U14" s="6">
        <v>1</v>
      </c>
      <c r="V14" s="6">
        <v>0</v>
      </c>
      <c r="W14" s="6">
        <v>0</v>
      </c>
      <c r="X14" s="6">
        <v>0</v>
      </c>
      <c r="Y14" s="6">
        <v>0</v>
      </c>
      <c r="Z14" s="6">
        <v>0</v>
      </c>
      <c r="AA14" s="6">
        <v>0</v>
      </c>
      <c r="AB14" s="6">
        <v>0</v>
      </c>
      <c r="AC14" s="6">
        <v>0</v>
      </c>
      <c r="AD14" s="6">
        <v>0</v>
      </c>
      <c r="AE14" s="6">
        <v>0</v>
      </c>
      <c r="AF14" s="6">
        <v>0</v>
      </c>
      <c r="AG14" s="6" t="s">
        <v>246</v>
      </c>
      <c r="AH14" s="6" t="s">
        <v>163</v>
      </c>
    </row>
    <row r="15" spans="1:67" ht="14">
      <c r="A15" s="6">
        <f t="shared" si="0"/>
        <v>13</v>
      </c>
      <c r="B15" s="6" t="s">
        <v>245</v>
      </c>
      <c r="C15" s="6" t="s">
        <v>250</v>
      </c>
      <c r="D15" s="6" t="s">
        <v>163</v>
      </c>
      <c r="E15" s="22">
        <f>HLOOKUP(Output!$F$6,'Raw Data'!$T$2:$BO$88,(A15+1),)</f>
        <v>0</v>
      </c>
      <c r="F15" s="23">
        <f>IF(D15=Output!$B$6,1,0)</f>
        <v>1</v>
      </c>
      <c r="G15" s="23">
        <f>IF(K15&lt;=Output!$C$6,(200-'Raw Data'!K15),0)</f>
        <v>191.01</v>
      </c>
      <c r="H15" s="23">
        <v>5</v>
      </c>
      <c r="I15" s="24">
        <f>SUMPRODUCT(F15:H15,Output!$B$7:$D$7)*E15</f>
        <v>0</v>
      </c>
      <c r="J15" s="25">
        <v>0</v>
      </c>
      <c r="K15" s="20">
        <v>8.99</v>
      </c>
      <c r="L15" s="6" t="s">
        <v>251</v>
      </c>
      <c r="M15" s="6" t="s">
        <v>252</v>
      </c>
      <c r="N15" s="6" t="s">
        <v>109</v>
      </c>
      <c r="O15" s="6" t="s">
        <v>110</v>
      </c>
      <c r="P15" s="26" t="s">
        <v>34</v>
      </c>
      <c r="Q15" s="6" t="s">
        <v>58</v>
      </c>
      <c r="R15" s="6" t="s">
        <v>53</v>
      </c>
      <c r="S15" s="6" t="s">
        <v>239</v>
      </c>
      <c r="T15" s="6">
        <f>VLOOKUP($C15,'Food Pairing Data'!$C$2:$S$188,5)</f>
        <v>0</v>
      </c>
      <c r="U15" s="6">
        <f>VLOOKUP($C15,'Food Pairing Data'!$C$2:$S$188,6)</f>
        <v>0</v>
      </c>
      <c r="V15" s="6">
        <f>VLOOKUP($C15,'Food Pairing Data'!$C$2:$S$188,7)</f>
        <v>0</v>
      </c>
      <c r="W15" s="6">
        <f>VLOOKUP($C15,'Food Pairing Data'!$C$2:$S$188,8)</f>
        <v>0</v>
      </c>
      <c r="X15" s="6">
        <f>VLOOKUP($C15,'Food Pairing Data'!$C$2:$S$188,9)</f>
        <v>0</v>
      </c>
      <c r="Y15" s="6">
        <f>VLOOKUP($C15,'Food Pairing Data'!$C$2:$S$188,10)</f>
        <v>0</v>
      </c>
      <c r="Z15" s="6">
        <f>VLOOKUP($C15,'Food Pairing Data'!$C$2:$S$188,11)</f>
        <v>0</v>
      </c>
      <c r="AA15" s="6">
        <f>VLOOKUP($C15,'Food Pairing Data'!$C$2:$S$188,12)</f>
        <v>0</v>
      </c>
      <c r="AB15" s="6">
        <f>VLOOKUP($C15,'Food Pairing Data'!$C$2:$S$188,13)</f>
        <v>0</v>
      </c>
      <c r="AC15" s="6">
        <f>VLOOKUP($C15,'Food Pairing Data'!$C$2:$S$188,14)</f>
        <v>1</v>
      </c>
      <c r="AD15" s="6">
        <f>VLOOKUP($C15,'Food Pairing Data'!$C$2:$S$188,15)</f>
        <v>0</v>
      </c>
      <c r="AE15" s="6">
        <f>VLOOKUP($C15,'Food Pairing Data'!$C$2:$S$188,16)</f>
        <v>0</v>
      </c>
      <c r="AF15" s="6">
        <f>VLOOKUP($C15,'Food Pairing Data'!$C$2:$S$188,17)</f>
        <v>0</v>
      </c>
      <c r="AG15" s="6" t="s">
        <v>250</v>
      </c>
      <c r="AH15" s="6" t="s">
        <v>163</v>
      </c>
    </row>
    <row r="16" spans="1:67" ht="14">
      <c r="A16" s="6">
        <f t="shared" si="0"/>
        <v>14</v>
      </c>
      <c r="B16" s="6" t="s">
        <v>161</v>
      </c>
      <c r="C16" s="6" t="s">
        <v>259</v>
      </c>
      <c r="D16" s="6" t="s">
        <v>163</v>
      </c>
      <c r="E16" s="22">
        <f>HLOOKUP(Output!$F$6,'Raw Data'!$T$2:$BO$88,(A16+1),)</f>
        <v>0</v>
      </c>
      <c r="F16" s="23">
        <f>IF(D16=Output!$B$6,1,0)</f>
        <v>1</v>
      </c>
      <c r="G16" s="23">
        <f>IF(K16&lt;=Output!$C$6,(200-'Raw Data'!K16),0)</f>
        <v>0</v>
      </c>
      <c r="H16" s="23">
        <v>4.5</v>
      </c>
      <c r="I16" s="24">
        <f>SUMPRODUCT(F16:H16,Output!$B$7:$D$7)*E16</f>
        <v>0</v>
      </c>
      <c r="J16" s="25">
        <v>0</v>
      </c>
      <c r="K16" s="20">
        <v>64.989999999999995</v>
      </c>
      <c r="L16" s="6" t="s">
        <v>111</v>
      </c>
      <c r="M16" s="6" t="s">
        <v>112</v>
      </c>
      <c r="N16" s="6" t="s">
        <v>113</v>
      </c>
      <c r="O16" s="6" t="s">
        <v>114</v>
      </c>
      <c r="P16" s="26" t="s">
        <v>174</v>
      </c>
      <c r="Q16" s="6" t="s">
        <v>53</v>
      </c>
      <c r="R16" s="6" t="s">
        <v>64</v>
      </c>
      <c r="S16" s="6" t="s">
        <v>58</v>
      </c>
      <c r="T16" s="6">
        <f>VLOOKUP($C16,'Food Pairing Data'!$C$2:$S$188,5)</f>
        <v>0</v>
      </c>
      <c r="U16" s="6">
        <f>VLOOKUP($C16,'Food Pairing Data'!$C$2:$S$188,6)</f>
        <v>0</v>
      </c>
      <c r="V16" s="6">
        <f>VLOOKUP($C16,'Food Pairing Data'!$C$2:$S$188,7)</f>
        <v>0</v>
      </c>
      <c r="W16" s="6">
        <f>VLOOKUP($C16,'Food Pairing Data'!$C$2:$S$188,8)</f>
        <v>1</v>
      </c>
      <c r="X16" s="6">
        <f>VLOOKUP($C16,'Food Pairing Data'!$C$2:$S$188,9)</f>
        <v>0</v>
      </c>
      <c r="Y16" s="6">
        <f>VLOOKUP($C16,'Food Pairing Data'!$C$2:$S$188,10)</f>
        <v>1</v>
      </c>
      <c r="Z16" s="6">
        <f>VLOOKUP($C16,'Food Pairing Data'!$C$2:$S$188,11)</f>
        <v>0</v>
      </c>
      <c r="AA16" s="6">
        <f>VLOOKUP($C16,'Food Pairing Data'!$C$2:$S$188,12)</f>
        <v>0</v>
      </c>
      <c r="AB16" s="6">
        <f>VLOOKUP($C16,'Food Pairing Data'!$C$2:$S$188,13)</f>
        <v>0</v>
      </c>
      <c r="AC16" s="6">
        <f>VLOOKUP($C16,'Food Pairing Data'!$C$2:$S$188,14)</f>
        <v>0</v>
      </c>
      <c r="AD16" s="6">
        <f>VLOOKUP($C16,'Food Pairing Data'!$C$2:$S$188,15)</f>
        <v>0</v>
      </c>
      <c r="AE16" s="6">
        <f>VLOOKUP($C16,'Food Pairing Data'!$C$2:$S$188,16)</f>
        <v>0</v>
      </c>
      <c r="AF16" s="6">
        <f>VLOOKUP($C16,'Food Pairing Data'!$C$2:$S$188,17)</f>
        <v>0</v>
      </c>
      <c r="AG16" s="6" t="s">
        <v>259</v>
      </c>
      <c r="AH16" s="6" t="s">
        <v>163</v>
      </c>
    </row>
    <row r="17" spans="1:34" ht="16.5" customHeight="1">
      <c r="A17" s="6">
        <f t="shared" si="0"/>
        <v>15</v>
      </c>
      <c r="B17" s="6" t="s">
        <v>161</v>
      </c>
      <c r="C17" s="6" t="s">
        <v>115</v>
      </c>
      <c r="D17" s="6" t="s">
        <v>163</v>
      </c>
      <c r="E17" s="22">
        <f>HLOOKUP(Output!$F$6,'Raw Data'!$T$2:$BO$88,(A17+1),)</f>
        <v>0</v>
      </c>
      <c r="F17" s="23">
        <f>IF(D17=Output!$B$6,1,0)</f>
        <v>1</v>
      </c>
      <c r="G17" s="23">
        <f>IF(K17&lt;=Output!$C$6,(200-'Raw Data'!K17),0)</f>
        <v>0</v>
      </c>
      <c r="H17" s="23">
        <v>4.5</v>
      </c>
      <c r="I17" s="24">
        <f>SUMPRODUCT(F17:H17,Output!$B$7:$D$7)*E17</f>
        <v>0</v>
      </c>
      <c r="J17" s="25">
        <v>0</v>
      </c>
      <c r="K17" s="20">
        <v>64.989999999999995</v>
      </c>
      <c r="L17" s="6" t="s">
        <v>25</v>
      </c>
      <c r="M17" s="6" t="s">
        <v>116</v>
      </c>
      <c r="N17" s="6" t="s">
        <v>117</v>
      </c>
      <c r="O17" s="6" t="s">
        <v>118</v>
      </c>
      <c r="P17" s="26" t="s">
        <v>28</v>
      </c>
      <c r="Q17" s="6" t="s">
        <v>54</v>
      </c>
      <c r="R17" s="6" t="s">
        <v>64</v>
      </c>
      <c r="S17" s="6" t="s">
        <v>157</v>
      </c>
      <c r="T17" s="6">
        <f>VLOOKUP($C17,'Food Pairing Data'!$C$2:$S$188,5)</f>
        <v>0</v>
      </c>
      <c r="U17" s="6">
        <f>VLOOKUP($C17,'Food Pairing Data'!$C$2:$S$188,6)</f>
        <v>0</v>
      </c>
      <c r="V17" s="6">
        <f>VLOOKUP($C17,'Food Pairing Data'!$C$2:$S$188,7)</f>
        <v>0</v>
      </c>
      <c r="W17" s="6">
        <f>VLOOKUP($C17,'Food Pairing Data'!$C$2:$S$188,8)</f>
        <v>0</v>
      </c>
      <c r="X17" s="6">
        <f>VLOOKUP($C17,'Food Pairing Data'!$C$2:$S$188,9)</f>
        <v>0</v>
      </c>
      <c r="Y17" s="6">
        <f>VLOOKUP($C17,'Food Pairing Data'!$C$2:$S$188,10)</f>
        <v>0</v>
      </c>
      <c r="Z17" s="6">
        <f>VLOOKUP($C17,'Food Pairing Data'!$C$2:$S$188,11)</f>
        <v>0</v>
      </c>
      <c r="AA17" s="6">
        <f>VLOOKUP($C17,'Food Pairing Data'!$C$2:$S$188,12)</f>
        <v>0</v>
      </c>
      <c r="AB17" s="6">
        <f>VLOOKUP($C17,'Food Pairing Data'!$C$2:$S$188,13)</f>
        <v>0</v>
      </c>
      <c r="AC17" s="6">
        <f>VLOOKUP($C17,'Food Pairing Data'!$C$2:$S$188,14)</f>
        <v>1</v>
      </c>
      <c r="AD17" s="6">
        <f>VLOOKUP($C17,'Food Pairing Data'!$C$2:$S$188,15)</f>
        <v>0</v>
      </c>
      <c r="AE17" s="6">
        <f>VLOOKUP($C17,'Food Pairing Data'!$C$2:$S$188,16)</f>
        <v>0</v>
      </c>
      <c r="AF17" s="6">
        <f>VLOOKUP($C17,'Food Pairing Data'!$C$2:$S$188,17)</f>
        <v>0</v>
      </c>
      <c r="AG17" s="6" t="s">
        <v>115</v>
      </c>
      <c r="AH17" s="6" t="s">
        <v>163</v>
      </c>
    </row>
    <row r="18" spans="1:34" ht="16.5" customHeight="1">
      <c r="A18" s="6">
        <f t="shared" si="0"/>
        <v>16</v>
      </c>
      <c r="B18" s="6" t="s">
        <v>161</v>
      </c>
      <c r="C18" s="6" t="s">
        <v>119</v>
      </c>
      <c r="D18" s="6" t="s">
        <v>163</v>
      </c>
      <c r="E18" s="22">
        <f>HLOOKUP(Output!$F$6,'Raw Data'!$T$2:$BO$88,(A18+1),)</f>
        <v>0</v>
      </c>
      <c r="F18" s="23">
        <f>IF(D18=Output!$B$6,1,0)</f>
        <v>1</v>
      </c>
      <c r="G18" s="23">
        <f>IF(K18&lt;=Output!$C$6,(200-'Raw Data'!K18),0)</f>
        <v>0</v>
      </c>
      <c r="H18" s="23">
        <v>4.5</v>
      </c>
      <c r="I18" s="24">
        <f>SUMPRODUCT(F18:H18,Output!$B$7:$D$7)*E18</f>
        <v>0</v>
      </c>
      <c r="J18" s="25">
        <v>0</v>
      </c>
      <c r="K18" s="20">
        <v>59.99</v>
      </c>
      <c r="L18" s="6" t="s">
        <v>25</v>
      </c>
      <c r="M18" s="6" t="s">
        <v>120</v>
      </c>
      <c r="N18" s="6" t="s">
        <v>121</v>
      </c>
      <c r="O18" s="6" t="s">
        <v>122</v>
      </c>
      <c r="P18" s="26" t="s">
        <v>123</v>
      </c>
      <c r="Q18" s="6" t="s">
        <v>54</v>
      </c>
      <c r="R18" s="6" t="s">
        <v>157</v>
      </c>
      <c r="S18" s="6" t="s">
        <v>239</v>
      </c>
      <c r="T18" s="6">
        <f>VLOOKUP($C18,'Food Pairing Data'!$C$2:$S$188,5)</f>
        <v>0</v>
      </c>
      <c r="U18" s="6">
        <f>VLOOKUP($C18,'Food Pairing Data'!$C$2:$S$188,6)</f>
        <v>0</v>
      </c>
      <c r="V18" s="6">
        <f>VLOOKUP($C18,'Food Pairing Data'!$C$2:$S$188,7)</f>
        <v>0</v>
      </c>
      <c r="W18" s="6">
        <f>VLOOKUP($C18,'Food Pairing Data'!$C$2:$S$188,8)</f>
        <v>0</v>
      </c>
      <c r="X18" s="6">
        <f>VLOOKUP($C18,'Food Pairing Data'!$C$2:$S$188,9)</f>
        <v>0</v>
      </c>
      <c r="Y18" s="6">
        <f>VLOOKUP($C18,'Food Pairing Data'!$C$2:$S$188,10)</f>
        <v>0</v>
      </c>
      <c r="Z18" s="6">
        <f>VLOOKUP($C18,'Food Pairing Data'!$C$2:$S$188,11)</f>
        <v>0</v>
      </c>
      <c r="AA18" s="6">
        <f>VLOOKUP($C18,'Food Pairing Data'!$C$2:$S$188,12)</f>
        <v>0</v>
      </c>
      <c r="AB18" s="6">
        <f>VLOOKUP($C18,'Food Pairing Data'!$C$2:$S$188,13)</f>
        <v>0</v>
      </c>
      <c r="AC18" s="6">
        <f>VLOOKUP($C18,'Food Pairing Data'!$C$2:$S$188,14)</f>
        <v>1</v>
      </c>
      <c r="AD18" s="6">
        <f>VLOOKUP($C18,'Food Pairing Data'!$C$2:$S$188,15)</f>
        <v>0</v>
      </c>
      <c r="AE18" s="6">
        <f>VLOOKUP($C18,'Food Pairing Data'!$C$2:$S$188,16)</f>
        <v>0</v>
      </c>
      <c r="AF18" s="6">
        <f>VLOOKUP($C18,'Food Pairing Data'!$C$2:$S$188,17)</f>
        <v>0</v>
      </c>
      <c r="AG18" s="6" t="s">
        <v>119</v>
      </c>
      <c r="AH18" s="6" t="s">
        <v>163</v>
      </c>
    </row>
    <row r="19" spans="1:34" ht="16.5" customHeight="1">
      <c r="A19" s="6">
        <f t="shared" si="0"/>
        <v>17</v>
      </c>
      <c r="B19" s="6" t="s">
        <v>181</v>
      </c>
      <c r="C19" s="6" t="s">
        <v>131</v>
      </c>
      <c r="D19" s="6" t="s">
        <v>163</v>
      </c>
      <c r="E19" s="22">
        <f>HLOOKUP(Output!$F$6,'Raw Data'!$T$2:$BO$88,(A19+1),)</f>
        <v>0</v>
      </c>
      <c r="F19" s="23">
        <f>IF(D19=Output!$B$6,1,0)</f>
        <v>1</v>
      </c>
      <c r="G19" s="23">
        <f>IF(K19&lt;=Output!$C$6,(200-'Raw Data'!K19),0)</f>
        <v>175.01</v>
      </c>
      <c r="H19" s="23">
        <v>4.5</v>
      </c>
      <c r="I19" s="24">
        <f>SUMPRODUCT(F19:H19,Output!$B$7:$D$7)*E19</f>
        <v>0</v>
      </c>
      <c r="J19" s="25">
        <v>0</v>
      </c>
      <c r="K19" s="20">
        <v>24.99</v>
      </c>
      <c r="L19" s="6" t="s">
        <v>176</v>
      </c>
      <c r="M19" s="6" t="s">
        <v>132</v>
      </c>
      <c r="N19" s="6" t="s">
        <v>133</v>
      </c>
      <c r="O19" s="6" t="s">
        <v>33</v>
      </c>
      <c r="P19" s="26" t="s">
        <v>174</v>
      </c>
      <c r="Q19" s="6" t="s">
        <v>55</v>
      </c>
      <c r="R19" s="6" t="s">
        <v>134</v>
      </c>
      <c r="S19" s="6" t="s">
        <v>239</v>
      </c>
      <c r="T19" s="6">
        <f>VLOOKUP($C19,'Food Pairing Data'!$C$2:$S$188,5)</f>
        <v>0</v>
      </c>
      <c r="U19" s="6">
        <f>VLOOKUP($C19,'Food Pairing Data'!$C$2:$S$188,6)</f>
        <v>0</v>
      </c>
      <c r="V19" s="6">
        <f>VLOOKUP($C19,'Food Pairing Data'!$C$2:$S$188,7)</f>
        <v>0</v>
      </c>
      <c r="W19" s="6">
        <f>VLOOKUP($C19,'Food Pairing Data'!$C$2:$S$188,8)</f>
        <v>0</v>
      </c>
      <c r="X19" s="6">
        <f>VLOOKUP($C19,'Food Pairing Data'!$C$2:$S$188,9)</f>
        <v>0</v>
      </c>
      <c r="Y19" s="6">
        <f>VLOOKUP($C19,'Food Pairing Data'!$C$2:$S$188,10)</f>
        <v>0</v>
      </c>
      <c r="Z19" s="6">
        <f>VLOOKUP($C19,'Food Pairing Data'!$C$2:$S$188,11)</f>
        <v>0</v>
      </c>
      <c r="AA19" s="6">
        <f>VLOOKUP($C19,'Food Pairing Data'!$C$2:$S$188,12)</f>
        <v>0</v>
      </c>
      <c r="AB19" s="6">
        <f>VLOOKUP($C19,'Food Pairing Data'!$C$2:$S$188,13)</f>
        <v>0</v>
      </c>
      <c r="AC19" s="6">
        <f>VLOOKUP($C19,'Food Pairing Data'!$C$2:$S$188,14)</f>
        <v>1</v>
      </c>
      <c r="AD19" s="6">
        <f>VLOOKUP($C19,'Food Pairing Data'!$C$2:$S$188,15)</f>
        <v>0</v>
      </c>
      <c r="AE19" s="6">
        <f>VLOOKUP($C19,'Food Pairing Data'!$C$2:$S$188,16)</f>
        <v>0</v>
      </c>
      <c r="AF19" s="6">
        <f>VLOOKUP($C19,'Food Pairing Data'!$C$2:$S$188,17)</f>
        <v>0</v>
      </c>
      <c r="AG19" s="6" t="s">
        <v>131</v>
      </c>
      <c r="AH19" s="6" t="s">
        <v>163</v>
      </c>
    </row>
    <row r="20" spans="1:34" ht="16.5" customHeight="1">
      <c r="A20" s="6">
        <f t="shared" si="0"/>
        <v>18</v>
      </c>
      <c r="B20" s="6" t="s">
        <v>23</v>
      </c>
      <c r="C20" s="6" t="s">
        <v>135</v>
      </c>
      <c r="D20" s="6" t="s">
        <v>163</v>
      </c>
      <c r="E20" s="22">
        <f>HLOOKUP(Output!$F$6,'Raw Data'!$T$2:$BO$88,(A20+1),)</f>
        <v>0</v>
      </c>
      <c r="F20" s="23">
        <f>IF(D20=Output!$B$6,1,0)</f>
        <v>1</v>
      </c>
      <c r="G20" s="23">
        <f>IF(K20&lt;=Output!$C$6,(200-'Raw Data'!K20),0)</f>
        <v>183.01</v>
      </c>
      <c r="H20" s="23">
        <v>4.5</v>
      </c>
      <c r="I20" s="24">
        <f>SUMPRODUCT(F20:H20,Output!$B$7:$D$7)*E20</f>
        <v>0</v>
      </c>
      <c r="J20" s="25">
        <v>0</v>
      </c>
      <c r="K20" s="20">
        <v>16.989999999999998</v>
      </c>
      <c r="L20" s="6" t="s">
        <v>176</v>
      </c>
      <c r="M20" s="6" t="s">
        <v>136</v>
      </c>
      <c r="N20" s="6" t="s">
        <v>137</v>
      </c>
      <c r="O20" s="6" t="s">
        <v>138</v>
      </c>
      <c r="P20" s="26" t="s">
        <v>34</v>
      </c>
      <c r="Q20" s="6" t="s">
        <v>65</v>
      </c>
      <c r="R20" s="6" t="s">
        <v>55</v>
      </c>
      <c r="S20" s="6" t="s">
        <v>128</v>
      </c>
      <c r="T20" s="6">
        <f>VLOOKUP($C20,'Food Pairing Data'!$C$2:$S$188,5)</f>
        <v>0</v>
      </c>
      <c r="U20" s="6">
        <f>VLOOKUP($C20,'Food Pairing Data'!$C$2:$S$188,6)</f>
        <v>0</v>
      </c>
      <c r="V20" s="6">
        <f>VLOOKUP($C20,'Food Pairing Data'!$C$2:$S$188,7)</f>
        <v>0</v>
      </c>
      <c r="W20" s="6">
        <f>VLOOKUP($C20,'Food Pairing Data'!$C$2:$S$188,8)</f>
        <v>1</v>
      </c>
      <c r="X20" s="6">
        <f>VLOOKUP($C20,'Food Pairing Data'!$C$2:$S$188,9)</f>
        <v>0</v>
      </c>
      <c r="Y20" s="6">
        <f>VLOOKUP($C20,'Food Pairing Data'!$C$2:$S$188,10)</f>
        <v>1</v>
      </c>
      <c r="Z20" s="6">
        <f>VLOOKUP($C20,'Food Pairing Data'!$C$2:$S$188,11)</f>
        <v>0</v>
      </c>
      <c r="AA20" s="6">
        <f>VLOOKUP($C20,'Food Pairing Data'!$C$2:$S$188,12)</f>
        <v>0</v>
      </c>
      <c r="AB20" s="6">
        <f>VLOOKUP($C20,'Food Pairing Data'!$C$2:$S$188,13)</f>
        <v>0</v>
      </c>
      <c r="AC20" s="6">
        <f>VLOOKUP($C20,'Food Pairing Data'!$C$2:$S$188,14)</f>
        <v>0</v>
      </c>
      <c r="AD20" s="6">
        <f>VLOOKUP($C20,'Food Pairing Data'!$C$2:$S$188,15)</f>
        <v>0</v>
      </c>
      <c r="AE20" s="6">
        <f>VLOOKUP($C20,'Food Pairing Data'!$C$2:$S$188,16)</f>
        <v>0</v>
      </c>
      <c r="AF20" s="6">
        <f>VLOOKUP($C20,'Food Pairing Data'!$C$2:$S$188,17)</f>
        <v>0</v>
      </c>
      <c r="AG20" s="6" t="s">
        <v>135</v>
      </c>
      <c r="AH20" s="6" t="s">
        <v>163</v>
      </c>
    </row>
    <row r="21" spans="1:34" ht="16.5" customHeight="1">
      <c r="A21" s="6">
        <f t="shared" si="0"/>
        <v>19</v>
      </c>
      <c r="B21" s="6" t="s">
        <v>23</v>
      </c>
      <c r="C21" s="6" t="s">
        <v>139</v>
      </c>
      <c r="D21" s="6" t="s">
        <v>163</v>
      </c>
      <c r="E21" s="22">
        <f>HLOOKUP(Output!$F$6,'Raw Data'!$T$2:$BO$88,(A21+1),)</f>
        <v>0</v>
      </c>
      <c r="F21" s="23">
        <f>IF(D21=Output!$B$6,1,0)</f>
        <v>1</v>
      </c>
      <c r="G21" s="23">
        <f>IF(K21&lt;=Output!$C$6,(200-'Raw Data'!K21),0)</f>
        <v>183.01</v>
      </c>
      <c r="H21" s="23">
        <v>4.5</v>
      </c>
      <c r="I21" s="24">
        <f>SUMPRODUCT(F21:H21,Output!$B$7:$D$7)*E21</f>
        <v>0</v>
      </c>
      <c r="J21" s="25">
        <v>0</v>
      </c>
      <c r="K21" s="20">
        <v>16.989999999999998</v>
      </c>
      <c r="L21" s="6" t="s">
        <v>25</v>
      </c>
      <c r="M21" s="6" t="s">
        <v>140</v>
      </c>
      <c r="N21" s="6" t="s">
        <v>200</v>
      </c>
      <c r="O21" s="6" t="s">
        <v>201</v>
      </c>
      <c r="P21" s="26" t="s">
        <v>28</v>
      </c>
      <c r="Q21" s="6" t="s">
        <v>94</v>
      </c>
      <c r="R21" s="6" t="s">
        <v>147</v>
      </c>
      <c r="S21" s="6" t="s">
        <v>244</v>
      </c>
      <c r="T21" s="6">
        <f>VLOOKUP($C21,'Food Pairing Data'!$C$2:$S$188,5)</f>
        <v>0</v>
      </c>
      <c r="U21" s="6">
        <f>VLOOKUP($C21,'Food Pairing Data'!$C$2:$S$188,6)</f>
        <v>0</v>
      </c>
      <c r="V21" s="6">
        <f>VLOOKUP($C21,'Food Pairing Data'!$C$2:$S$188,7)</f>
        <v>0</v>
      </c>
      <c r="W21" s="6">
        <f>VLOOKUP($C21,'Food Pairing Data'!$C$2:$S$188,8)</f>
        <v>0</v>
      </c>
      <c r="X21" s="6">
        <f>VLOOKUP($C21,'Food Pairing Data'!$C$2:$S$188,9)</f>
        <v>0</v>
      </c>
      <c r="Y21" s="6">
        <f>VLOOKUP($C21,'Food Pairing Data'!$C$2:$S$188,10)</f>
        <v>0</v>
      </c>
      <c r="Z21" s="6">
        <f>VLOOKUP($C21,'Food Pairing Data'!$C$2:$S$188,11)</f>
        <v>0</v>
      </c>
      <c r="AA21" s="6">
        <f>VLOOKUP($C21,'Food Pairing Data'!$C$2:$S$188,12)</f>
        <v>0</v>
      </c>
      <c r="AB21" s="6">
        <f>VLOOKUP($C21,'Food Pairing Data'!$C$2:$S$188,13)</f>
        <v>0</v>
      </c>
      <c r="AC21" s="6">
        <f>VLOOKUP($C21,'Food Pairing Data'!$C$2:$S$188,14)</f>
        <v>1</v>
      </c>
      <c r="AD21" s="6">
        <f>VLOOKUP($C21,'Food Pairing Data'!$C$2:$S$188,15)</f>
        <v>0</v>
      </c>
      <c r="AE21" s="6">
        <f>VLOOKUP($C21,'Food Pairing Data'!$C$2:$S$188,16)</f>
        <v>0</v>
      </c>
      <c r="AF21" s="6">
        <f>VLOOKUP($C21,'Food Pairing Data'!$C$2:$S$188,17)</f>
        <v>0</v>
      </c>
      <c r="AG21" s="6" t="s">
        <v>139</v>
      </c>
      <c r="AH21" s="6" t="s">
        <v>163</v>
      </c>
    </row>
    <row r="22" spans="1:34" ht="14">
      <c r="A22" s="6">
        <f t="shared" si="0"/>
        <v>20</v>
      </c>
      <c r="B22" s="6" t="s">
        <v>23</v>
      </c>
      <c r="C22" s="6" t="s">
        <v>202</v>
      </c>
      <c r="D22" s="6" t="s">
        <v>163</v>
      </c>
      <c r="E22" s="22">
        <f>HLOOKUP(Output!$F$6,'Raw Data'!$T$2:$BO$88,(A22+1),)</f>
        <v>0</v>
      </c>
      <c r="F22" s="23">
        <f>IF(D22=Output!$B$6,1,0)</f>
        <v>1</v>
      </c>
      <c r="G22" s="23">
        <f>IF(K22&lt;=Output!$C$6,(200-'Raw Data'!K22),0)</f>
        <v>183.01</v>
      </c>
      <c r="H22" s="23">
        <v>4.5</v>
      </c>
      <c r="I22" s="24">
        <f>SUMPRODUCT(F22:H22,Output!$B$7:$D$7)*E22</f>
        <v>0</v>
      </c>
      <c r="J22" s="25">
        <v>0</v>
      </c>
      <c r="K22" s="20">
        <v>16.989999999999998</v>
      </c>
      <c r="L22" s="6" t="s">
        <v>241</v>
      </c>
      <c r="M22" s="6" t="s">
        <v>203</v>
      </c>
      <c r="N22" s="6" t="s">
        <v>32</v>
      </c>
      <c r="O22" s="6" t="s">
        <v>204</v>
      </c>
      <c r="P22" s="26"/>
      <c r="Q22" s="6" t="s">
        <v>71</v>
      </c>
      <c r="R22" s="6" t="s">
        <v>55</v>
      </c>
      <c r="S22" s="6" t="s">
        <v>82</v>
      </c>
      <c r="T22" s="6">
        <f>VLOOKUP($C22,'Food Pairing Data'!$C$2:$S$188,5)</f>
        <v>0</v>
      </c>
      <c r="U22" s="6">
        <f>VLOOKUP($C22,'Food Pairing Data'!$C$2:$S$188,6)</f>
        <v>0</v>
      </c>
      <c r="V22" s="6">
        <f>VLOOKUP($C22,'Food Pairing Data'!$C$2:$S$188,7)</f>
        <v>0</v>
      </c>
      <c r="W22" s="6">
        <f>VLOOKUP($C22,'Food Pairing Data'!$C$2:$S$188,8)</f>
        <v>0</v>
      </c>
      <c r="X22" s="6">
        <f>VLOOKUP($C22,'Food Pairing Data'!$C$2:$S$188,9)</f>
        <v>0</v>
      </c>
      <c r="Y22" s="6">
        <f>VLOOKUP($C22,'Food Pairing Data'!$C$2:$S$188,10)</f>
        <v>0</v>
      </c>
      <c r="Z22" s="6">
        <f>VLOOKUP($C22,'Food Pairing Data'!$C$2:$S$188,11)</f>
        <v>0</v>
      </c>
      <c r="AA22" s="6">
        <f>VLOOKUP($C22,'Food Pairing Data'!$C$2:$S$188,12)</f>
        <v>0</v>
      </c>
      <c r="AB22" s="6">
        <f>VLOOKUP($C22,'Food Pairing Data'!$C$2:$S$188,13)</f>
        <v>0</v>
      </c>
      <c r="AC22" s="6">
        <f>VLOOKUP($C22,'Food Pairing Data'!$C$2:$S$188,14)</f>
        <v>1</v>
      </c>
      <c r="AD22" s="6">
        <f>VLOOKUP($C22,'Food Pairing Data'!$C$2:$S$188,15)</f>
        <v>0</v>
      </c>
      <c r="AE22" s="6">
        <f>VLOOKUP($C22,'Food Pairing Data'!$C$2:$S$188,16)</f>
        <v>0</v>
      </c>
      <c r="AF22" s="6">
        <f>VLOOKUP($C22,'Food Pairing Data'!$C$2:$S$188,17)</f>
        <v>0</v>
      </c>
      <c r="AG22" s="6" t="s">
        <v>202</v>
      </c>
      <c r="AH22" s="6" t="s">
        <v>163</v>
      </c>
    </row>
    <row r="23" spans="1:34" ht="14">
      <c r="A23" s="6">
        <f t="shared" si="0"/>
        <v>21</v>
      </c>
      <c r="B23" s="6" t="s">
        <v>245</v>
      </c>
      <c r="C23" s="6" t="s">
        <v>214</v>
      </c>
      <c r="D23" s="6" t="s">
        <v>163</v>
      </c>
      <c r="E23" s="22">
        <f>HLOOKUP(Output!$F$6,'Raw Data'!$T$2:$BO$88,(A23+1),)</f>
        <v>0</v>
      </c>
      <c r="F23" s="23">
        <f>IF(D23=Output!$B$6,1,0)</f>
        <v>1</v>
      </c>
      <c r="G23" s="23">
        <f>IF(K23&lt;=Output!$C$6,(200-'Raw Data'!K23),0)</f>
        <v>190.01</v>
      </c>
      <c r="H23" s="23">
        <v>4.5</v>
      </c>
      <c r="I23" s="24">
        <f>SUMPRODUCT(F23:H23,Output!$B$7:$D$7)*E23</f>
        <v>0</v>
      </c>
      <c r="J23" s="25">
        <v>0</v>
      </c>
      <c r="K23" s="20">
        <v>9.99</v>
      </c>
      <c r="L23" s="6" t="s">
        <v>241</v>
      </c>
      <c r="M23" s="6" t="s">
        <v>242</v>
      </c>
      <c r="N23" s="6" t="s">
        <v>211</v>
      </c>
      <c r="O23" s="6" t="s">
        <v>215</v>
      </c>
      <c r="P23" s="26" t="s">
        <v>28</v>
      </c>
      <c r="Q23" s="6" t="s">
        <v>65</v>
      </c>
      <c r="R23" s="6" t="s">
        <v>64</v>
      </c>
      <c r="S23" s="6" t="s">
        <v>244</v>
      </c>
      <c r="T23" s="6">
        <f>VLOOKUP($C23,'Food Pairing Data'!$C$2:$S$188,5)</f>
        <v>0</v>
      </c>
      <c r="U23" s="6">
        <f>VLOOKUP($C23,'Food Pairing Data'!$C$2:$S$188,6)</f>
        <v>0</v>
      </c>
      <c r="V23" s="6">
        <f>VLOOKUP($C23,'Food Pairing Data'!$C$2:$S$188,7)</f>
        <v>0</v>
      </c>
      <c r="W23" s="6">
        <f>VLOOKUP($C23,'Food Pairing Data'!$C$2:$S$188,8)</f>
        <v>0</v>
      </c>
      <c r="X23" s="6">
        <f>VLOOKUP($C23,'Food Pairing Data'!$C$2:$S$188,9)</f>
        <v>0</v>
      </c>
      <c r="Y23" s="6">
        <f>VLOOKUP($C23,'Food Pairing Data'!$C$2:$S$188,10)</f>
        <v>0</v>
      </c>
      <c r="Z23" s="6">
        <f>VLOOKUP($C23,'Food Pairing Data'!$C$2:$S$188,11)</f>
        <v>0</v>
      </c>
      <c r="AA23" s="6">
        <f>VLOOKUP($C23,'Food Pairing Data'!$C$2:$S$188,12)</f>
        <v>0</v>
      </c>
      <c r="AB23" s="6">
        <f>VLOOKUP($C23,'Food Pairing Data'!$C$2:$S$188,13)</f>
        <v>0</v>
      </c>
      <c r="AC23" s="6">
        <f>VLOOKUP($C23,'Food Pairing Data'!$C$2:$S$188,14)</f>
        <v>1</v>
      </c>
      <c r="AD23" s="6">
        <f>VLOOKUP($C23,'Food Pairing Data'!$C$2:$S$188,15)</f>
        <v>0</v>
      </c>
      <c r="AE23" s="6">
        <f>VLOOKUP($C23,'Food Pairing Data'!$C$2:$S$188,16)</f>
        <v>0</v>
      </c>
      <c r="AF23" s="6">
        <f>VLOOKUP($C23,'Food Pairing Data'!$C$2:$S$188,17)</f>
        <v>0</v>
      </c>
      <c r="AG23" s="6" t="s">
        <v>214</v>
      </c>
      <c r="AH23" s="6" t="s">
        <v>163</v>
      </c>
    </row>
    <row r="24" spans="1:34" ht="14">
      <c r="A24" s="6">
        <f t="shared" si="0"/>
        <v>22</v>
      </c>
      <c r="B24" s="6" t="s">
        <v>245</v>
      </c>
      <c r="C24" s="6" t="s">
        <v>216</v>
      </c>
      <c r="D24" s="6" t="s">
        <v>163</v>
      </c>
      <c r="E24" s="22">
        <f>HLOOKUP(Output!$F$6,'Raw Data'!$T$2:$BO$88,(A24+1),)</f>
        <v>0</v>
      </c>
      <c r="F24" s="23">
        <f>IF(D24=Output!$B$6,1,0)</f>
        <v>1</v>
      </c>
      <c r="G24" s="23">
        <f>IF(K24&lt;=Output!$C$6,(200-'Raw Data'!K24),0)</f>
        <v>191.01</v>
      </c>
      <c r="H24" s="23">
        <v>4.5</v>
      </c>
      <c r="I24" s="24">
        <f>SUMPRODUCT(F24:H24,Output!$B$7:$D$7)*E24</f>
        <v>0</v>
      </c>
      <c r="J24" s="25">
        <v>0</v>
      </c>
      <c r="K24" s="20">
        <v>8.99</v>
      </c>
      <c r="L24" s="6" t="s">
        <v>18</v>
      </c>
      <c r="M24" s="6" t="s">
        <v>19</v>
      </c>
      <c r="N24" s="6" t="s">
        <v>211</v>
      </c>
      <c r="O24" s="6" t="s">
        <v>21</v>
      </c>
      <c r="P24" s="26" t="s">
        <v>34</v>
      </c>
      <c r="Q24" s="6" t="s">
        <v>206</v>
      </c>
      <c r="R24" s="6" t="s">
        <v>147</v>
      </c>
      <c r="S24" s="6" t="s">
        <v>103</v>
      </c>
      <c r="T24" s="6">
        <f>VLOOKUP($C24,'Food Pairing Data'!$C$2:$S$188,5)</f>
        <v>0</v>
      </c>
      <c r="U24" s="6">
        <f>VLOOKUP($C24,'Food Pairing Data'!$C$2:$S$188,6)</f>
        <v>0</v>
      </c>
      <c r="V24" s="6">
        <f>VLOOKUP($C24,'Food Pairing Data'!$C$2:$S$188,7)</f>
        <v>0</v>
      </c>
      <c r="W24" s="6">
        <f>VLOOKUP($C24,'Food Pairing Data'!$C$2:$S$188,8)</f>
        <v>0</v>
      </c>
      <c r="X24" s="6">
        <f>VLOOKUP($C24,'Food Pairing Data'!$C$2:$S$188,9)</f>
        <v>0</v>
      </c>
      <c r="Y24" s="6">
        <f>VLOOKUP($C24,'Food Pairing Data'!$C$2:$S$188,10)</f>
        <v>0</v>
      </c>
      <c r="Z24" s="6">
        <f>VLOOKUP($C24,'Food Pairing Data'!$C$2:$S$188,11)</f>
        <v>0</v>
      </c>
      <c r="AA24" s="6">
        <f>VLOOKUP($C24,'Food Pairing Data'!$C$2:$S$188,12)</f>
        <v>0</v>
      </c>
      <c r="AB24" s="6">
        <f>VLOOKUP($C24,'Food Pairing Data'!$C$2:$S$188,13)</f>
        <v>0</v>
      </c>
      <c r="AC24" s="6">
        <f>VLOOKUP($C24,'Food Pairing Data'!$C$2:$S$188,14)</f>
        <v>1</v>
      </c>
      <c r="AD24" s="6">
        <f>VLOOKUP($C24,'Food Pairing Data'!$C$2:$S$188,15)</f>
        <v>0</v>
      </c>
      <c r="AE24" s="6">
        <f>VLOOKUP($C24,'Food Pairing Data'!$C$2:$S$188,16)</f>
        <v>0</v>
      </c>
      <c r="AF24" s="6">
        <f>VLOOKUP($C24,'Food Pairing Data'!$C$2:$S$188,17)</f>
        <v>0</v>
      </c>
      <c r="AG24" s="6" t="s">
        <v>216</v>
      </c>
      <c r="AH24" s="6" t="s">
        <v>163</v>
      </c>
    </row>
    <row r="25" spans="1:34" ht="14">
      <c r="A25" s="6">
        <f t="shared" si="0"/>
        <v>23</v>
      </c>
      <c r="B25" s="6" t="s">
        <v>181</v>
      </c>
      <c r="C25" s="6" t="s">
        <v>217</v>
      </c>
      <c r="D25" s="6" t="s">
        <v>163</v>
      </c>
      <c r="E25" s="22">
        <f>HLOOKUP(Output!$F$6,'Raw Data'!$T$2:$BO$88,(A25+1),)</f>
        <v>0</v>
      </c>
      <c r="F25" s="23">
        <f>IF(D25=Output!$B$6,1,0)</f>
        <v>1</v>
      </c>
      <c r="G25" s="23">
        <f>IF(K25&lt;=Output!$C$6,(200-'Raw Data'!K25),0)</f>
        <v>0</v>
      </c>
      <c r="H25" s="23">
        <v>4</v>
      </c>
      <c r="I25" s="24">
        <f>SUMPRODUCT(F25:H25,Output!$B$7:$D$7)*E25</f>
        <v>0</v>
      </c>
      <c r="J25" s="25">
        <v>0</v>
      </c>
      <c r="K25" s="20">
        <v>39.99</v>
      </c>
      <c r="L25" s="6" t="s">
        <v>111</v>
      </c>
      <c r="M25" s="6" t="s">
        <v>112</v>
      </c>
      <c r="N25" s="6" t="s">
        <v>218</v>
      </c>
      <c r="O25" s="6" t="s">
        <v>114</v>
      </c>
      <c r="P25" s="26" t="s">
        <v>180</v>
      </c>
      <c r="Q25" s="6" t="s">
        <v>64</v>
      </c>
      <c r="R25" s="6" t="s">
        <v>67</v>
      </c>
      <c r="S25" s="6" t="s">
        <v>58</v>
      </c>
      <c r="T25" s="6">
        <f>VLOOKUP($C25,'Food Pairing Data'!$C$2:$S$188,5)</f>
        <v>0</v>
      </c>
      <c r="U25" s="6">
        <f>VLOOKUP($C25,'Food Pairing Data'!$C$2:$S$188,6)</f>
        <v>0</v>
      </c>
      <c r="V25" s="6">
        <f>VLOOKUP($C25,'Food Pairing Data'!$C$2:$S$188,7)</f>
        <v>0</v>
      </c>
      <c r="W25" s="6">
        <f>VLOOKUP($C25,'Food Pairing Data'!$C$2:$S$188,8)</f>
        <v>0</v>
      </c>
      <c r="X25" s="6">
        <f>VLOOKUP($C25,'Food Pairing Data'!$C$2:$S$188,9)</f>
        <v>0</v>
      </c>
      <c r="Y25" s="6">
        <f>VLOOKUP($C25,'Food Pairing Data'!$C$2:$S$188,10)</f>
        <v>0</v>
      </c>
      <c r="Z25" s="6">
        <f>VLOOKUP($C25,'Food Pairing Data'!$C$2:$S$188,11)</f>
        <v>0</v>
      </c>
      <c r="AA25" s="6">
        <f>VLOOKUP($C25,'Food Pairing Data'!$C$2:$S$188,12)</f>
        <v>0</v>
      </c>
      <c r="AB25" s="6">
        <f>VLOOKUP($C25,'Food Pairing Data'!$C$2:$S$188,13)</f>
        <v>0</v>
      </c>
      <c r="AC25" s="6">
        <f>VLOOKUP($C25,'Food Pairing Data'!$C$2:$S$188,14)</f>
        <v>1</v>
      </c>
      <c r="AD25" s="6">
        <f>VLOOKUP($C25,'Food Pairing Data'!$C$2:$S$188,15)</f>
        <v>0</v>
      </c>
      <c r="AE25" s="6">
        <f>VLOOKUP($C25,'Food Pairing Data'!$C$2:$S$188,16)</f>
        <v>0</v>
      </c>
      <c r="AF25" s="6">
        <f>VLOOKUP($C25,'Food Pairing Data'!$C$2:$S$188,17)</f>
        <v>0</v>
      </c>
      <c r="AG25" s="6" t="s">
        <v>217</v>
      </c>
      <c r="AH25" s="6" t="s">
        <v>163</v>
      </c>
    </row>
    <row r="26" spans="1:34" ht="14">
      <c r="A26" s="6">
        <f t="shared" si="0"/>
        <v>24</v>
      </c>
      <c r="B26" s="6" t="s">
        <v>181</v>
      </c>
      <c r="C26" s="6" t="s">
        <v>226</v>
      </c>
      <c r="D26" s="6" t="s">
        <v>163</v>
      </c>
      <c r="E26" s="22">
        <f>HLOOKUP(Output!$F$6,'Raw Data'!$T$2:$BO$88,(A26+1),)</f>
        <v>0</v>
      </c>
      <c r="F26" s="23">
        <f>IF(D26=Output!$B$6,1,0)</f>
        <v>1</v>
      </c>
      <c r="G26" s="23">
        <f>IF(K26&lt;=Output!$C$6,(200-'Raw Data'!K26),0)</f>
        <v>175.01</v>
      </c>
      <c r="H26" s="23">
        <v>4</v>
      </c>
      <c r="I26" s="24">
        <f>SUMPRODUCT(F26:H26,Output!$B$7:$D$7)*E26</f>
        <v>0</v>
      </c>
      <c r="J26" s="25">
        <v>0</v>
      </c>
      <c r="K26" s="20">
        <v>24.99</v>
      </c>
      <c r="L26" s="6" t="s">
        <v>170</v>
      </c>
      <c r="M26" s="6" t="s">
        <v>227</v>
      </c>
      <c r="N26" s="6" t="s">
        <v>172</v>
      </c>
      <c r="O26" s="6" t="s">
        <v>186</v>
      </c>
      <c r="P26" s="26" t="s">
        <v>28</v>
      </c>
      <c r="Q26" s="6" t="s">
        <v>64</v>
      </c>
      <c r="R26" s="6" t="s">
        <v>72</v>
      </c>
      <c r="S26" s="6" t="s">
        <v>239</v>
      </c>
      <c r="T26" s="6">
        <f>VLOOKUP($C26,'Food Pairing Data'!$C$2:$S$188,5)</f>
        <v>0</v>
      </c>
      <c r="U26" s="6">
        <f>VLOOKUP($C26,'Food Pairing Data'!$C$2:$S$188,6)</f>
        <v>0</v>
      </c>
      <c r="V26" s="6">
        <f>VLOOKUP($C26,'Food Pairing Data'!$C$2:$S$188,7)</f>
        <v>0</v>
      </c>
      <c r="W26" s="6">
        <f>VLOOKUP($C26,'Food Pairing Data'!$C$2:$S$188,8)</f>
        <v>0</v>
      </c>
      <c r="X26" s="6">
        <f>VLOOKUP($C26,'Food Pairing Data'!$C$2:$S$188,9)</f>
        <v>0</v>
      </c>
      <c r="Y26" s="6">
        <f>VLOOKUP($C26,'Food Pairing Data'!$C$2:$S$188,10)</f>
        <v>0</v>
      </c>
      <c r="Z26" s="6">
        <f>VLOOKUP($C26,'Food Pairing Data'!$C$2:$S$188,11)</f>
        <v>0</v>
      </c>
      <c r="AA26" s="6">
        <f>VLOOKUP($C26,'Food Pairing Data'!$C$2:$S$188,12)</f>
        <v>0</v>
      </c>
      <c r="AB26" s="6">
        <f>VLOOKUP($C26,'Food Pairing Data'!$C$2:$S$188,13)</f>
        <v>0</v>
      </c>
      <c r="AC26" s="6">
        <f>VLOOKUP($C26,'Food Pairing Data'!$C$2:$S$188,14)</f>
        <v>1</v>
      </c>
      <c r="AD26" s="6">
        <f>VLOOKUP($C26,'Food Pairing Data'!$C$2:$S$188,15)</f>
        <v>0</v>
      </c>
      <c r="AE26" s="6">
        <f>VLOOKUP($C26,'Food Pairing Data'!$C$2:$S$188,16)</f>
        <v>0</v>
      </c>
      <c r="AF26" s="6">
        <f>VLOOKUP($C26,'Food Pairing Data'!$C$2:$S$188,17)</f>
        <v>0</v>
      </c>
      <c r="AG26" s="6" t="s">
        <v>226</v>
      </c>
      <c r="AH26" s="6" t="s">
        <v>163</v>
      </c>
    </row>
    <row r="27" spans="1:34" ht="14">
      <c r="A27" s="6">
        <f t="shared" si="0"/>
        <v>25</v>
      </c>
      <c r="B27" s="6" t="s">
        <v>23</v>
      </c>
      <c r="C27" s="6" t="s">
        <v>189</v>
      </c>
      <c r="D27" s="6" t="s">
        <v>163</v>
      </c>
      <c r="E27" s="22">
        <f>HLOOKUP(Output!$F$6,'Raw Data'!$T$2:$BO$88,(A27+1),)</f>
        <v>0</v>
      </c>
      <c r="F27" s="23">
        <f>IF(D27=Output!$B$6,1,0)</f>
        <v>1</v>
      </c>
      <c r="G27" s="23">
        <f>IF(K27&lt;=Output!$C$6,(200-'Raw Data'!K27),0)</f>
        <v>185.01</v>
      </c>
      <c r="H27" s="23">
        <v>4</v>
      </c>
      <c r="I27" s="24">
        <f>SUMPRODUCT(F27:H27,Output!$B$7:$D$7)*E27</f>
        <v>0</v>
      </c>
      <c r="J27" s="25">
        <v>0</v>
      </c>
      <c r="K27" s="20">
        <v>14.99</v>
      </c>
      <c r="L27" s="6" t="s">
        <v>314</v>
      </c>
      <c r="M27" s="6" t="s">
        <v>315</v>
      </c>
      <c r="N27" s="6" t="s">
        <v>316</v>
      </c>
      <c r="O27" s="6" t="s">
        <v>317</v>
      </c>
      <c r="P27" s="26">
        <v>13.5</v>
      </c>
      <c r="Q27" s="6" t="s">
        <v>318</v>
      </c>
      <c r="R27" s="6" t="s">
        <v>319</v>
      </c>
      <c r="S27" s="6" t="s">
        <v>320</v>
      </c>
      <c r="T27" s="6">
        <f>VLOOKUP($C27,'Food Pairing Data'!$C$2:$S$188,5)</f>
        <v>0</v>
      </c>
      <c r="U27" s="6">
        <f>VLOOKUP($C27,'Food Pairing Data'!$C$2:$S$188,6)</f>
        <v>0</v>
      </c>
      <c r="V27" s="6">
        <f>VLOOKUP($C27,'Food Pairing Data'!$C$2:$S$188,7)</f>
        <v>0</v>
      </c>
      <c r="W27" s="6">
        <f>VLOOKUP($C27,'Food Pairing Data'!$C$2:$S$188,8)</f>
        <v>0</v>
      </c>
      <c r="X27" s="6">
        <f>VLOOKUP($C27,'Food Pairing Data'!$C$2:$S$188,9)</f>
        <v>0</v>
      </c>
      <c r="Y27" s="6">
        <f>VLOOKUP($C27,'Food Pairing Data'!$C$2:$S$188,10)</f>
        <v>0</v>
      </c>
      <c r="Z27" s="6">
        <f>VLOOKUP($C27,'Food Pairing Data'!$C$2:$S$188,11)</f>
        <v>0</v>
      </c>
      <c r="AA27" s="6">
        <f>VLOOKUP($C27,'Food Pairing Data'!$C$2:$S$188,12)</f>
        <v>0</v>
      </c>
      <c r="AB27" s="6">
        <f>VLOOKUP($C27,'Food Pairing Data'!$C$2:$S$188,13)</f>
        <v>0</v>
      </c>
      <c r="AC27" s="6">
        <f>VLOOKUP($C27,'Food Pairing Data'!$C$2:$S$188,14)</f>
        <v>1</v>
      </c>
      <c r="AD27" s="6">
        <f>VLOOKUP($C27,'Food Pairing Data'!$C$2:$S$188,15)</f>
        <v>0</v>
      </c>
      <c r="AE27" s="6">
        <f>VLOOKUP($C27,'Food Pairing Data'!$C$2:$S$188,16)</f>
        <v>0</v>
      </c>
      <c r="AF27" s="6">
        <f>VLOOKUP($C27,'Food Pairing Data'!$C$2:$S$188,17)</f>
        <v>0</v>
      </c>
      <c r="AG27" s="6" t="s">
        <v>189</v>
      </c>
      <c r="AH27" s="6" t="s">
        <v>163</v>
      </c>
    </row>
    <row r="28" spans="1:34" ht="14">
      <c r="A28" s="6">
        <f t="shared" si="0"/>
        <v>26</v>
      </c>
      <c r="B28" s="6" t="s">
        <v>23</v>
      </c>
      <c r="C28" s="6" t="s">
        <v>191</v>
      </c>
      <c r="D28" s="6" t="s">
        <v>163</v>
      </c>
      <c r="E28" s="22">
        <f>HLOOKUP(Output!$F$6,'Raw Data'!$T$2:$BO$88,(A28+1),)</f>
        <v>0</v>
      </c>
      <c r="F28" s="23">
        <f>IF(D28=Output!$B$6,1,0)</f>
        <v>1</v>
      </c>
      <c r="G28" s="23">
        <f>IF(K28&lt;=Output!$C$6,(200-'Raw Data'!K28),0)</f>
        <v>185.01</v>
      </c>
      <c r="H28" s="23">
        <v>4</v>
      </c>
      <c r="I28" s="24">
        <f>SUMPRODUCT(F28:H28,Output!$B$7:$D$7)*E28</f>
        <v>0</v>
      </c>
      <c r="J28" s="25">
        <v>0</v>
      </c>
      <c r="K28" s="20">
        <v>14.99</v>
      </c>
      <c r="L28" s="6" t="s">
        <v>321</v>
      </c>
      <c r="M28" s="6" t="s">
        <v>322</v>
      </c>
      <c r="N28" s="6" t="s">
        <v>386</v>
      </c>
      <c r="O28" s="6" t="s">
        <v>387</v>
      </c>
      <c r="P28" s="26">
        <v>13.5</v>
      </c>
      <c r="Q28" s="6" t="s">
        <v>388</v>
      </c>
      <c r="R28" s="6" t="s">
        <v>389</v>
      </c>
      <c r="S28" s="6" t="s">
        <v>390</v>
      </c>
      <c r="T28" s="6">
        <f>VLOOKUP($C28,'Food Pairing Data'!$C$2:$S$188,5)</f>
        <v>0</v>
      </c>
      <c r="U28" s="6">
        <f>VLOOKUP($C28,'Food Pairing Data'!$C$2:$S$188,6)</f>
        <v>0</v>
      </c>
      <c r="V28" s="6">
        <f>VLOOKUP($C28,'Food Pairing Data'!$C$2:$S$188,7)</f>
        <v>0</v>
      </c>
      <c r="W28" s="6">
        <f>VLOOKUP($C28,'Food Pairing Data'!$C$2:$S$188,8)</f>
        <v>0</v>
      </c>
      <c r="X28" s="6">
        <f>VLOOKUP($C28,'Food Pairing Data'!$C$2:$S$188,9)</f>
        <v>0</v>
      </c>
      <c r="Y28" s="6">
        <f>VLOOKUP($C28,'Food Pairing Data'!$C$2:$S$188,10)</f>
        <v>0</v>
      </c>
      <c r="Z28" s="6">
        <f>VLOOKUP($C28,'Food Pairing Data'!$C$2:$S$188,11)</f>
        <v>0</v>
      </c>
      <c r="AA28" s="6">
        <f>VLOOKUP($C28,'Food Pairing Data'!$C$2:$S$188,12)</f>
        <v>0</v>
      </c>
      <c r="AB28" s="6">
        <f>VLOOKUP($C28,'Food Pairing Data'!$C$2:$S$188,13)</f>
        <v>0</v>
      </c>
      <c r="AC28" s="6">
        <f>VLOOKUP($C28,'Food Pairing Data'!$C$2:$S$188,14)</f>
        <v>1</v>
      </c>
      <c r="AD28" s="6">
        <f>VLOOKUP($C28,'Food Pairing Data'!$C$2:$S$188,15)</f>
        <v>0</v>
      </c>
      <c r="AE28" s="6">
        <f>VLOOKUP($C28,'Food Pairing Data'!$C$2:$S$188,16)</f>
        <v>0</v>
      </c>
      <c r="AF28" s="6">
        <f>VLOOKUP($C28,'Food Pairing Data'!$C$2:$S$188,17)</f>
        <v>0</v>
      </c>
      <c r="AG28" s="6" t="s">
        <v>191</v>
      </c>
      <c r="AH28" s="6" t="s">
        <v>163</v>
      </c>
    </row>
    <row r="29" spans="1:34" ht="14">
      <c r="A29" s="6">
        <f t="shared" si="0"/>
        <v>27</v>
      </c>
      <c r="B29" s="6" t="s">
        <v>23</v>
      </c>
      <c r="C29" s="6" t="s">
        <v>196</v>
      </c>
      <c r="D29" s="6" t="s">
        <v>163</v>
      </c>
      <c r="E29" s="22">
        <f>HLOOKUP(Output!$F$6,'Raw Data'!$T$2:$BO$88,(A29+1),)</f>
        <v>0</v>
      </c>
      <c r="F29" s="23">
        <f>IF(D29=Output!$B$6,1,0)</f>
        <v>1</v>
      </c>
      <c r="G29" s="23">
        <f>IF(K29&lt;=Output!$C$6,(200-'Raw Data'!K29),0)</f>
        <v>186.01</v>
      </c>
      <c r="H29" s="23">
        <v>4</v>
      </c>
      <c r="I29" s="24">
        <f>SUMPRODUCT(F29:H29,Output!$B$7:$D$7)*E29</f>
        <v>0</v>
      </c>
      <c r="J29" s="25">
        <v>0</v>
      </c>
      <c r="K29" s="20">
        <v>13.99</v>
      </c>
      <c r="L29" s="6" t="s">
        <v>391</v>
      </c>
      <c r="M29" s="6" t="s">
        <v>392</v>
      </c>
      <c r="N29" s="6" t="s">
        <v>393</v>
      </c>
      <c r="O29" s="6" t="s">
        <v>394</v>
      </c>
      <c r="P29" s="26">
        <v>14.5</v>
      </c>
      <c r="Q29" s="6" t="s">
        <v>395</v>
      </c>
      <c r="R29" s="6" t="s">
        <v>396</v>
      </c>
      <c r="S29" s="6" t="s">
        <v>397</v>
      </c>
      <c r="T29" s="6">
        <f>VLOOKUP($C29,'Food Pairing Data'!$C$2:$S$188,5)</f>
        <v>0</v>
      </c>
      <c r="U29" s="6">
        <f>VLOOKUP($C29,'Food Pairing Data'!$C$2:$S$188,6)</f>
        <v>0</v>
      </c>
      <c r="V29" s="6">
        <f>VLOOKUP($C29,'Food Pairing Data'!$C$2:$S$188,7)</f>
        <v>0</v>
      </c>
      <c r="W29" s="6">
        <f>VLOOKUP($C29,'Food Pairing Data'!$C$2:$S$188,8)</f>
        <v>0</v>
      </c>
      <c r="X29" s="6">
        <f>VLOOKUP($C29,'Food Pairing Data'!$C$2:$S$188,9)</f>
        <v>0</v>
      </c>
      <c r="Y29" s="6">
        <f>VLOOKUP($C29,'Food Pairing Data'!$C$2:$S$188,10)</f>
        <v>0</v>
      </c>
      <c r="Z29" s="6">
        <f>VLOOKUP($C29,'Food Pairing Data'!$C$2:$S$188,11)</f>
        <v>0</v>
      </c>
      <c r="AA29" s="6">
        <f>VLOOKUP($C29,'Food Pairing Data'!$C$2:$S$188,12)</f>
        <v>0</v>
      </c>
      <c r="AB29" s="6">
        <f>VLOOKUP($C29,'Food Pairing Data'!$C$2:$S$188,13)</f>
        <v>0</v>
      </c>
      <c r="AC29" s="6">
        <f>VLOOKUP($C29,'Food Pairing Data'!$C$2:$S$188,14)</f>
        <v>1</v>
      </c>
      <c r="AD29" s="6">
        <f>VLOOKUP($C29,'Food Pairing Data'!$C$2:$S$188,15)</f>
        <v>0</v>
      </c>
      <c r="AE29" s="6">
        <f>VLOOKUP($C29,'Food Pairing Data'!$C$2:$S$188,16)</f>
        <v>0</v>
      </c>
      <c r="AF29" s="6">
        <f>VLOOKUP($C29,'Food Pairing Data'!$C$2:$S$188,17)</f>
        <v>0</v>
      </c>
      <c r="AG29" s="6" t="s">
        <v>196</v>
      </c>
      <c r="AH29" s="6" t="s">
        <v>163</v>
      </c>
    </row>
    <row r="30" spans="1:34" ht="14">
      <c r="A30" s="6">
        <f t="shared" si="0"/>
        <v>28</v>
      </c>
      <c r="B30" s="6" t="s">
        <v>23</v>
      </c>
      <c r="C30" s="6" t="s">
        <v>288</v>
      </c>
      <c r="D30" s="6" t="s">
        <v>163</v>
      </c>
      <c r="E30" s="22">
        <f>HLOOKUP(Output!$F$6,'Raw Data'!$T$2:$BO$88,(A30+1),)</f>
        <v>0</v>
      </c>
      <c r="F30" s="23">
        <f>IF(D30=Output!$B$6,1,0)</f>
        <v>1</v>
      </c>
      <c r="G30" s="23">
        <f>IF(K30&lt;=Output!$C$6,(200-'Raw Data'!K30),0)</f>
        <v>187.01</v>
      </c>
      <c r="H30" s="23">
        <v>4</v>
      </c>
      <c r="I30" s="24">
        <f>SUMPRODUCT(F30:H30,Output!$B$7:$D$7)*E30</f>
        <v>0</v>
      </c>
      <c r="J30" s="25">
        <v>0</v>
      </c>
      <c r="K30" s="20">
        <v>12.99</v>
      </c>
      <c r="L30" s="6" t="s">
        <v>398</v>
      </c>
      <c r="M30" s="6" t="s">
        <v>399</v>
      </c>
      <c r="N30" s="6" t="s">
        <v>400</v>
      </c>
      <c r="O30" s="6" t="s">
        <v>401</v>
      </c>
      <c r="P30" s="26">
        <v>13</v>
      </c>
      <c r="Q30" s="6" t="s">
        <v>395</v>
      </c>
      <c r="R30" s="6" t="s">
        <v>402</v>
      </c>
      <c r="S30" s="6" t="s">
        <v>390</v>
      </c>
      <c r="T30" s="6">
        <f>VLOOKUP($C30,'Food Pairing Data'!$C$2:$S$188,5)</f>
        <v>0</v>
      </c>
      <c r="U30" s="6">
        <f>VLOOKUP($C30,'Food Pairing Data'!$C$2:$S$188,6)</f>
        <v>0</v>
      </c>
      <c r="V30" s="6">
        <f>VLOOKUP($C30,'Food Pairing Data'!$C$2:$S$188,7)</f>
        <v>0</v>
      </c>
      <c r="W30" s="6">
        <f>VLOOKUP($C30,'Food Pairing Data'!$C$2:$S$188,8)</f>
        <v>1</v>
      </c>
      <c r="X30" s="6">
        <f>VLOOKUP($C30,'Food Pairing Data'!$C$2:$S$188,9)</f>
        <v>0</v>
      </c>
      <c r="Y30" s="6">
        <f>VLOOKUP($C30,'Food Pairing Data'!$C$2:$S$188,10)</f>
        <v>1</v>
      </c>
      <c r="Z30" s="6">
        <f>VLOOKUP($C30,'Food Pairing Data'!$C$2:$S$188,11)</f>
        <v>0</v>
      </c>
      <c r="AA30" s="6">
        <f>VLOOKUP($C30,'Food Pairing Data'!$C$2:$S$188,12)</f>
        <v>0</v>
      </c>
      <c r="AB30" s="6">
        <f>VLOOKUP($C30,'Food Pairing Data'!$C$2:$S$188,13)</f>
        <v>0</v>
      </c>
      <c r="AC30" s="6">
        <f>VLOOKUP($C30,'Food Pairing Data'!$C$2:$S$188,14)</f>
        <v>0</v>
      </c>
      <c r="AD30" s="6">
        <f>VLOOKUP($C30,'Food Pairing Data'!$C$2:$S$188,15)</f>
        <v>0</v>
      </c>
      <c r="AE30" s="6">
        <f>VLOOKUP($C30,'Food Pairing Data'!$C$2:$S$188,16)</f>
        <v>0</v>
      </c>
      <c r="AF30" s="6">
        <f>VLOOKUP($C30,'Food Pairing Data'!$C$2:$S$188,17)</f>
        <v>0</v>
      </c>
      <c r="AG30" s="6" t="s">
        <v>288</v>
      </c>
      <c r="AH30" s="6" t="s">
        <v>163</v>
      </c>
    </row>
    <row r="31" spans="1:34" ht="14">
      <c r="A31" s="6">
        <f t="shared" si="0"/>
        <v>29</v>
      </c>
      <c r="B31" s="6" t="s">
        <v>23</v>
      </c>
      <c r="C31" s="6" t="s">
        <v>289</v>
      </c>
      <c r="D31" s="6" t="s">
        <v>163</v>
      </c>
      <c r="E31" s="22">
        <f>HLOOKUP(Output!$F$6,'Raw Data'!$T$2:$BO$88,(A31+1),)</f>
        <v>0</v>
      </c>
      <c r="F31" s="23">
        <f>IF(D31=Output!$B$6,1,0)</f>
        <v>1</v>
      </c>
      <c r="G31" s="23">
        <f>IF(K31&lt;=Output!$C$6,(200-'Raw Data'!K31),0)</f>
        <v>188.01</v>
      </c>
      <c r="H31" s="23">
        <v>4</v>
      </c>
      <c r="I31" s="24">
        <f>SUMPRODUCT(F31:H31,Output!$B$7:$D$7)*E31</f>
        <v>0</v>
      </c>
      <c r="J31" s="25">
        <v>0</v>
      </c>
      <c r="K31" s="20">
        <v>11.99</v>
      </c>
      <c r="L31" s="6" t="s">
        <v>403</v>
      </c>
      <c r="M31" s="6" t="s">
        <v>404</v>
      </c>
      <c r="N31" s="6" t="s">
        <v>405</v>
      </c>
      <c r="O31" s="6" t="s">
        <v>406</v>
      </c>
      <c r="P31" s="26">
        <v>14.5</v>
      </c>
      <c r="Q31" s="6" t="s">
        <v>195</v>
      </c>
      <c r="R31" s="6" t="s">
        <v>199</v>
      </c>
      <c r="S31" s="6" t="s">
        <v>190</v>
      </c>
      <c r="T31" s="6">
        <f>VLOOKUP($C31,'Food Pairing Data'!$C$2:$S$188,5)</f>
        <v>0</v>
      </c>
      <c r="U31" s="6">
        <f>VLOOKUP($C31,'Food Pairing Data'!$C$2:$S$188,6)</f>
        <v>0</v>
      </c>
      <c r="V31" s="6">
        <f>VLOOKUP($C31,'Food Pairing Data'!$C$2:$S$188,7)</f>
        <v>0</v>
      </c>
      <c r="W31" s="6">
        <f>VLOOKUP($C31,'Food Pairing Data'!$C$2:$S$188,8)</f>
        <v>1</v>
      </c>
      <c r="X31" s="6">
        <f>VLOOKUP($C31,'Food Pairing Data'!$C$2:$S$188,9)</f>
        <v>0</v>
      </c>
      <c r="Y31" s="6">
        <f>VLOOKUP($C31,'Food Pairing Data'!$C$2:$S$188,10)</f>
        <v>1</v>
      </c>
      <c r="Z31" s="6">
        <f>VLOOKUP($C31,'Food Pairing Data'!$C$2:$S$188,11)</f>
        <v>0</v>
      </c>
      <c r="AA31" s="6">
        <f>VLOOKUP($C31,'Food Pairing Data'!$C$2:$S$188,12)</f>
        <v>0</v>
      </c>
      <c r="AB31" s="6">
        <f>VLOOKUP($C31,'Food Pairing Data'!$C$2:$S$188,13)</f>
        <v>0</v>
      </c>
      <c r="AC31" s="6">
        <f>VLOOKUP($C31,'Food Pairing Data'!$C$2:$S$188,14)</f>
        <v>0</v>
      </c>
      <c r="AD31" s="6">
        <f>VLOOKUP($C31,'Food Pairing Data'!$C$2:$S$188,15)</f>
        <v>0</v>
      </c>
      <c r="AE31" s="6">
        <f>VLOOKUP($C31,'Food Pairing Data'!$C$2:$S$188,16)</f>
        <v>0</v>
      </c>
      <c r="AF31" s="6">
        <f>VLOOKUP($C31,'Food Pairing Data'!$C$2:$S$188,17)</f>
        <v>0</v>
      </c>
      <c r="AG31" s="6" t="s">
        <v>289</v>
      </c>
      <c r="AH31" s="6" t="s">
        <v>163</v>
      </c>
    </row>
    <row r="32" spans="1:34" ht="14">
      <c r="A32" s="6">
        <f t="shared" si="0"/>
        <v>30</v>
      </c>
      <c r="B32" s="6" t="s">
        <v>245</v>
      </c>
      <c r="C32" s="6" t="s">
        <v>290</v>
      </c>
      <c r="D32" s="6" t="s">
        <v>163</v>
      </c>
      <c r="E32" s="22">
        <f>HLOOKUP(Output!$F$6,'Raw Data'!$T$2:$BO$88,(A32+1),)</f>
        <v>1</v>
      </c>
      <c r="F32" s="23">
        <f>IF(D32=Output!$B$6,1,0)</f>
        <v>1</v>
      </c>
      <c r="G32" s="23">
        <f>IF(K32&lt;=Output!$C$6,(200-'Raw Data'!K32),0)</f>
        <v>191.01</v>
      </c>
      <c r="H32" s="23">
        <v>4.5</v>
      </c>
      <c r="I32" s="24">
        <f>SUMPRODUCT(F32:H32,Output!$B$7:$D$7)*E32</f>
        <v>115.706</v>
      </c>
      <c r="J32" s="25">
        <v>0</v>
      </c>
      <c r="K32" s="20">
        <v>8.99</v>
      </c>
      <c r="L32" s="6" t="s">
        <v>407</v>
      </c>
      <c r="M32" s="6" t="s">
        <v>408</v>
      </c>
      <c r="N32" s="6" t="s">
        <v>409</v>
      </c>
      <c r="O32" s="6" t="s">
        <v>410</v>
      </c>
      <c r="P32" s="26">
        <v>13</v>
      </c>
      <c r="Q32" s="6" t="s">
        <v>199</v>
      </c>
      <c r="R32" s="6" t="s">
        <v>195</v>
      </c>
      <c r="S32" s="6" t="s">
        <v>411</v>
      </c>
      <c r="T32" s="6">
        <v>1</v>
      </c>
      <c r="U32" s="6">
        <v>1</v>
      </c>
      <c r="V32" s="6">
        <v>1</v>
      </c>
      <c r="W32" s="6">
        <v>0</v>
      </c>
      <c r="X32" s="6">
        <v>0</v>
      </c>
      <c r="Y32" s="6">
        <v>0</v>
      </c>
      <c r="Z32" s="6">
        <v>0</v>
      </c>
      <c r="AA32" s="6">
        <v>0</v>
      </c>
      <c r="AB32" s="6">
        <v>0</v>
      </c>
      <c r="AC32" s="6">
        <v>0</v>
      </c>
      <c r="AD32" s="6">
        <v>0</v>
      </c>
      <c r="AE32" s="6">
        <v>0</v>
      </c>
      <c r="AF32" s="6">
        <v>0</v>
      </c>
      <c r="AG32" s="6" t="s">
        <v>290</v>
      </c>
      <c r="AH32" s="6" t="s">
        <v>163</v>
      </c>
    </row>
    <row r="33" spans="1:34" ht="14">
      <c r="A33" s="6">
        <f t="shared" si="0"/>
        <v>31</v>
      </c>
      <c r="B33" s="6" t="s">
        <v>161</v>
      </c>
      <c r="C33" s="6" t="s">
        <v>259</v>
      </c>
      <c r="D33" s="6" t="s">
        <v>163</v>
      </c>
      <c r="E33" s="22">
        <f>HLOOKUP(Output!$F$6,'Raw Data'!$T$2:$BO$88,(A33+1),)</f>
        <v>0</v>
      </c>
      <c r="F33" s="23">
        <f>IF(D33=Output!$B$6,1,0)</f>
        <v>1</v>
      </c>
      <c r="G33" s="23">
        <f>IF(K33&lt;=Output!$C$6,(200-'Raw Data'!K33),0)</f>
        <v>0</v>
      </c>
      <c r="H33" s="23">
        <v>4.5</v>
      </c>
      <c r="I33" s="24">
        <f>SUMPRODUCT(F33:H33,Output!$B$7:$D$7)*E33</f>
        <v>0</v>
      </c>
      <c r="J33" s="25">
        <v>0</v>
      </c>
      <c r="K33" s="20">
        <v>84.99</v>
      </c>
      <c r="L33" s="6" t="s">
        <v>412</v>
      </c>
      <c r="M33" s="6" t="s">
        <v>413</v>
      </c>
      <c r="N33" s="6" t="s">
        <v>414</v>
      </c>
      <c r="O33" s="6" t="s">
        <v>415</v>
      </c>
      <c r="P33" s="26">
        <v>14</v>
      </c>
      <c r="Q33" s="6" t="s">
        <v>253</v>
      </c>
      <c r="R33" s="6" t="s">
        <v>254</v>
      </c>
      <c r="S33" s="6" t="s">
        <v>255</v>
      </c>
      <c r="T33" s="6">
        <f>VLOOKUP($C33,'Food Pairing Data'!$C$2:$S$188,5)</f>
        <v>0</v>
      </c>
      <c r="U33" s="6">
        <f>VLOOKUP($C33,'Food Pairing Data'!$C$2:$S$188,6)</f>
        <v>0</v>
      </c>
      <c r="V33" s="6">
        <f>VLOOKUP($C33,'Food Pairing Data'!$C$2:$S$188,7)</f>
        <v>0</v>
      </c>
      <c r="W33" s="6">
        <f>VLOOKUP($C33,'Food Pairing Data'!$C$2:$S$188,8)</f>
        <v>1</v>
      </c>
      <c r="X33" s="6">
        <f>VLOOKUP($C33,'Food Pairing Data'!$C$2:$S$188,9)</f>
        <v>0</v>
      </c>
      <c r="Y33" s="6">
        <f>VLOOKUP($C33,'Food Pairing Data'!$C$2:$S$188,10)</f>
        <v>1</v>
      </c>
      <c r="Z33" s="6">
        <f>VLOOKUP($C33,'Food Pairing Data'!$C$2:$S$188,11)</f>
        <v>0</v>
      </c>
      <c r="AA33" s="6">
        <f>VLOOKUP($C33,'Food Pairing Data'!$C$2:$S$188,12)</f>
        <v>0</v>
      </c>
      <c r="AB33" s="6">
        <f>VLOOKUP($C33,'Food Pairing Data'!$C$2:$S$188,13)</f>
        <v>0</v>
      </c>
      <c r="AC33" s="6">
        <f>VLOOKUP($C33,'Food Pairing Data'!$C$2:$S$188,14)</f>
        <v>0</v>
      </c>
      <c r="AD33" s="6">
        <f>VLOOKUP($C33,'Food Pairing Data'!$C$2:$S$188,15)</f>
        <v>0</v>
      </c>
      <c r="AE33" s="6">
        <f>VLOOKUP($C33,'Food Pairing Data'!$C$2:$S$188,16)</f>
        <v>0</v>
      </c>
      <c r="AF33" s="6">
        <f>VLOOKUP($C33,'Food Pairing Data'!$C$2:$S$188,17)</f>
        <v>0</v>
      </c>
      <c r="AG33" s="6" t="s">
        <v>259</v>
      </c>
      <c r="AH33" s="6" t="s">
        <v>163</v>
      </c>
    </row>
    <row r="34" spans="1:34" ht="14">
      <c r="A34" s="6">
        <f t="shared" si="0"/>
        <v>32</v>
      </c>
      <c r="B34" s="6" t="s">
        <v>181</v>
      </c>
      <c r="C34" s="6" t="s">
        <v>293</v>
      </c>
      <c r="D34" s="6" t="s">
        <v>163</v>
      </c>
      <c r="E34" s="22">
        <f>HLOOKUP(Output!$F$6,'Raw Data'!$T$2:$BO$88,(A34+1),)</f>
        <v>0</v>
      </c>
      <c r="F34" s="23">
        <f>IF(D34=Output!$B$6,1,0)</f>
        <v>1</v>
      </c>
      <c r="G34" s="23">
        <f>IF(K34&lt;=Output!$C$6,(200-'Raw Data'!K34),0)</f>
        <v>0</v>
      </c>
      <c r="H34" s="23">
        <v>3.5</v>
      </c>
      <c r="I34" s="24">
        <f>SUMPRODUCT(F34:H34,Output!$B$7:$D$7)*E34</f>
        <v>0</v>
      </c>
      <c r="J34" s="25">
        <v>0</v>
      </c>
      <c r="K34" s="20">
        <v>39.99</v>
      </c>
      <c r="L34" s="6" t="s">
        <v>256</v>
      </c>
      <c r="M34" s="6" t="s">
        <v>257</v>
      </c>
      <c r="N34" s="6" t="s">
        <v>258</v>
      </c>
      <c r="O34" s="6" t="s">
        <v>420</v>
      </c>
      <c r="P34" s="26">
        <v>13</v>
      </c>
      <c r="Q34" s="6" t="s">
        <v>260</v>
      </c>
      <c r="R34" s="6" t="s">
        <v>261</v>
      </c>
      <c r="S34" s="6" t="s">
        <v>262</v>
      </c>
      <c r="T34" s="6">
        <f>VLOOKUP($C34,'Food Pairing Data'!$C$2:$S$188,5)</f>
        <v>0</v>
      </c>
      <c r="U34" s="6">
        <f>VLOOKUP($C34,'Food Pairing Data'!$C$2:$S$188,6)</f>
        <v>0</v>
      </c>
      <c r="V34" s="6">
        <f>VLOOKUP($C34,'Food Pairing Data'!$C$2:$S$188,7)</f>
        <v>0</v>
      </c>
      <c r="W34" s="6">
        <f>VLOOKUP($C34,'Food Pairing Data'!$C$2:$S$188,8)</f>
        <v>0</v>
      </c>
      <c r="X34" s="6">
        <f>VLOOKUP($C34,'Food Pairing Data'!$C$2:$S$188,9)</f>
        <v>0</v>
      </c>
      <c r="Y34" s="6">
        <f>VLOOKUP($C34,'Food Pairing Data'!$C$2:$S$188,10)</f>
        <v>0</v>
      </c>
      <c r="Z34" s="6">
        <f>VLOOKUP($C34,'Food Pairing Data'!$C$2:$S$188,11)</f>
        <v>0</v>
      </c>
      <c r="AA34" s="6">
        <f>VLOOKUP($C34,'Food Pairing Data'!$C$2:$S$188,12)</f>
        <v>0</v>
      </c>
      <c r="AB34" s="6">
        <f>VLOOKUP($C34,'Food Pairing Data'!$C$2:$S$188,13)</f>
        <v>0</v>
      </c>
      <c r="AC34" s="6">
        <f>VLOOKUP($C34,'Food Pairing Data'!$C$2:$S$188,14)</f>
        <v>1</v>
      </c>
      <c r="AD34" s="6">
        <f>VLOOKUP($C34,'Food Pairing Data'!$C$2:$S$188,15)</f>
        <v>0</v>
      </c>
      <c r="AE34" s="6">
        <f>VLOOKUP($C34,'Food Pairing Data'!$C$2:$S$188,16)</f>
        <v>0</v>
      </c>
      <c r="AF34" s="6">
        <f>VLOOKUP($C34,'Food Pairing Data'!$C$2:$S$188,17)</f>
        <v>0</v>
      </c>
      <c r="AG34" s="6" t="s">
        <v>293</v>
      </c>
      <c r="AH34" s="6" t="s">
        <v>163</v>
      </c>
    </row>
    <row r="35" spans="1:34" ht="14">
      <c r="A35" s="6">
        <f t="shared" si="0"/>
        <v>33</v>
      </c>
      <c r="B35" s="6" t="s">
        <v>181</v>
      </c>
      <c r="C35" s="6" t="s">
        <v>263</v>
      </c>
      <c r="D35" s="6" t="s">
        <v>163</v>
      </c>
      <c r="E35" s="22">
        <f>HLOOKUP(Output!$F$6,'Raw Data'!$T$2:$BO$88,(A35+1),)</f>
        <v>0</v>
      </c>
      <c r="F35" s="23">
        <f>IF(D35=Output!$B$6,1,0)</f>
        <v>1</v>
      </c>
      <c r="G35" s="23">
        <f>IF(K35&lt;=Output!$C$6,(200-'Raw Data'!K35),0)</f>
        <v>0</v>
      </c>
      <c r="H35" s="23">
        <v>3.5</v>
      </c>
      <c r="I35" s="24">
        <f>SUMPRODUCT(F35:H35,Output!$B$7:$D$7)*E35</f>
        <v>0</v>
      </c>
      <c r="J35" s="25">
        <v>0</v>
      </c>
      <c r="K35" s="20">
        <v>34.99</v>
      </c>
      <c r="L35" s="6" t="s">
        <v>264</v>
      </c>
      <c r="M35" s="6" t="s">
        <v>265</v>
      </c>
      <c r="N35" s="6" t="s">
        <v>266</v>
      </c>
      <c r="O35" s="6" t="s">
        <v>267</v>
      </c>
      <c r="P35" s="26">
        <v>14</v>
      </c>
      <c r="Q35" s="6" t="s">
        <v>268</v>
      </c>
      <c r="R35" s="6" t="s">
        <v>269</v>
      </c>
      <c r="S35" s="6" t="s">
        <v>270</v>
      </c>
      <c r="T35" s="6">
        <f>VLOOKUP($C35,'Food Pairing Data'!$C$2:$S$188,5)</f>
        <v>0</v>
      </c>
      <c r="U35" s="6">
        <f>VLOOKUP($C35,'Food Pairing Data'!$C$2:$S$188,6)</f>
        <v>0</v>
      </c>
      <c r="V35" s="6">
        <f>VLOOKUP($C35,'Food Pairing Data'!$C$2:$S$188,7)</f>
        <v>1</v>
      </c>
      <c r="W35" s="6">
        <f>VLOOKUP($C35,'Food Pairing Data'!$C$2:$S$188,8)</f>
        <v>1</v>
      </c>
      <c r="X35" s="6">
        <f>VLOOKUP($C35,'Food Pairing Data'!$C$2:$S$188,9)</f>
        <v>0</v>
      </c>
      <c r="Y35" s="6">
        <f>VLOOKUP($C35,'Food Pairing Data'!$C$2:$S$188,10)</f>
        <v>0</v>
      </c>
      <c r="Z35" s="6">
        <f>VLOOKUP($C35,'Food Pairing Data'!$C$2:$S$188,11)</f>
        <v>0</v>
      </c>
      <c r="AA35" s="6">
        <f>VLOOKUP($C35,'Food Pairing Data'!$C$2:$S$188,12)</f>
        <v>0</v>
      </c>
      <c r="AB35" s="6">
        <f>VLOOKUP($C35,'Food Pairing Data'!$C$2:$S$188,13)</f>
        <v>0</v>
      </c>
      <c r="AC35" s="6">
        <f>VLOOKUP($C35,'Food Pairing Data'!$C$2:$S$188,14)</f>
        <v>0</v>
      </c>
      <c r="AD35" s="6">
        <f>VLOOKUP($C35,'Food Pairing Data'!$C$2:$S$188,15)</f>
        <v>0</v>
      </c>
      <c r="AE35" s="6">
        <f>VLOOKUP($C35,'Food Pairing Data'!$C$2:$S$188,16)</f>
        <v>0</v>
      </c>
      <c r="AF35" s="6">
        <f>VLOOKUP($C35,'Food Pairing Data'!$C$2:$S$188,17)</f>
        <v>0</v>
      </c>
      <c r="AG35" s="6" t="s">
        <v>263</v>
      </c>
      <c r="AH35" s="6" t="s">
        <v>163</v>
      </c>
    </row>
    <row r="36" spans="1:34" ht="14">
      <c r="A36" s="6">
        <f t="shared" si="0"/>
        <v>34</v>
      </c>
      <c r="B36" s="6" t="s">
        <v>23</v>
      </c>
      <c r="C36" s="6" t="s">
        <v>271</v>
      </c>
      <c r="D36" s="6" t="s">
        <v>163</v>
      </c>
      <c r="E36" s="22">
        <f>HLOOKUP(Output!$F$6,'Raw Data'!$T$2:$BO$88,(A36+1),)</f>
        <v>0</v>
      </c>
      <c r="F36" s="23">
        <f>IF(D36=Output!$B$6,1,0)</f>
        <v>1</v>
      </c>
      <c r="G36" s="23">
        <f>IF(K36&lt;=Output!$C$6,(200-'Raw Data'!K36),0)</f>
        <v>180.01</v>
      </c>
      <c r="H36" s="23">
        <v>3.5</v>
      </c>
      <c r="I36" s="24">
        <f>SUMPRODUCT(F36:H36,Output!$B$7:$D$7)*E36</f>
        <v>0</v>
      </c>
      <c r="J36" s="25">
        <v>0</v>
      </c>
      <c r="K36" s="20">
        <v>19.989999999999998</v>
      </c>
      <c r="L36" s="6" t="s">
        <v>272</v>
      </c>
      <c r="M36" s="6" t="s">
        <v>273</v>
      </c>
      <c r="N36" s="6" t="s">
        <v>274</v>
      </c>
      <c r="O36" s="6" t="s">
        <v>275</v>
      </c>
      <c r="P36" s="26">
        <v>12.5</v>
      </c>
      <c r="Q36" s="6" t="s">
        <v>253</v>
      </c>
      <c r="R36" s="6" t="s">
        <v>276</v>
      </c>
      <c r="S36" s="6" t="s">
        <v>255</v>
      </c>
      <c r="T36" s="6">
        <f>VLOOKUP($C36,'Food Pairing Data'!$C$2:$S$188,5)</f>
        <v>0</v>
      </c>
      <c r="U36" s="6">
        <f>VLOOKUP($C36,'Food Pairing Data'!$C$2:$S$188,6)</f>
        <v>0</v>
      </c>
      <c r="V36" s="6">
        <f>VLOOKUP($C36,'Food Pairing Data'!$C$2:$S$188,7)</f>
        <v>0</v>
      </c>
      <c r="W36" s="6">
        <f>VLOOKUP($C36,'Food Pairing Data'!$C$2:$S$188,8)</f>
        <v>0</v>
      </c>
      <c r="X36" s="6">
        <f>VLOOKUP($C36,'Food Pairing Data'!$C$2:$S$188,9)</f>
        <v>0</v>
      </c>
      <c r="Y36" s="6">
        <f>VLOOKUP($C36,'Food Pairing Data'!$C$2:$S$188,10)</f>
        <v>0</v>
      </c>
      <c r="Z36" s="6">
        <f>VLOOKUP($C36,'Food Pairing Data'!$C$2:$S$188,11)</f>
        <v>0</v>
      </c>
      <c r="AA36" s="6">
        <f>VLOOKUP($C36,'Food Pairing Data'!$C$2:$S$188,12)</f>
        <v>0</v>
      </c>
      <c r="AB36" s="6">
        <f>VLOOKUP($C36,'Food Pairing Data'!$C$2:$S$188,13)</f>
        <v>0</v>
      </c>
      <c r="AC36" s="6">
        <f>VLOOKUP($C36,'Food Pairing Data'!$C$2:$S$188,14)</f>
        <v>1</v>
      </c>
      <c r="AD36" s="6">
        <f>VLOOKUP($C36,'Food Pairing Data'!$C$2:$S$188,15)</f>
        <v>0</v>
      </c>
      <c r="AE36" s="6">
        <f>VLOOKUP($C36,'Food Pairing Data'!$C$2:$S$188,16)</f>
        <v>0</v>
      </c>
      <c r="AF36" s="6">
        <f>VLOOKUP($C36,'Food Pairing Data'!$C$2:$S$188,17)</f>
        <v>0</v>
      </c>
      <c r="AG36" s="6" t="s">
        <v>271</v>
      </c>
      <c r="AH36" s="6" t="s">
        <v>163</v>
      </c>
    </row>
    <row r="37" spans="1:34" ht="14">
      <c r="A37" s="6">
        <f t="shared" si="0"/>
        <v>35</v>
      </c>
      <c r="B37" s="6" t="s">
        <v>23</v>
      </c>
      <c r="C37" s="6" t="s">
        <v>277</v>
      </c>
      <c r="D37" s="6" t="s">
        <v>163</v>
      </c>
      <c r="E37" s="22">
        <f>HLOOKUP(Output!$F$6,'Raw Data'!$T$2:$BO$88,(A37+1),)</f>
        <v>0</v>
      </c>
      <c r="F37" s="23">
        <f>IF(D37=Output!$B$6,1,0)</f>
        <v>1</v>
      </c>
      <c r="G37" s="23">
        <f>IF(K37&lt;=Output!$C$6,(200-'Raw Data'!K37),0)</f>
        <v>181.01</v>
      </c>
      <c r="H37" s="23">
        <v>3.5</v>
      </c>
      <c r="I37" s="24">
        <f>SUMPRODUCT(F37:H37,Output!$B$7:$D$7)*E37</f>
        <v>0</v>
      </c>
      <c r="J37" s="25">
        <v>0</v>
      </c>
      <c r="K37" s="20">
        <v>18.989999999999998</v>
      </c>
      <c r="L37" s="6" t="s">
        <v>412</v>
      </c>
      <c r="M37" s="6" t="s">
        <v>278</v>
      </c>
      <c r="N37" s="6" t="s">
        <v>279</v>
      </c>
      <c r="O37" s="6" t="s">
        <v>415</v>
      </c>
      <c r="P37" s="26">
        <v>12.9</v>
      </c>
      <c r="Q37" s="6" t="s">
        <v>253</v>
      </c>
      <c r="R37" s="6" t="s">
        <v>254</v>
      </c>
      <c r="S37" s="6" t="s">
        <v>255</v>
      </c>
      <c r="T37" s="6">
        <f>VLOOKUP($C37,'Food Pairing Data'!$C$2:$S$188,5)</f>
        <v>0</v>
      </c>
      <c r="U37" s="6">
        <f>VLOOKUP($C37,'Food Pairing Data'!$C$2:$S$188,6)</f>
        <v>0</v>
      </c>
      <c r="V37" s="6">
        <f>VLOOKUP($C37,'Food Pairing Data'!$C$2:$S$188,7)</f>
        <v>0</v>
      </c>
      <c r="W37" s="6">
        <f>VLOOKUP($C37,'Food Pairing Data'!$C$2:$S$188,8)</f>
        <v>0</v>
      </c>
      <c r="X37" s="6">
        <f>VLOOKUP($C37,'Food Pairing Data'!$C$2:$S$188,9)</f>
        <v>0</v>
      </c>
      <c r="Y37" s="6">
        <f>VLOOKUP($C37,'Food Pairing Data'!$C$2:$S$188,10)</f>
        <v>0</v>
      </c>
      <c r="Z37" s="6">
        <f>VLOOKUP($C37,'Food Pairing Data'!$C$2:$S$188,11)</f>
        <v>0</v>
      </c>
      <c r="AA37" s="6">
        <f>VLOOKUP($C37,'Food Pairing Data'!$C$2:$S$188,12)</f>
        <v>0</v>
      </c>
      <c r="AB37" s="6">
        <f>VLOOKUP($C37,'Food Pairing Data'!$C$2:$S$188,13)</f>
        <v>0</v>
      </c>
      <c r="AC37" s="6">
        <f>VLOOKUP($C37,'Food Pairing Data'!$C$2:$S$188,14)</f>
        <v>1</v>
      </c>
      <c r="AD37" s="6">
        <f>VLOOKUP($C37,'Food Pairing Data'!$C$2:$S$188,15)</f>
        <v>0</v>
      </c>
      <c r="AE37" s="6">
        <f>VLOOKUP($C37,'Food Pairing Data'!$C$2:$S$188,16)</f>
        <v>0</v>
      </c>
      <c r="AF37" s="6">
        <f>VLOOKUP($C37,'Food Pairing Data'!$C$2:$S$188,17)</f>
        <v>0</v>
      </c>
      <c r="AG37" s="6" t="s">
        <v>277</v>
      </c>
      <c r="AH37" s="6" t="s">
        <v>163</v>
      </c>
    </row>
    <row r="38" spans="1:34" ht="14">
      <c r="A38" s="6">
        <f t="shared" si="0"/>
        <v>36</v>
      </c>
      <c r="B38" s="6" t="s">
        <v>23</v>
      </c>
      <c r="C38" s="6" t="s">
        <v>280</v>
      </c>
      <c r="D38" s="6" t="s">
        <v>163</v>
      </c>
      <c r="E38" s="22">
        <f>HLOOKUP(Output!$F$6,'Raw Data'!$T$2:$BO$88,(A38+1),)</f>
        <v>0</v>
      </c>
      <c r="F38" s="23">
        <f>IF(D38=Output!$B$6,1,0)</f>
        <v>1</v>
      </c>
      <c r="G38" s="23">
        <f>IF(K38&lt;=Output!$C$6,(200-'Raw Data'!K38),0)</f>
        <v>182.01</v>
      </c>
      <c r="H38" s="23">
        <v>3.5</v>
      </c>
      <c r="I38" s="24">
        <f>SUMPRODUCT(F38:H38,Output!$B$7:$D$7)*E38</f>
        <v>0</v>
      </c>
      <c r="J38" s="25">
        <v>0</v>
      </c>
      <c r="K38" s="20">
        <v>17.989999999999998</v>
      </c>
      <c r="L38" s="6" t="s">
        <v>339</v>
      </c>
      <c r="M38" s="6" t="s">
        <v>281</v>
      </c>
      <c r="N38" s="6" t="s">
        <v>282</v>
      </c>
      <c r="O38" s="6" t="s">
        <v>283</v>
      </c>
      <c r="P38" s="26">
        <v>13</v>
      </c>
      <c r="Q38" s="6" t="s">
        <v>340</v>
      </c>
      <c r="R38" s="6" t="s">
        <v>192</v>
      </c>
      <c r="S38" s="6" t="s">
        <v>411</v>
      </c>
      <c r="T38" s="6">
        <f>VLOOKUP($C38,'Food Pairing Data'!$C$2:$S$188,5)</f>
        <v>0</v>
      </c>
      <c r="U38" s="6">
        <f>VLOOKUP($C38,'Food Pairing Data'!$C$2:$S$188,6)</f>
        <v>0</v>
      </c>
      <c r="V38" s="6">
        <f>VLOOKUP($C38,'Food Pairing Data'!$C$2:$S$188,7)</f>
        <v>0</v>
      </c>
      <c r="W38" s="6">
        <f>VLOOKUP($C38,'Food Pairing Data'!$C$2:$S$188,8)</f>
        <v>0</v>
      </c>
      <c r="X38" s="6">
        <f>VLOOKUP($C38,'Food Pairing Data'!$C$2:$S$188,9)</f>
        <v>0</v>
      </c>
      <c r="Y38" s="6">
        <f>VLOOKUP($C38,'Food Pairing Data'!$C$2:$S$188,10)</f>
        <v>0</v>
      </c>
      <c r="Z38" s="6">
        <f>VLOOKUP($C38,'Food Pairing Data'!$C$2:$S$188,11)</f>
        <v>0</v>
      </c>
      <c r="AA38" s="6">
        <f>VLOOKUP($C38,'Food Pairing Data'!$C$2:$S$188,12)</f>
        <v>0</v>
      </c>
      <c r="AB38" s="6">
        <f>VLOOKUP($C38,'Food Pairing Data'!$C$2:$S$188,13)</f>
        <v>0</v>
      </c>
      <c r="AC38" s="6">
        <f>VLOOKUP($C38,'Food Pairing Data'!$C$2:$S$188,14)</f>
        <v>1</v>
      </c>
      <c r="AD38" s="6">
        <f>VLOOKUP($C38,'Food Pairing Data'!$C$2:$S$188,15)</f>
        <v>0</v>
      </c>
      <c r="AE38" s="6">
        <f>VLOOKUP($C38,'Food Pairing Data'!$C$2:$S$188,16)</f>
        <v>0</v>
      </c>
      <c r="AF38" s="6">
        <f>VLOOKUP($C38,'Food Pairing Data'!$C$2:$S$188,17)</f>
        <v>0</v>
      </c>
      <c r="AG38" s="6" t="s">
        <v>280</v>
      </c>
      <c r="AH38" s="6" t="s">
        <v>163</v>
      </c>
    </row>
    <row r="39" spans="1:34" ht="14">
      <c r="A39" s="6">
        <f t="shared" si="0"/>
        <v>37</v>
      </c>
      <c r="B39" s="6" t="s">
        <v>245</v>
      </c>
      <c r="C39" s="6" t="s">
        <v>284</v>
      </c>
      <c r="D39" s="6" t="s">
        <v>163</v>
      </c>
      <c r="E39" s="22">
        <f>HLOOKUP(Output!$F$6,'Raw Data'!$T$2:$BO$88,(A39+1),)</f>
        <v>0</v>
      </c>
      <c r="F39" s="23">
        <f>IF(D39=Output!$B$6,1,0)</f>
        <v>1</v>
      </c>
      <c r="G39" s="23">
        <f>IF(K39&lt;=Output!$C$6,(200-'Raw Data'!K39),0)</f>
        <v>192.01</v>
      </c>
      <c r="H39" s="23">
        <v>3.5</v>
      </c>
      <c r="I39" s="24">
        <f>SUMPRODUCT(F39:H39,Output!$B$7:$D$7)*E39</f>
        <v>0</v>
      </c>
      <c r="J39" s="25">
        <v>0</v>
      </c>
      <c r="K39" s="20">
        <v>7.99</v>
      </c>
      <c r="L39" s="6" t="s">
        <v>285</v>
      </c>
      <c r="M39" s="6" t="s">
        <v>286</v>
      </c>
      <c r="N39" s="6" t="s">
        <v>287</v>
      </c>
      <c r="O39" s="6" t="s">
        <v>420</v>
      </c>
      <c r="P39" s="26">
        <v>13</v>
      </c>
      <c r="Q39" s="6" t="s">
        <v>269</v>
      </c>
      <c r="R39" s="6" t="s">
        <v>483</v>
      </c>
      <c r="S39" s="6" t="s">
        <v>262</v>
      </c>
      <c r="T39" s="6">
        <f>VLOOKUP($C39,'Food Pairing Data'!$C$2:$S$188,5)</f>
        <v>0</v>
      </c>
      <c r="U39" s="6">
        <f>VLOOKUP($C39,'Food Pairing Data'!$C$2:$S$188,6)</f>
        <v>0</v>
      </c>
      <c r="V39" s="6">
        <f>VLOOKUP($C39,'Food Pairing Data'!$C$2:$S$188,7)</f>
        <v>0</v>
      </c>
      <c r="W39" s="6">
        <f>VLOOKUP($C39,'Food Pairing Data'!$C$2:$S$188,8)</f>
        <v>0</v>
      </c>
      <c r="X39" s="6">
        <f>VLOOKUP($C39,'Food Pairing Data'!$C$2:$S$188,9)</f>
        <v>0</v>
      </c>
      <c r="Y39" s="6">
        <f>VLOOKUP($C39,'Food Pairing Data'!$C$2:$S$188,10)</f>
        <v>0</v>
      </c>
      <c r="Z39" s="6">
        <f>VLOOKUP($C39,'Food Pairing Data'!$C$2:$S$188,11)</f>
        <v>0</v>
      </c>
      <c r="AA39" s="6">
        <f>VLOOKUP($C39,'Food Pairing Data'!$C$2:$S$188,12)</f>
        <v>0</v>
      </c>
      <c r="AB39" s="6">
        <f>VLOOKUP($C39,'Food Pairing Data'!$C$2:$S$188,13)</f>
        <v>0</v>
      </c>
      <c r="AC39" s="6">
        <f>VLOOKUP($C39,'Food Pairing Data'!$C$2:$S$188,14)</f>
        <v>1</v>
      </c>
      <c r="AD39" s="6">
        <f>VLOOKUP($C39,'Food Pairing Data'!$C$2:$S$188,15)</f>
        <v>0</v>
      </c>
      <c r="AE39" s="6">
        <f>VLOOKUP($C39,'Food Pairing Data'!$C$2:$S$188,16)</f>
        <v>0</v>
      </c>
      <c r="AF39" s="6">
        <f>VLOOKUP($C39,'Food Pairing Data'!$C$2:$S$188,17)</f>
        <v>0</v>
      </c>
      <c r="AG39" s="6" t="s">
        <v>284</v>
      </c>
      <c r="AH39" s="6" t="s">
        <v>163</v>
      </c>
    </row>
    <row r="40" spans="1:34" ht="14">
      <c r="A40" s="6">
        <f t="shared" si="0"/>
        <v>38</v>
      </c>
      <c r="B40" s="6" t="s">
        <v>181</v>
      </c>
      <c r="C40" s="6" t="s">
        <v>484</v>
      </c>
      <c r="D40" s="6" t="s">
        <v>163</v>
      </c>
      <c r="E40" s="22">
        <f>HLOOKUP(Output!$F$6,'Raw Data'!$T$2:$BO$88,(A40+1),)</f>
        <v>1</v>
      </c>
      <c r="F40" s="23">
        <f>IF(D40=Output!$B$6,1,0)</f>
        <v>1</v>
      </c>
      <c r="G40" s="23">
        <f>IF(K40&lt;=Output!$C$6,(200-'Raw Data'!K40),0)</f>
        <v>0</v>
      </c>
      <c r="H40" s="23">
        <v>3</v>
      </c>
      <c r="I40" s="24">
        <f>SUMPRODUCT(F40:H40,Output!$B$7:$D$7)*E40</f>
        <v>0.8</v>
      </c>
      <c r="J40" s="25">
        <v>0</v>
      </c>
      <c r="K40" s="20">
        <v>37.99</v>
      </c>
      <c r="L40" s="6" t="s">
        <v>485</v>
      </c>
      <c r="M40" s="6" t="s">
        <v>486</v>
      </c>
      <c r="N40" s="6" t="s">
        <v>266</v>
      </c>
      <c r="O40" s="6" t="s">
        <v>487</v>
      </c>
      <c r="P40" s="26">
        <v>13.9</v>
      </c>
      <c r="Q40" s="6" t="s">
        <v>261</v>
      </c>
      <c r="R40" s="6" t="s">
        <v>268</v>
      </c>
      <c r="S40" s="6" t="s">
        <v>270</v>
      </c>
      <c r="T40" s="6">
        <v>0</v>
      </c>
      <c r="U40" s="6">
        <v>1</v>
      </c>
      <c r="V40" s="6">
        <v>1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 t="s">
        <v>484</v>
      </c>
      <c r="AH40" s="6" t="s">
        <v>163</v>
      </c>
    </row>
    <row r="41" spans="1:34" ht="14">
      <c r="A41" s="6">
        <f t="shared" si="0"/>
        <v>39</v>
      </c>
      <c r="B41" s="6" t="s">
        <v>181</v>
      </c>
      <c r="C41" s="6" t="s">
        <v>488</v>
      </c>
      <c r="D41" s="6" t="s">
        <v>163</v>
      </c>
      <c r="E41" s="22">
        <f>HLOOKUP(Output!$F$6,'Raw Data'!$T$2:$BO$88,(A41+1),)</f>
        <v>0</v>
      </c>
      <c r="F41" s="23">
        <f>IF(D41=Output!$B$6,1,0)</f>
        <v>1</v>
      </c>
      <c r="G41" s="23">
        <f>IF(K41&lt;=Output!$C$6,(200-'Raw Data'!K41),0)</f>
        <v>178.01</v>
      </c>
      <c r="H41" s="23">
        <v>3</v>
      </c>
      <c r="I41" s="24">
        <f>SUMPRODUCT(F41:H41,Output!$B$7:$D$7)*E41</f>
        <v>0</v>
      </c>
      <c r="J41" s="25">
        <v>0</v>
      </c>
      <c r="K41" s="20">
        <v>21.99</v>
      </c>
      <c r="L41" s="6" t="s">
        <v>489</v>
      </c>
      <c r="M41" s="6" t="s">
        <v>490</v>
      </c>
      <c r="N41" s="6" t="s">
        <v>334</v>
      </c>
      <c r="O41" s="6" t="s">
        <v>335</v>
      </c>
      <c r="P41" s="26">
        <v>13.9</v>
      </c>
      <c r="Q41" s="6" t="s">
        <v>336</v>
      </c>
      <c r="R41" s="6" t="s">
        <v>337</v>
      </c>
      <c r="S41" s="6" t="s">
        <v>338</v>
      </c>
      <c r="T41" s="6">
        <f>VLOOKUP($C41,'Food Pairing Data'!$C$2:$S$188,5)</f>
        <v>0</v>
      </c>
      <c r="U41" s="6">
        <f>VLOOKUP($C41,'Food Pairing Data'!$C$2:$S$188,6)</f>
        <v>0</v>
      </c>
      <c r="V41" s="6">
        <f>VLOOKUP($C41,'Food Pairing Data'!$C$2:$S$188,7)</f>
        <v>1</v>
      </c>
      <c r="W41" s="6">
        <f>VLOOKUP($C41,'Food Pairing Data'!$C$2:$S$188,8)</f>
        <v>0</v>
      </c>
      <c r="X41" s="6">
        <f>VLOOKUP($C41,'Food Pairing Data'!$C$2:$S$188,9)</f>
        <v>0</v>
      </c>
      <c r="Y41" s="6">
        <f>VLOOKUP($C41,'Food Pairing Data'!$C$2:$S$188,10)</f>
        <v>0</v>
      </c>
      <c r="Z41" s="6">
        <f>VLOOKUP($C41,'Food Pairing Data'!$C$2:$S$188,11)</f>
        <v>0</v>
      </c>
      <c r="AA41" s="6">
        <f>VLOOKUP($C41,'Food Pairing Data'!$C$2:$S$188,12)</f>
        <v>0</v>
      </c>
      <c r="AB41" s="6">
        <f>VLOOKUP($C41,'Food Pairing Data'!$C$2:$S$188,13)</f>
        <v>0</v>
      </c>
      <c r="AC41" s="6">
        <f>VLOOKUP($C41,'Food Pairing Data'!$C$2:$S$188,14)</f>
        <v>0</v>
      </c>
      <c r="AD41" s="6">
        <f>VLOOKUP($C41,'Food Pairing Data'!$C$2:$S$188,15)</f>
        <v>0</v>
      </c>
      <c r="AE41" s="6">
        <f>VLOOKUP($C41,'Food Pairing Data'!$C$2:$S$188,16)</f>
        <v>0</v>
      </c>
      <c r="AF41" s="6">
        <f>VLOOKUP($C41,'Food Pairing Data'!$C$2:$S$188,17)</f>
        <v>0</v>
      </c>
      <c r="AG41" s="6" t="s">
        <v>488</v>
      </c>
      <c r="AH41" s="6" t="s">
        <v>163</v>
      </c>
    </row>
    <row r="42" spans="1:34" ht="14">
      <c r="A42" s="6">
        <f t="shared" si="0"/>
        <v>40</v>
      </c>
      <c r="B42" s="6" t="s">
        <v>23</v>
      </c>
      <c r="C42" s="6" t="s">
        <v>495</v>
      </c>
      <c r="D42" s="6" t="s">
        <v>163</v>
      </c>
      <c r="E42" s="22">
        <f>HLOOKUP(Output!$F$6,'Raw Data'!$T$2:$BO$88,(A42+1),)</f>
        <v>0</v>
      </c>
      <c r="F42" s="23">
        <f>IF(D42=Output!$B$6,1,0)</f>
        <v>1</v>
      </c>
      <c r="G42" s="23">
        <f>IF(K42&lt;=Output!$C$6,(200-'Raw Data'!K42),0)</f>
        <v>184.01</v>
      </c>
      <c r="H42" s="23">
        <v>3</v>
      </c>
      <c r="I42" s="24">
        <f>SUMPRODUCT(F42:H42,Output!$B$7:$D$7)*E42</f>
        <v>0</v>
      </c>
      <c r="J42" s="25">
        <v>0</v>
      </c>
      <c r="K42" s="20">
        <v>15.99</v>
      </c>
      <c r="L42" s="6" t="s">
        <v>341</v>
      </c>
      <c r="M42" s="6" t="s">
        <v>342</v>
      </c>
      <c r="N42" s="6" t="s">
        <v>343</v>
      </c>
      <c r="O42" s="6" t="s">
        <v>344</v>
      </c>
      <c r="P42" s="26">
        <v>13</v>
      </c>
      <c r="Q42" s="6" t="s">
        <v>345</v>
      </c>
      <c r="R42" s="6" t="s">
        <v>346</v>
      </c>
      <c r="S42" s="6" t="s">
        <v>347</v>
      </c>
      <c r="T42" s="6">
        <f>VLOOKUP($C42,'Food Pairing Data'!$C$2:$S$188,5)</f>
        <v>0</v>
      </c>
      <c r="U42" s="6">
        <f>VLOOKUP($C42,'Food Pairing Data'!$C$2:$S$188,6)</f>
        <v>0</v>
      </c>
      <c r="V42" s="6">
        <f>VLOOKUP($C42,'Food Pairing Data'!$C$2:$S$188,7)</f>
        <v>1</v>
      </c>
      <c r="W42" s="6">
        <f>VLOOKUP($C42,'Food Pairing Data'!$C$2:$S$188,8)</f>
        <v>0</v>
      </c>
      <c r="X42" s="6">
        <f>VLOOKUP($C42,'Food Pairing Data'!$C$2:$S$188,9)</f>
        <v>0</v>
      </c>
      <c r="Y42" s="6">
        <f>VLOOKUP($C42,'Food Pairing Data'!$C$2:$S$188,10)</f>
        <v>0</v>
      </c>
      <c r="Z42" s="6">
        <f>VLOOKUP($C42,'Food Pairing Data'!$C$2:$S$188,11)</f>
        <v>0</v>
      </c>
      <c r="AA42" s="6">
        <f>VLOOKUP($C42,'Food Pairing Data'!$C$2:$S$188,12)</f>
        <v>0</v>
      </c>
      <c r="AB42" s="6">
        <f>VLOOKUP($C42,'Food Pairing Data'!$C$2:$S$188,13)</f>
        <v>0</v>
      </c>
      <c r="AC42" s="6">
        <f>VLOOKUP($C42,'Food Pairing Data'!$C$2:$S$188,14)</f>
        <v>0</v>
      </c>
      <c r="AD42" s="6">
        <f>VLOOKUP($C42,'Food Pairing Data'!$C$2:$S$188,15)</f>
        <v>0</v>
      </c>
      <c r="AE42" s="6">
        <f>VLOOKUP($C42,'Food Pairing Data'!$C$2:$S$188,16)</f>
        <v>0</v>
      </c>
      <c r="AF42" s="6">
        <f>VLOOKUP($C42,'Food Pairing Data'!$C$2:$S$188,17)</f>
        <v>0</v>
      </c>
      <c r="AG42" s="6" t="s">
        <v>495</v>
      </c>
      <c r="AH42" s="6" t="s">
        <v>163</v>
      </c>
    </row>
    <row r="43" spans="1:34" ht="14">
      <c r="A43" s="6">
        <f t="shared" si="0"/>
        <v>41</v>
      </c>
      <c r="B43" s="6" t="s">
        <v>23</v>
      </c>
      <c r="C43" s="6" t="s">
        <v>348</v>
      </c>
      <c r="D43" s="6" t="s">
        <v>163</v>
      </c>
      <c r="E43" s="22">
        <f>HLOOKUP(Output!$F$6,'Raw Data'!$T$2:$BO$88,(A43+1),)</f>
        <v>0</v>
      </c>
      <c r="F43" s="23">
        <f>IF(D43=Output!$B$6,1,0)</f>
        <v>1</v>
      </c>
      <c r="G43" s="23">
        <f>IF(K43&lt;=Output!$C$6,(200-'Raw Data'!K43),0)</f>
        <v>186.01</v>
      </c>
      <c r="H43" s="23">
        <v>3</v>
      </c>
      <c r="I43" s="24">
        <f>SUMPRODUCT(F43:H43,Output!$B$7:$D$7)*E43</f>
        <v>0</v>
      </c>
      <c r="J43" s="25">
        <v>0</v>
      </c>
      <c r="K43" s="20">
        <v>13.99</v>
      </c>
      <c r="L43" s="6" t="s">
        <v>349</v>
      </c>
      <c r="M43" s="6" t="s">
        <v>350</v>
      </c>
      <c r="N43" s="6" t="s">
        <v>351</v>
      </c>
      <c r="O43" s="6" t="s">
        <v>344</v>
      </c>
      <c r="P43" s="26">
        <v>13.5</v>
      </c>
      <c r="Q43" s="6" t="s">
        <v>352</v>
      </c>
      <c r="R43" s="6" t="s">
        <v>353</v>
      </c>
      <c r="S43" s="6" t="s">
        <v>354</v>
      </c>
      <c r="T43" s="6">
        <f>VLOOKUP($C43,'Food Pairing Data'!$C$2:$S$188,5)</f>
        <v>0</v>
      </c>
      <c r="U43" s="6">
        <f>VLOOKUP($C43,'Food Pairing Data'!$C$2:$S$188,6)</f>
        <v>0</v>
      </c>
      <c r="V43" s="6">
        <f>VLOOKUP($C43,'Food Pairing Data'!$C$2:$S$188,7)</f>
        <v>0</v>
      </c>
      <c r="W43" s="6">
        <f>VLOOKUP($C43,'Food Pairing Data'!$C$2:$S$188,8)</f>
        <v>1</v>
      </c>
      <c r="X43" s="6">
        <f>VLOOKUP($C43,'Food Pairing Data'!$C$2:$S$188,9)</f>
        <v>0</v>
      </c>
      <c r="Y43" s="6">
        <f>VLOOKUP($C43,'Food Pairing Data'!$C$2:$S$188,10)</f>
        <v>1</v>
      </c>
      <c r="Z43" s="6">
        <f>VLOOKUP($C43,'Food Pairing Data'!$C$2:$S$188,11)</f>
        <v>0</v>
      </c>
      <c r="AA43" s="6">
        <f>VLOOKUP($C43,'Food Pairing Data'!$C$2:$S$188,12)</f>
        <v>0</v>
      </c>
      <c r="AB43" s="6">
        <f>VLOOKUP($C43,'Food Pairing Data'!$C$2:$S$188,13)</f>
        <v>0</v>
      </c>
      <c r="AC43" s="6">
        <f>VLOOKUP($C43,'Food Pairing Data'!$C$2:$S$188,14)</f>
        <v>0</v>
      </c>
      <c r="AD43" s="6">
        <f>VLOOKUP($C43,'Food Pairing Data'!$C$2:$S$188,15)</f>
        <v>0</v>
      </c>
      <c r="AE43" s="6">
        <f>VLOOKUP($C43,'Food Pairing Data'!$C$2:$S$188,16)</f>
        <v>0</v>
      </c>
      <c r="AF43" s="6">
        <f>VLOOKUP($C43,'Food Pairing Data'!$C$2:$S$188,17)</f>
        <v>0</v>
      </c>
      <c r="AG43" s="6" t="s">
        <v>348</v>
      </c>
      <c r="AH43" s="6" t="s">
        <v>163</v>
      </c>
    </row>
    <row r="44" spans="1:34" ht="14">
      <c r="A44" s="6">
        <f t="shared" si="0"/>
        <v>42</v>
      </c>
      <c r="B44" s="6" t="s">
        <v>245</v>
      </c>
      <c r="C44" s="6" t="s">
        <v>355</v>
      </c>
      <c r="D44" s="6" t="s">
        <v>163</v>
      </c>
      <c r="E44" s="22">
        <f>HLOOKUP(Output!$F$6,'Raw Data'!$T$2:$BO$88,(A44+1),)</f>
        <v>0</v>
      </c>
      <c r="F44" s="23">
        <f>IF(D44=Output!$B$6,1,0)</f>
        <v>1</v>
      </c>
      <c r="G44" s="23">
        <f>IF(K44&lt;=Output!$C$6,(200-'Raw Data'!K44),0)</f>
        <v>192.01</v>
      </c>
      <c r="H44" s="23">
        <v>3</v>
      </c>
      <c r="I44" s="24">
        <f>SUMPRODUCT(F44:H44,Output!$B$7:$D$7)*E44</f>
        <v>0</v>
      </c>
      <c r="J44" s="25">
        <v>0</v>
      </c>
      <c r="K44" s="20">
        <v>7.99</v>
      </c>
      <c r="L44" s="6" t="s">
        <v>341</v>
      </c>
      <c r="M44" s="6" t="s">
        <v>356</v>
      </c>
      <c r="N44" s="6" t="s">
        <v>357</v>
      </c>
      <c r="O44" s="6" t="s">
        <v>358</v>
      </c>
      <c r="P44" s="26">
        <v>12</v>
      </c>
      <c r="Q44" s="6" t="s">
        <v>359</v>
      </c>
      <c r="R44" s="6" t="s">
        <v>353</v>
      </c>
      <c r="S44" s="6" t="s">
        <v>352</v>
      </c>
      <c r="T44" s="6">
        <f>VLOOKUP($C44,'Food Pairing Data'!$C$2:$S$188,5)</f>
        <v>0</v>
      </c>
      <c r="U44" s="6">
        <f>VLOOKUP($C44,'Food Pairing Data'!$C$2:$S$188,6)</f>
        <v>0</v>
      </c>
      <c r="V44" s="6">
        <f>VLOOKUP($C44,'Food Pairing Data'!$C$2:$S$188,7)</f>
        <v>1</v>
      </c>
      <c r="W44" s="6">
        <f>VLOOKUP($C44,'Food Pairing Data'!$C$2:$S$188,8)</f>
        <v>1</v>
      </c>
      <c r="X44" s="6">
        <f>VLOOKUP($C44,'Food Pairing Data'!$C$2:$S$188,9)</f>
        <v>0</v>
      </c>
      <c r="Y44" s="6">
        <f>VLOOKUP($C44,'Food Pairing Data'!$C$2:$S$188,10)</f>
        <v>0</v>
      </c>
      <c r="Z44" s="6">
        <f>VLOOKUP($C44,'Food Pairing Data'!$C$2:$S$188,11)</f>
        <v>0</v>
      </c>
      <c r="AA44" s="6">
        <f>VLOOKUP($C44,'Food Pairing Data'!$C$2:$S$188,12)</f>
        <v>0</v>
      </c>
      <c r="AB44" s="6">
        <f>VLOOKUP($C44,'Food Pairing Data'!$C$2:$S$188,13)</f>
        <v>0</v>
      </c>
      <c r="AC44" s="6">
        <f>VLOOKUP($C44,'Food Pairing Data'!$C$2:$S$188,14)</f>
        <v>0</v>
      </c>
      <c r="AD44" s="6">
        <f>VLOOKUP($C44,'Food Pairing Data'!$C$2:$S$188,15)</f>
        <v>0</v>
      </c>
      <c r="AE44" s="6">
        <f>VLOOKUP($C44,'Food Pairing Data'!$C$2:$S$188,16)</f>
        <v>0</v>
      </c>
      <c r="AF44" s="6">
        <f>VLOOKUP($C44,'Food Pairing Data'!$C$2:$S$188,17)</f>
        <v>0</v>
      </c>
      <c r="AG44" s="6" t="s">
        <v>355</v>
      </c>
      <c r="AH44" s="6" t="s">
        <v>163</v>
      </c>
    </row>
    <row r="45" spans="1:34" ht="14">
      <c r="A45" s="6">
        <f t="shared" si="0"/>
        <v>43</v>
      </c>
      <c r="B45" s="6" t="s">
        <v>245</v>
      </c>
      <c r="C45" s="6" t="s">
        <v>360</v>
      </c>
      <c r="D45" s="6" t="s">
        <v>163</v>
      </c>
      <c r="E45" s="22">
        <f>HLOOKUP(Output!$F$6,'Raw Data'!$T$2:$BO$88,(A45+1),)</f>
        <v>0</v>
      </c>
      <c r="F45" s="23">
        <f>IF(D45=Output!$B$6,1,0)</f>
        <v>1</v>
      </c>
      <c r="G45" s="23">
        <f>IF(K45&lt;=Output!$C$6,(200-'Raw Data'!K45),0)</f>
        <v>192.01</v>
      </c>
      <c r="H45" s="23">
        <v>3</v>
      </c>
      <c r="I45" s="24">
        <f>SUMPRODUCT(F45:H45,Output!$B$7:$D$7)*E45</f>
        <v>0</v>
      </c>
      <c r="J45" s="25">
        <v>0</v>
      </c>
      <c r="K45" s="20">
        <v>7.99</v>
      </c>
      <c r="L45" s="6" t="s">
        <v>361</v>
      </c>
      <c r="M45" s="6" t="s">
        <v>362</v>
      </c>
      <c r="N45" s="6" t="s">
        <v>363</v>
      </c>
      <c r="O45" s="6" t="s">
        <v>364</v>
      </c>
      <c r="P45" s="26">
        <v>13</v>
      </c>
      <c r="Q45" s="6" t="s">
        <v>365</v>
      </c>
      <c r="R45" s="6" t="s">
        <v>366</v>
      </c>
      <c r="S45" s="6" t="s">
        <v>367</v>
      </c>
      <c r="T45" s="6">
        <f>VLOOKUP($C45,'Food Pairing Data'!$C$2:$S$188,5)</f>
        <v>0</v>
      </c>
      <c r="U45" s="6">
        <f>VLOOKUP($C45,'Food Pairing Data'!$C$2:$S$188,6)</f>
        <v>0</v>
      </c>
      <c r="V45" s="6">
        <f>VLOOKUP($C45,'Food Pairing Data'!$C$2:$S$188,7)</f>
        <v>0</v>
      </c>
      <c r="W45" s="6">
        <f>VLOOKUP($C45,'Food Pairing Data'!$C$2:$S$188,8)</f>
        <v>0</v>
      </c>
      <c r="X45" s="6">
        <f>VLOOKUP($C45,'Food Pairing Data'!$C$2:$S$188,9)</f>
        <v>0</v>
      </c>
      <c r="Y45" s="6">
        <f>VLOOKUP($C45,'Food Pairing Data'!$C$2:$S$188,10)</f>
        <v>0</v>
      </c>
      <c r="Z45" s="6">
        <f>VLOOKUP($C45,'Food Pairing Data'!$C$2:$S$188,11)</f>
        <v>0</v>
      </c>
      <c r="AA45" s="6">
        <f>VLOOKUP($C45,'Food Pairing Data'!$C$2:$S$188,12)</f>
        <v>0</v>
      </c>
      <c r="AB45" s="6">
        <f>VLOOKUP($C45,'Food Pairing Data'!$C$2:$S$188,13)</f>
        <v>0</v>
      </c>
      <c r="AC45" s="6">
        <f>VLOOKUP($C45,'Food Pairing Data'!$C$2:$S$188,14)</f>
        <v>1</v>
      </c>
      <c r="AD45" s="6">
        <f>VLOOKUP($C45,'Food Pairing Data'!$C$2:$S$188,15)</f>
        <v>0</v>
      </c>
      <c r="AE45" s="6">
        <f>VLOOKUP($C45,'Food Pairing Data'!$C$2:$S$188,16)</f>
        <v>0</v>
      </c>
      <c r="AF45" s="6">
        <f>VLOOKUP($C45,'Food Pairing Data'!$C$2:$S$188,17)</f>
        <v>0</v>
      </c>
      <c r="AG45" s="6" t="s">
        <v>360</v>
      </c>
      <c r="AH45" s="6" t="s">
        <v>163</v>
      </c>
    </row>
    <row r="46" spans="1:34" ht="14">
      <c r="A46" s="6">
        <f t="shared" si="0"/>
        <v>44</v>
      </c>
      <c r="B46" s="6" t="s">
        <v>245</v>
      </c>
      <c r="C46" s="6" t="s">
        <v>368</v>
      </c>
      <c r="D46" s="6" t="s">
        <v>163</v>
      </c>
      <c r="E46" s="22">
        <f>HLOOKUP(Output!$F$6,'Raw Data'!$T$2:$BO$88,(A46+1),)</f>
        <v>0</v>
      </c>
      <c r="F46" s="23">
        <f>IF(D46=Output!$B$6,1,0)</f>
        <v>1</v>
      </c>
      <c r="G46" s="23">
        <f>IF(K46&lt;=Output!$C$6,(200-'Raw Data'!K46),0)</f>
        <v>192.01</v>
      </c>
      <c r="H46" s="23">
        <v>3</v>
      </c>
      <c r="I46" s="24">
        <f>SUMPRODUCT(F46:H46,Output!$B$7:$D$7)*E46</f>
        <v>0</v>
      </c>
      <c r="J46" s="25">
        <v>0</v>
      </c>
      <c r="K46" s="20">
        <v>7.99</v>
      </c>
      <c r="L46" s="6" t="s">
        <v>407</v>
      </c>
      <c r="M46" s="6" t="s">
        <v>369</v>
      </c>
      <c r="N46" s="6" t="s">
        <v>370</v>
      </c>
      <c r="O46" s="6" t="s">
        <v>371</v>
      </c>
      <c r="P46" s="26">
        <v>13.5</v>
      </c>
      <c r="Q46" s="6" t="s">
        <v>195</v>
      </c>
      <c r="R46" s="6" t="s">
        <v>193</v>
      </c>
      <c r="S46" s="6" t="s">
        <v>190</v>
      </c>
      <c r="T46" s="6">
        <f>VLOOKUP($C46,'Food Pairing Data'!$C$2:$S$188,5)</f>
        <v>0</v>
      </c>
      <c r="U46" s="6">
        <f>VLOOKUP($C46,'Food Pairing Data'!$C$2:$S$188,6)</f>
        <v>0</v>
      </c>
      <c r="V46" s="6">
        <f>VLOOKUP($C46,'Food Pairing Data'!$C$2:$S$188,7)</f>
        <v>0</v>
      </c>
      <c r="W46" s="6">
        <f>VLOOKUP($C46,'Food Pairing Data'!$C$2:$S$188,8)</f>
        <v>0</v>
      </c>
      <c r="X46" s="6">
        <f>VLOOKUP($C46,'Food Pairing Data'!$C$2:$S$188,9)</f>
        <v>0</v>
      </c>
      <c r="Y46" s="6">
        <f>VLOOKUP($C46,'Food Pairing Data'!$C$2:$S$188,10)</f>
        <v>0</v>
      </c>
      <c r="Z46" s="6">
        <f>VLOOKUP($C46,'Food Pairing Data'!$C$2:$S$188,11)</f>
        <v>0</v>
      </c>
      <c r="AA46" s="6">
        <f>VLOOKUP($C46,'Food Pairing Data'!$C$2:$S$188,12)</f>
        <v>0</v>
      </c>
      <c r="AB46" s="6">
        <f>VLOOKUP($C46,'Food Pairing Data'!$C$2:$S$188,13)</f>
        <v>0</v>
      </c>
      <c r="AC46" s="6">
        <f>VLOOKUP($C46,'Food Pairing Data'!$C$2:$S$188,14)</f>
        <v>1</v>
      </c>
      <c r="AD46" s="6">
        <f>VLOOKUP($C46,'Food Pairing Data'!$C$2:$S$188,15)</f>
        <v>0</v>
      </c>
      <c r="AE46" s="6">
        <f>VLOOKUP($C46,'Food Pairing Data'!$C$2:$S$188,16)</f>
        <v>0</v>
      </c>
      <c r="AF46" s="6">
        <f>VLOOKUP($C46,'Food Pairing Data'!$C$2:$S$188,17)</f>
        <v>0</v>
      </c>
      <c r="AG46" s="6" t="s">
        <v>368</v>
      </c>
      <c r="AH46" s="6" t="s">
        <v>163</v>
      </c>
    </row>
    <row r="47" spans="1:34" ht="14">
      <c r="A47" s="6">
        <f t="shared" si="0"/>
        <v>45</v>
      </c>
      <c r="B47" s="6" t="s">
        <v>181</v>
      </c>
      <c r="C47" s="6" t="s">
        <v>372</v>
      </c>
      <c r="D47" s="6" t="s">
        <v>163</v>
      </c>
      <c r="E47" s="22">
        <f>HLOOKUP(Output!$F$6,'Raw Data'!$T$2:$BO$88,(A47+1),)</f>
        <v>0</v>
      </c>
      <c r="F47" s="23">
        <f>IF(D47=Output!$B$6,1,0)</f>
        <v>1</v>
      </c>
      <c r="G47" s="23">
        <f>IF(K47&lt;=Output!$C$6,(200-'Raw Data'!K47),0)</f>
        <v>0</v>
      </c>
      <c r="H47" s="23">
        <v>2.5</v>
      </c>
      <c r="I47" s="24">
        <f>SUMPRODUCT(F47:H47,Output!$B$7:$D$7)*E47</f>
        <v>0</v>
      </c>
      <c r="J47" s="25">
        <v>0</v>
      </c>
      <c r="K47" s="20">
        <v>31.99</v>
      </c>
      <c r="L47" s="6" t="s">
        <v>339</v>
      </c>
      <c r="M47" s="6" t="s">
        <v>373</v>
      </c>
      <c r="N47" s="6" t="s">
        <v>374</v>
      </c>
      <c r="O47" s="6" t="s">
        <v>375</v>
      </c>
      <c r="P47" s="26">
        <v>14</v>
      </c>
      <c r="Q47" s="6" t="s">
        <v>376</v>
      </c>
      <c r="R47" s="6" t="s">
        <v>377</v>
      </c>
      <c r="S47" s="6" t="s">
        <v>378</v>
      </c>
      <c r="T47" s="6">
        <f>VLOOKUP($C47,'Food Pairing Data'!$C$2:$S$188,5)</f>
        <v>0</v>
      </c>
      <c r="U47" s="6">
        <f>VLOOKUP($C47,'Food Pairing Data'!$C$2:$S$188,6)</f>
        <v>0</v>
      </c>
      <c r="V47" s="6">
        <f>VLOOKUP($C47,'Food Pairing Data'!$C$2:$S$188,7)</f>
        <v>0</v>
      </c>
      <c r="W47" s="6">
        <f>VLOOKUP($C47,'Food Pairing Data'!$C$2:$S$188,8)</f>
        <v>0</v>
      </c>
      <c r="X47" s="6">
        <f>VLOOKUP($C47,'Food Pairing Data'!$C$2:$S$188,9)</f>
        <v>0</v>
      </c>
      <c r="Y47" s="6">
        <f>VLOOKUP($C47,'Food Pairing Data'!$C$2:$S$188,10)</f>
        <v>0</v>
      </c>
      <c r="Z47" s="6">
        <f>VLOOKUP($C47,'Food Pairing Data'!$C$2:$S$188,11)</f>
        <v>0</v>
      </c>
      <c r="AA47" s="6">
        <f>VLOOKUP($C47,'Food Pairing Data'!$C$2:$S$188,12)</f>
        <v>0</v>
      </c>
      <c r="AB47" s="6">
        <f>VLOOKUP($C47,'Food Pairing Data'!$C$2:$S$188,13)</f>
        <v>0</v>
      </c>
      <c r="AC47" s="6">
        <f>VLOOKUP($C47,'Food Pairing Data'!$C$2:$S$188,14)</f>
        <v>1</v>
      </c>
      <c r="AD47" s="6">
        <f>VLOOKUP($C47,'Food Pairing Data'!$C$2:$S$188,15)</f>
        <v>0</v>
      </c>
      <c r="AE47" s="6">
        <f>VLOOKUP($C47,'Food Pairing Data'!$C$2:$S$188,16)</f>
        <v>0</v>
      </c>
      <c r="AF47" s="6">
        <f>VLOOKUP($C47,'Food Pairing Data'!$C$2:$S$188,17)</f>
        <v>0</v>
      </c>
      <c r="AG47" s="6" t="s">
        <v>372</v>
      </c>
      <c r="AH47" s="6" t="s">
        <v>163</v>
      </c>
    </row>
    <row r="48" spans="1:34" ht="14">
      <c r="A48" s="6">
        <f t="shared" si="0"/>
        <v>46</v>
      </c>
      <c r="B48" s="6" t="s">
        <v>181</v>
      </c>
      <c r="C48" s="6" t="s">
        <v>379</v>
      </c>
      <c r="D48" s="6" t="s">
        <v>380</v>
      </c>
      <c r="E48" s="22">
        <f>HLOOKUP(Output!$F$6,'Raw Data'!$T$2:$BO$88,(A48+1),)</f>
        <v>0</v>
      </c>
      <c r="F48" s="23">
        <f>IF(D48=Output!$B$6,1,0)</f>
        <v>0</v>
      </c>
      <c r="G48" s="23">
        <f>IF(K48&lt;=Output!$C$6,(200-'Raw Data'!K48),0)</f>
        <v>0</v>
      </c>
      <c r="H48" s="23">
        <v>5</v>
      </c>
      <c r="I48" s="24">
        <f>SUMPRODUCT(F48:H48,Output!$B$7:$D$7)*E48</f>
        <v>0</v>
      </c>
      <c r="J48" s="25">
        <v>0</v>
      </c>
      <c r="K48" s="20">
        <v>29.99</v>
      </c>
      <c r="L48" s="6" t="s">
        <v>403</v>
      </c>
      <c r="M48" s="6" t="s">
        <v>381</v>
      </c>
      <c r="N48" s="6" t="s">
        <v>382</v>
      </c>
      <c r="O48" s="6" t="s">
        <v>383</v>
      </c>
      <c r="P48" s="26">
        <v>13</v>
      </c>
      <c r="Q48" s="6" t="s">
        <v>190</v>
      </c>
      <c r="R48" s="6" t="s">
        <v>384</v>
      </c>
      <c r="S48" s="6" t="s">
        <v>378</v>
      </c>
      <c r="T48" s="6">
        <f>VLOOKUP($C48,'Food Pairing Data'!$C$2:$S$188,5)</f>
        <v>0</v>
      </c>
      <c r="U48" s="6">
        <f>VLOOKUP($C48,'Food Pairing Data'!$C$2:$S$188,6)</f>
        <v>0</v>
      </c>
      <c r="V48" s="6">
        <f>VLOOKUP($C48,'Food Pairing Data'!$C$2:$S$188,7)</f>
        <v>0</v>
      </c>
      <c r="W48" s="6">
        <f>VLOOKUP($C48,'Food Pairing Data'!$C$2:$S$188,8)</f>
        <v>0</v>
      </c>
      <c r="X48" s="6">
        <f>VLOOKUP($C48,'Food Pairing Data'!$C$2:$S$188,9)</f>
        <v>0</v>
      </c>
      <c r="Y48" s="6">
        <f>VLOOKUP($C48,'Food Pairing Data'!$C$2:$S$188,10)</f>
        <v>0</v>
      </c>
      <c r="Z48" s="6">
        <f>VLOOKUP($C48,'Food Pairing Data'!$C$2:$S$188,11)</f>
        <v>0</v>
      </c>
      <c r="AA48" s="6">
        <f>VLOOKUP($C48,'Food Pairing Data'!$C$2:$S$188,12)</f>
        <v>0</v>
      </c>
      <c r="AB48" s="6">
        <f>VLOOKUP($C48,'Food Pairing Data'!$C$2:$S$188,13)</f>
        <v>0</v>
      </c>
      <c r="AC48" s="6">
        <f>VLOOKUP($C48,'Food Pairing Data'!$C$2:$S$188,14)</f>
        <v>1</v>
      </c>
      <c r="AD48" s="6">
        <f>VLOOKUP($C48,'Food Pairing Data'!$C$2:$S$188,15)</f>
        <v>0</v>
      </c>
      <c r="AE48" s="6">
        <f>VLOOKUP($C48,'Food Pairing Data'!$C$2:$S$188,16)</f>
        <v>0</v>
      </c>
      <c r="AF48" s="6">
        <f>VLOOKUP($C48,'Food Pairing Data'!$C$2:$S$188,17)</f>
        <v>0</v>
      </c>
      <c r="AG48" s="6" t="s">
        <v>379</v>
      </c>
      <c r="AH48" s="6" t="s">
        <v>380</v>
      </c>
    </row>
    <row r="49" spans="1:34" ht="14">
      <c r="A49" s="6">
        <f t="shared" si="0"/>
        <v>47</v>
      </c>
      <c r="B49" s="6" t="s">
        <v>23</v>
      </c>
      <c r="C49" s="6" t="s">
        <v>385</v>
      </c>
      <c r="D49" s="6" t="s">
        <v>380</v>
      </c>
      <c r="E49" s="22">
        <f>HLOOKUP(Output!$F$6,'Raw Data'!$T$2:$BO$88,(A49+1),)</f>
        <v>0</v>
      </c>
      <c r="F49" s="23">
        <f>IF(D49=Output!$B$6,1,0)</f>
        <v>0</v>
      </c>
      <c r="G49" s="23">
        <f>IF(K49&lt;=Output!$C$6,(200-'Raw Data'!K49),0)</f>
        <v>189.01</v>
      </c>
      <c r="H49" s="23">
        <v>5</v>
      </c>
      <c r="I49" s="24">
        <f>SUMPRODUCT(F49:H49,Output!$B$7:$D$7)*E49</f>
        <v>0</v>
      </c>
      <c r="J49" s="25">
        <v>0</v>
      </c>
      <c r="K49" s="20">
        <v>10.99</v>
      </c>
      <c r="L49" s="6" t="s">
        <v>403</v>
      </c>
      <c r="M49" s="6" t="s">
        <v>430</v>
      </c>
      <c r="N49" s="6" t="s">
        <v>382</v>
      </c>
      <c r="O49" s="6" t="s">
        <v>431</v>
      </c>
      <c r="P49" s="26">
        <v>13</v>
      </c>
      <c r="Q49" s="6" t="s">
        <v>195</v>
      </c>
      <c r="R49" s="6" t="s">
        <v>190</v>
      </c>
      <c r="S49" s="6" t="s">
        <v>199</v>
      </c>
      <c r="T49" s="6">
        <f>VLOOKUP($C49,'Food Pairing Data'!$C$2:$S$188,5)</f>
        <v>0</v>
      </c>
      <c r="U49" s="6">
        <f>VLOOKUP($C49,'Food Pairing Data'!$C$2:$S$188,6)</f>
        <v>0</v>
      </c>
      <c r="V49" s="6">
        <f>VLOOKUP($C49,'Food Pairing Data'!$C$2:$S$188,7)</f>
        <v>0</v>
      </c>
      <c r="W49" s="6">
        <f>VLOOKUP($C49,'Food Pairing Data'!$C$2:$S$188,8)</f>
        <v>0</v>
      </c>
      <c r="X49" s="6">
        <f>VLOOKUP($C49,'Food Pairing Data'!$C$2:$S$188,9)</f>
        <v>0</v>
      </c>
      <c r="Y49" s="6">
        <f>VLOOKUP($C49,'Food Pairing Data'!$C$2:$S$188,10)</f>
        <v>0</v>
      </c>
      <c r="Z49" s="6">
        <f>VLOOKUP($C49,'Food Pairing Data'!$C$2:$S$188,11)</f>
        <v>0</v>
      </c>
      <c r="AA49" s="6">
        <f>VLOOKUP($C49,'Food Pairing Data'!$C$2:$S$188,12)</f>
        <v>0</v>
      </c>
      <c r="AB49" s="6">
        <f>VLOOKUP($C49,'Food Pairing Data'!$C$2:$S$188,13)</f>
        <v>0</v>
      </c>
      <c r="AC49" s="6">
        <f>VLOOKUP($C49,'Food Pairing Data'!$C$2:$S$188,14)</f>
        <v>1</v>
      </c>
      <c r="AD49" s="6">
        <f>VLOOKUP($C49,'Food Pairing Data'!$C$2:$S$188,15)</f>
        <v>0</v>
      </c>
      <c r="AE49" s="6">
        <f>VLOOKUP($C49,'Food Pairing Data'!$C$2:$S$188,16)</f>
        <v>0</v>
      </c>
      <c r="AF49" s="6">
        <f>VLOOKUP($C49,'Food Pairing Data'!$C$2:$S$188,17)</f>
        <v>0</v>
      </c>
      <c r="AG49" s="6" t="s">
        <v>385</v>
      </c>
      <c r="AH49" s="6" t="s">
        <v>380</v>
      </c>
    </row>
    <row r="50" spans="1:34" ht="14">
      <c r="A50" s="6">
        <f t="shared" si="0"/>
        <v>48</v>
      </c>
      <c r="B50" s="6" t="s">
        <v>245</v>
      </c>
      <c r="C50" s="6" t="s">
        <v>432</v>
      </c>
      <c r="D50" s="6" t="s">
        <v>380</v>
      </c>
      <c r="E50" s="22">
        <f>HLOOKUP(Output!$F$6,'Raw Data'!$T$2:$BO$88,(A50+1),)</f>
        <v>0</v>
      </c>
      <c r="F50" s="23">
        <f>IF(D50=Output!$B$6,1,0)</f>
        <v>0</v>
      </c>
      <c r="G50" s="23">
        <f>IF(K50&lt;=Output!$C$6,(200-'Raw Data'!K50),0)</f>
        <v>191.01</v>
      </c>
      <c r="H50" s="23">
        <v>5</v>
      </c>
      <c r="I50" s="24">
        <f>SUMPRODUCT(F50:H50,Output!$B$7:$D$7)*E50</f>
        <v>0</v>
      </c>
      <c r="J50" s="25">
        <v>0</v>
      </c>
      <c r="K50" s="20">
        <v>8.99</v>
      </c>
      <c r="L50" s="6" t="s">
        <v>197</v>
      </c>
      <c r="M50" s="6" t="s">
        <v>198</v>
      </c>
      <c r="N50" s="6" t="s">
        <v>433</v>
      </c>
      <c r="O50" s="6" t="s">
        <v>434</v>
      </c>
      <c r="P50" s="26">
        <v>6</v>
      </c>
      <c r="Q50" s="6" t="s">
        <v>435</v>
      </c>
      <c r="R50" s="6" t="s">
        <v>436</v>
      </c>
      <c r="S50" s="6" t="s">
        <v>192</v>
      </c>
      <c r="T50" s="6">
        <f>VLOOKUP($C50,'Food Pairing Data'!$C$2:$S$188,5)</f>
        <v>0</v>
      </c>
      <c r="U50" s="6">
        <f>VLOOKUP($C50,'Food Pairing Data'!$C$2:$S$188,6)</f>
        <v>0</v>
      </c>
      <c r="V50" s="6">
        <f>VLOOKUP($C50,'Food Pairing Data'!$C$2:$S$188,7)</f>
        <v>0</v>
      </c>
      <c r="W50" s="6">
        <f>VLOOKUP($C50,'Food Pairing Data'!$C$2:$S$188,8)</f>
        <v>0</v>
      </c>
      <c r="X50" s="6">
        <f>VLOOKUP($C50,'Food Pairing Data'!$C$2:$S$188,9)</f>
        <v>0</v>
      </c>
      <c r="Y50" s="6">
        <f>VLOOKUP($C50,'Food Pairing Data'!$C$2:$S$188,10)</f>
        <v>0</v>
      </c>
      <c r="Z50" s="6">
        <f>VLOOKUP($C50,'Food Pairing Data'!$C$2:$S$188,11)</f>
        <v>0</v>
      </c>
      <c r="AA50" s="6">
        <f>VLOOKUP($C50,'Food Pairing Data'!$C$2:$S$188,12)</f>
        <v>0</v>
      </c>
      <c r="AB50" s="6">
        <f>VLOOKUP($C50,'Food Pairing Data'!$C$2:$S$188,13)</f>
        <v>0</v>
      </c>
      <c r="AC50" s="6">
        <f>VLOOKUP($C50,'Food Pairing Data'!$C$2:$S$188,14)</f>
        <v>1</v>
      </c>
      <c r="AD50" s="6">
        <f>VLOOKUP($C50,'Food Pairing Data'!$C$2:$S$188,15)</f>
        <v>0</v>
      </c>
      <c r="AE50" s="6">
        <f>VLOOKUP($C50,'Food Pairing Data'!$C$2:$S$188,16)</f>
        <v>0</v>
      </c>
      <c r="AF50" s="6">
        <f>VLOOKUP($C50,'Food Pairing Data'!$C$2:$S$188,17)</f>
        <v>0</v>
      </c>
      <c r="AG50" s="6" t="s">
        <v>432</v>
      </c>
      <c r="AH50" s="6" t="s">
        <v>380</v>
      </c>
    </row>
    <row r="51" spans="1:34" ht="14">
      <c r="A51" s="6">
        <f t="shared" si="0"/>
        <v>49</v>
      </c>
      <c r="B51" s="6" t="s">
        <v>245</v>
      </c>
      <c r="C51" s="6" t="s">
        <v>437</v>
      </c>
      <c r="D51" s="6" t="s">
        <v>380</v>
      </c>
      <c r="E51" s="22">
        <f>HLOOKUP(Output!$F$6,'Raw Data'!$T$2:$BO$88,(A51+1),)</f>
        <v>0</v>
      </c>
      <c r="F51" s="23">
        <f>IF(D51=Output!$B$6,1,0)</f>
        <v>0</v>
      </c>
      <c r="G51" s="23">
        <f>IF(K51&lt;=Output!$C$6,(200-'Raw Data'!K51),0)</f>
        <v>193.01</v>
      </c>
      <c r="H51" s="23">
        <v>5</v>
      </c>
      <c r="I51" s="24">
        <f>SUMPRODUCT(F51:H51,Output!$B$7:$D$7)*E51</f>
        <v>0</v>
      </c>
      <c r="J51" s="25">
        <v>0</v>
      </c>
      <c r="K51" s="20">
        <v>6.99</v>
      </c>
      <c r="L51" s="6" t="s">
        <v>438</v>
      </c>
      <c r="M51" s="6" t="s">
        <v>439</v>
      </c>
      <c r="N51" s="6" t="s">
        <v>382</v>
      </c>
      <c r="O51" s="6" t="s">
        <v>440</v>
      </c>
      <c r="P51" s="26">
        <v>13</v>
      </c>
      <c r="Q51" s="6" t="s">
        <v>441</v>
      </c>
      <c r="R51" s="6" t="s">
        <v>442</v>
      </c>
      <c r="S51" s="6" t="s">
        <v>443</v>
      </c>
      <c r="T51" s="6">
        <f>VLOOKUP($C51,'Food Pairing Data'!$C$2:$S$188,5)</f>
        <v>0</v>
      </c>
      <c r="U51" s="6">
        <f>VLOOKUP($C51,'Food Pairing Data'!$C$2:$S$188,6)</f>
        <v>0</v>
      </c>
      <c r="V51" s="6">
        <f>VLOOKUP($C51,'Food Pairing Data'!$C$2:$S$188,7)</f>
        <v>0</v>
      </c>
      <c r="W51" s="6">
        <f>VLOOKUP($C51,'Food Pairing Data'!$C$2:$S$188,8)</f>
        <v>0</v>
      </c>
      <c r="X51" s="6">
        <f>VLOOKUP($C51,'Food Pairing Data'!$C$2:$S$188,9)</f>
        <v>0</v>
      </c>
      <c r="Y51" s="6">
        <f>VLOOKUP($C51,'Food Pairing Data'!$C$2:$S$188,10)</f>
        <v>0</v>
      </c>
      <c r="Z51" s="6">
        <f>VLOOKUP($C51,'Food Pairing Data'!$C$2:$S$188,11)</f>
        <v>0</v>
      </c>
      <c r="AA51" s="6">
        <f>VLOOKUP($C51,'Food Pairing Data'!$C$2:$S$188,12)</f>
        <v>0</v>
      </c>
      <c r="AB51" s="6">
        <f>VLOOKUP($C51,'Food Pairing Data'!$C$2:$S$188,13)</f>
        <v>0</v>
      </c>
      <c r="AC51" s="6">
        <f>VLOOKUP($C51,'Food Pairing Data'!$C$2:$S$188,14)</f>
        <v>1</v>
      </c>
      <c r="AD51" s="6">
        <f>VLOOKUP($C51,'Food Pairing Data'!$C$2:$S$188,15)</f>
        <v>0</v>
      </c>
      <c r="AE51" s="6">
        <f>VLOOKUP($C51,'Food Pairing Data'!$C$2:$S$188,16)</f>
        <v>0</v>
      </c>
      <c r="AF51" s="6">
        <f>VLOOKUP($C51,'Food Pairing Data'!$C$2:$S$188,17)</f>
        <v>0</v>
      </c>
      <c r="AG51" s="6" t="s">
        <v>437</v>
      </c>
      <c r="AH51" s="6" t="s">
        <v>380</v>
      </c>
    </row>
    <row r="52" spans="1:34" ht="14">
      <c r="A52" s="6">
        <f t="shared" si="0"/>
        <v>50</v>
      </c>
      <c r="B52" s="6" t="s">
        <v>23</v>
      </c>
      <c r="C52" s="6" t="s">
        <v>444</v>
      </c>
      <c r="D52" s="6" t="s">
        <v>380</v>
      </c>
      <c r="E52" s="22">
        <f>HLOOKUP(Output!$F$6,'Raw Data'!$T$2:$BO$88,(A52+1),)</f>
        <v>0</v>
      </c>
      <c r="F52" s="23">
        <f>IF(D52=Output!$B$6,1,0)</f>
        <v>0</v>
      </c>
      <c r="G52" s="23">
        <f>IF(K52&lt;=Output!$C$6,(200-'Raw Data'!K52),0)</f>
        <v>180.01</v>
      </c>
      <c r="H52" s="23">
        <v>5</v>
      </c>
      <c r="I52" s="24">
        <f>SUMPRODUCT(F52:H52,Output!$B$7:$D$7)*E52</f>
        <v>0</v>
      </c>
      <c r="J52" s="25">
        <v>0</v>
      </c>
      <c r="K52" s="20">
        <v>19.989999999999998</v>
      </c>
      <c r="L52" s="6" t="s">
        <v>445</v>
      </c>
      <c r="M52" s="6" t="s">
        <v>446</v>
      </c>
      <c r="N52" s="6" t="s">
        <v>447</v>
      </c>
      <c r="O52" s="6" t="s">
        <v>448</v>
      </c>
      <c r="P52" s="26">
        <v>12.5</v>
      </c>
      <c r="Q52" s="6" t="s">
        <v>449</v>
      </c>
      <c r="R52" s="6" t="s">
        <v>450</v>
      </c>
      <c r="S52" s="6" t="s">
        <v>451</v>
      </c>
      <c r="T52" s="6">
        <f>VLOOKUP($C52,'Food Pairing Data'!$C$2:$S$188,5)</f>
        <v>0</v>
      </c>
      <c r="U52" s="6">
        <f>VLOOKUP($C52,'Food Pairing Data'!$C$2:$S$188,6)</f>
        <v>0</v>
      </c>
      <c r="V52" s="6">
        <f>VLOOKUP($C52,'Food Pairing Data'!$C$2:$S$188,7)</f>
        <v>0</v>
      </c>
      <c r="W52" s="6">
        <f>VLOOKUP($C52,'Food Pairing Data'!$C$2:$S$188,8)</f>
        <v>0</v>
      </c>
      <c r="X52" s="6">
        <f>VLOOKUP($C52,'Food Pairing Data'!$C$2:$S$188,9)</f>
        <v>0</v>
      </c>
      <c r="Y52" s="6">
        <f>VLOOKUP($C52,'Food Pairing Data'!$C$2:$S$188,10)</f>
        <v>0</v>
      </c>
      <c r="Z52" s="6">
        <f>VLOOKUP($C52,'Food Pairing Data'!$C$2:$S$188,11)</f>
        <v>0</v>
      </c>
      <c r="AA52" s="6">
        <f>VLOOKUP($C52,'Food Pairing Data'!$C$2:$S$188,12)</f>
        <v>0</v>
      </c>
      <c r="AB52" s="6">
        <f>VLOOKUP($C52,'Food Pairing Data'!$C$2:$S$188,13)</f>
        <v>0</v>
      </c>
      <c r="AC52" s="6">
        <f>VLOOKUP($C52,'Food Pairing Data'!$C$2:$S$188,14)</f>
        <v>1</v>
      </c>
      <c r="AD52" s="6">
        <f>VLOOKUP($C52,'Food Pairing Data'!$C$2:$S$188,15)</f>
        <v>0</v>
      </c>
      <c r="AE52" s="6">
        <f>VLOOKUP($C52,'Food Pairing Data'!$C$2:$S$188,16)</f>
        <v>0</v>
      </c>
      <c r="AF52" s="6">
        <f>VLOOKUP($C52,'Food Pairing Data'!$C$2:$S$188,17)</f>
        <v>0</v>
      </c>
      <c r="AG52" s="6" t="s">
        <v>444</v>
      </c>
      <c r="AH52" s="6" t="s">
        <v>380</v>
      </c>
    </row>
    <row r="53" spans="1:34" ht="14">
      <c r="A53" s="6">
        <f t="shared" si="0"/>
        <v>51</v>
      </c>
      <c r="B53" s="6" t="s">
        <v>23</v>
      </c>
      <c r="C53" s="6" t="s">
        <v>452</v>
      </c>
      <c r="D53" s="6" t="s">
        <v>380</v>
      </c>
      <c r="E53" s="22">
        <f>HLOOKUP(Output!$F$6,'Raw Data'!$T$2:$BO$88,(A53+1),)</f>
        <v>0</v>
      </c>
      <c r="F53" s="23">
        <f>IF(D53=Output!$B$6,1,0)</f>
        <v>0</v>
      </c>
      <c r="G53" s="23">
        <f>IF(K53&lt;=Output!$C$6,(200-'Raw Data'!K53),0)</f>
        <v>181.01</v>
      </c>
      <c r="H53" s="23">
        <v>5</v>
      </c>
      <c r="I53" s="24">
        <f>SUMPRODUCT(F53:H53,Output!$B$7:$D$7)*E53</f>
        <v>0</v>
      </c>
      <c r="J53" s="25">
        <v>0</v>
      </c>
      <c r="K53" s="20">
        <v>18.989999999999998</v>
      </c>
      <c r="L53" s="6" t="s">
        <v>453</v>
      </c>
      <c r="M53" s="6" t="s">
        <v>454</v>
      </c>
      <c r="N53" s="6" t="s">
        <v>455</v>
      </c>
      <c r="O53" s="6" t="s">
        <v>456</v>
      </c>
      <c r="P53" s="26">
        <v>12</v>
      </c>
      <c r="Q53" s="6" t="s">
        <v>449</v>
      </c>
      <c r="R53" s="6" t="s">
        <v>457</v>
      </c>
      <c r="S53" s="6" t="s">
        <v>458</v>
      </c>
      <c r="T53" s="6">
        <f>VLOOKUP($C53,'Food Pairing Data'!$C$2:$S$188,5)</f>
        <v>0</v>
      </c>
      <c r="U53" s="6">
        <f>VLOOKUP($C53,'Food Pairing Data'!$C$2:$S$188,6)</f>
        <v>0</v>
      </c>
      <c r="V53" s="6">
        <f>VLOOKUP($C53,'Food Pairing Data'!$C$2:$S$188,7)</f>
        <v>0</v>
      </c>
      <c r="W53" s="6">
        <f>VLOOKUP($C53,'Food Pairing Data'!$C$2:$S$188,8)</f>
        <v>0</v>
      </c>
      <c r="X53" s="6">
        <f>VLOOKUP($C53,'Food Pairing Data'!$C$2:$S$188,9)</f>
        <v>0</v>
      </c>
      <c r="Y53" s="6">
        <f>VLOOKUP($C53,'Food Pairing Data'!$C$2:$S$188,10)</f>
        <v>0</v>
      </c>
      <c r="Z53" s="6">
        <f>VLOOKUP($C53,'Food Pairing Data'!$C$2:$S$188,11)</f>
        <v>0</v>
      </c>
      <c r="AA53" s="6">
        <f>VLOOKUP($C53,'Food Pairing Data'!$C$2:$S$188,12)</f>
        <v>0</v>
      </c>
      <c r="AB53" s="6">
        <f>VLOOKUP($C53,'Food Pairing Data'!$C$2:$S$188,13)</f>
        <v>0</v>
      </c>
      <c r="AC53" s="6">
        <f>VLOOKUP($C53,'Food Pairing Data'!$C$2:$S$188,14)</f>
        <v>1</v>
      </c>
      <c r="AD53" s="6">
        <f>VLOOKUP($C53,'Food Pairing Data'!$C$2:$S$188,15)</f>
        <v>0</v>
      </c>
      <c r="AE53" s="6">
        <f>VLOOKUP($C53,'Food Pairing Data'!$C$2:$S$188,16)</f>
        <v>0</v>
      </c>
      <c r="AF53" s="6">
        <f>VLOOKUP($C53,'Food Pairing Data'!$C$2:$S$188,17)</f>
        <v>0</v>
      </c>
      <c r="AG53" s="6" t="s">
        <v>452</v>
      </c>
      <c r="AH53" s="6" t="s">
        <v>380</v>
      </c>
    </row>
    <row r="54" spans="1:34" ht="14">
      <c r="A54" s="6">
        <f t="shared" si="0"/>
        <v>52</v>
      </c>
      <c r="B54" s="6" t="s">
        <v>23</v>
      </c>
      <c r="C54" s="6" t="s">
        <v>459</v>
      </c>
      <c r="D54" s="6" t="s">
        <v>380</v>
      </c>
      <c r="E54" s="22">
        <f>HLOOKUP(Output!$F$6,'Raw Data'!$T$2:$BO$88,(A54+1),)</f>
        <v>0</v>
      </c>
      <c r="F54" s="23">
        <f>IF(D54=Output!$B$6,1,0)</f>
        <v>0</v>
      </c>
      <c r="G54" s="23">
        <f>IF(K54&lt;=Output!$C$6,(200-'Raw Data'!K54),0)</f>
        <v>183.01</v>
      </c>
      <c r="H54" s="23">
        <v>5</v>
      </c>
      <c r="I54" s="24">
        <f>SUMPRODUCT(F54:H54,Output!$B$7:$D$7)*E54</f>
        <v>0</v>
      </c>
      <c r="J54" s="25">
        <v>0</v>
      </c>
      <c r="K54" s="20">
        <v>16.989999999999998</v>
      </c>
      <c r="L54" s="6" t="s">
        <v>460</v>
      </c>
      <c r="M54" s="6" t="s">
        <v>461</v>
      </c>
      <c r="N54" s="6" t="s">
        <v>462</v>
      </c>
      <c r="O54" s="6" t="s">
        <v>463</v>
      </c>
      <c r="P54" s="26">
        <v>12.5</v>
      </c>
      <c r="Q54" s="6" t="s">
        <v>464</v>
      </c>
      <c r="R54" s="6" t="s">
        <v>465</v>
      </c>
      <c r="S54" s="6" t="s">
        <v>466</v>
      </c>
      <c r="T54" s="6">
        <f>VLOOKUP($C54,'Food Pairing Data'!$C$2:$S$188,5)</f>
        <v>0</v>
      </c>
      <c r="U54" s="6">
        <f>VLOOKUP($C54,'Food Pairing Data'!$C$2:$S$188,6)</f>
        <v>0</v>
      </c>
      <c r="V54" s="6">
        <f>VLOOKUP($C54,'Food Pairing Data'!$C$2:$S$188,7)</f>
        <v>0</v>
      </c>
      <c r="W54" s="6">
        <f>VLOOKUP($C54,'Food Pairing Data'!$C$2:$S$188,8)</f>
        <v>1</v>
      </c>
      <c r="X54" s="6">
        <f>VLOOKUP($C54,'Food Pairing Data'!$C$2:$S$188,9)</f>
        <v>0</v>
      </c>
      <c r="Y54" s="6">
        <f>VLOOKUP($C54,'Food Pairing Data'!$C$2:$S$188,10)</f>
        <v>1</v>
      </c>
      <c r="Z54" s="6">
        <f>VLOOKUP($C54,'Food Pairing Data'!$C$2:$S$188,11)</f>
        <v>0</v>
      </c>
      <c r="AA54" s="6">
        <f>VLOOKUP($C54,'Food Pairing Data'!$C$2:$S$188,12)</f>
        <v>0</v>
      </c>
      <c r="AB54" s="6">
        <f>VLOOKUP($C54,'Food Pairing Data'!$C$2:$S$188,13)</f>
        <v>0</v>
      </c>
      <c r="AC54" s="6">
        <f>VLOOKUP($C54,'Food Pairing Data'!$C$2:$S$188,14)</f>
        <v>0</v>
      </c>
      <c r="AD54" s="6">
        <f>VLOOKUP($C54,'Food Pairing Data'!$C$2:$S$188,15)</f>
        <v>0</v>
      </c>
      <c r="AE54" s="6">
        <f>VLOOKUP($C54,'Food Pairing Data'!$C$2:$S$188,16)</f>
        <v>0</v>
      </c>
      <c r="AF54" s="6">
        <f>VLOOKUP($C54,'Food Pairing Data'!$C$2:$S$188,17)</f>
        <v>0</v>
      </c>
      <c r="AG54" s="6" t="s">
        <v>459</v>
      </c>
      <c r="AH54" s="6" t="s">
        <v>380</v>
      </c>
    </row>
    <row r="55" spans="1:34" ht="14">
      <c r="A55" s="6">
        <f t="shared" si="0"/>
        <v>53</v>
      </c>
      <c r="B55" s="6" t="s">
        <v>245</v>
      </c>
      <c r="C55" s="6" t="s">
        <v>467</v>
      </c>
      <c r="D55" s="6" t="s">
        <v>380</v>
      </c>
      <c r="E55" s="22">
        <f>HLOOKUP(Output!$F$6,'Raw Data'!$T$2:$BO$88,(A55+1),)</f>
        <v>0</v>
      </c>
      <c r="F55" s="23">
        <f>IF(D55=Output!$B$6,1,0)</f>
        <v>0</v>
      </c>
      <c r="G55" s="23">
        <f>IF(K55&lt;=Output!$C$6,(200-'Raw Data'!K55),0)</f>
        <v>191.01</v>
      </c>
      <c r="H55" s="23">
        <v>4.5</v>
      </c>
      <c r="I55" s="24">
        <f>SUMPRODUCT(F55:H55,Output!$B$7:$D$7)*E55</f>
        <v>0</v>
      </c>
      <c r="J55" s="25">
        <v>0</v>
      </c>
      <c r="K55" s="20">
        <v>8.99</v>
      </c>
      <c r="L55" s="6" t="s">
        <v>460</v>
      </c>
      <c r="M55" s="6" t="s">
        <v>468</v>
      </c>
      <c r="N55" s="6" t="s">
        <v>469</v>
      </c>
      <c r="O55" s="6" t="s">
        <v>470</v>
      </c>
      <c r="P55" s="26">
        <v>13</v>
      </c>
      <c r="Q55" s="6" t="s">
        <v>471</v>
      </c>
      <c r="R55" s="6" t="s">
        <v>472</v>
      </c>
      <c r="S55" s="6" t="s">
        <v>473</v>
      </c>
      <c r="T55" s="6">
        <f>VLOOKUP($C55,'Food Pairing Data'!$C$2:$S$188,5)</f>
        <v>0</v>
      </c>
      <c r="U55" s="6">
        <f>VLOOKUP($C55,'Food Pairing Data'!$C$2:$S$188,6)</f>
        <v>0</v>
      </c>
      <c r="V55" s="6">
        <f>VLOOKUP($C55,'Food Pairing Data'!$C$2:$S$188,7)</f>
        <v>0</v>
      </c>
      <c r="W55" s="6">
        <f>VLOOKUP($C55,'Food Pairing Data'!$C$2:$S$188,8)</f>
        <v>0</v>
      </c>
      <c r="X55" s="6">
        <f>VLOOKUP($C55,'Food Pairing Data'!$C$2:$S$188,9)</f>
        <v>0</v>
      </c>
      <c r="Y55" s="6">
        <f>VLOOKUP($C55,'Food Pairing Data'!$C$2:$S$188,10)</f>
        <v>0</v>
      </c>
      <c r="Z55" s="6">
        <f>VLOOKUP($C55,'Food Pairing Data'!$C$2:$S$188,11)</f>
        <v>0</v>
      </c>
      <c r="AA55" s="6">
        <f>VLOOKUP($C55,'Food Pairing Data'!$C$2:$S$188,12)</f>
        <v>0</v>
      </c>
      <c r="AB55" s="6">
        <f>VLOOKUP($C55,'Food Pairing Data'!$C$2:$S$188,13)</f>
        <v>0</v>
      </c>
      <c r="AC55" s="6">
        <f>VLOOKUP($C55,'Food Pairing Data'!$C$2:$S$188,14)</f>
        <v>1</v>
      </c>
      <c r="AD55" s="6">
        <f>VLOOKUP($C55,'Food Pairing Data'!$C$2:$S$188,15)</f>
        <v>0</v>
      </c>
      <c r="AE55" s="6">
        <f>VLOOKUP($C55,'Food Pairing Data'!$C$2:$S$188,16)</f>
        <v>0</v>
      </c>
      <c r="AF55" s="6">
        <f>VLOOKUP($C55,'Food Pairing Data'!$C$2:$S$188,17)</f>
        <v>0</v>
      </c>
      <c r="AG55" s="6" t="s">
        <v>467</v>
      </c>
      <c r="AH55" s="6" t="s">
        <v>380</v>
      </c>
    </row>
    <row r="56" spans="1:34" ht="14">
      <c r="A56" s="6">
        <f t="shared" si="0"/>
        <v>54</v>
      </c>
      <c r="B56" s="6" t="s">
        <v>245</v>
      </c>
      <c r="C56" s="6" t="s">
        <v>474</v>
      </c>
      <c r="D56" s="6" t="s">
        <v>380</v>
      </c>
      <c r="E56" s="22">
        <f>HLOOKUP(Output!$F$6,'Raw Data'!$T$2:$BO$88,(A56+1),)</f>
        <v>0</v>
      </c>
      <c r="F56" s="23">
        <f>IF(D56=Output!$B$6,1,0)</f>
        <v>0</v>
      </c>
      <c r="G56" s="23">
        <f>IF(K56&lt;=Output!$C$6,(200-'Raw Data'!K56),0)</f>
        <v>191.01</v>
      </c>
      <c r="H56" s="23">
        <v>4.5</v>
      </c>
      <c r="I56" s="24">
        <f>SUMPRODUCT(F56:H56,Output!$B$7:$D$7)*E56</f>
        <v>0</v>
      </c>
      <c r="J56" s="25">
        <v>0</v>
      </c>
      <c r="K56" s="20">
        <v>8.99</v>
      </c>
      <c r="L56" s="6" t="s">
        <v>475</v>
      </c>
      <c r="M56" s="6" t="s">
        <v>476</v>
      </c>
      <c r="N56" s="6" t="s">
        <v>477</v>
      </c>
      <c r="O56" s="6" t="s">
        <v>478</v>
      </c>
      <c r="P56" s="26">
        <v>14</v>
      </c>
      <c r="Q56" s="6" t="s">
        <v>479</v>
      </c>
      <c r="R56" s="6" t="s">
        <v>480</v>
      </c>
      <c r="S56" s="6" t="s">
        <v>481</v>
      </c>
      <c r="T56" s="6">
        <f>VLOOKUP($C56,'Food Pairing Data'!$C$2:$S$188,5)</f>
        <v>0</v>
      </c>
      <c r="U56" s="6">
        <f>VLOOKUP($C56,'Food Pairing Data'!$C$2:$S$188,6)</f>
        <v>0</v>
      </c>
      <c r="V56" s="6">
        <f>VLOOKUP($C56,'Food Pairing Data'!$C$2:$S$188,7)</f>
        <v>0</v>
      </c>
      <c r="W56" s="6">
        <f>VLOOKUP($C56,'Food Pairing Data'!$C$2:$S$188,8)</f>
        <v>0</v>
      </c>
      <c r="X56" s="6">
        <f>VLOOKUP($C56,'Food Pairing Data'!$C$2:$S$188,9)</f>
        <v>0</v>
      </c>
      <c r="Y56" s="6">
        <f>VLOOKUP($C56,'Food Pairing Data'!$C$2:$S$188,10)</f>
        <v>0</v>
      </c>
      <c r="Z56" s="6">
        <f>VLOOKUP($C56,'Food Pairing Data'!$C$2:$S$188,11)</f>
        <v>0</v>
      </c>
      <c r="AA56" s="6">
        <f>VLOOKUP($C56,'Food Pairing Data'!$C$2:$S$188,12)</f>
        <v>0</v>
      </c>
      <c r="AB56" s="6">
        <f>VLOOKUP($C56,'Food Pairing Data'!$C$2:$S$188,13)</f>
        <v>0</v>
      </c>
      <c r="AC56" s="6">
        <f>VLOOKUP($C56,'Food Pairing Data'!$C$2:$S$188,14)</f>
        <v>1</v>
      </c>
      <c r="AD56" s="6">
        <f>VLOOKUP($C56,'Food Pairing Data'!$C$2:$S$188,15)</f>
        <v>0</v>
      </c>
      <c r="AE56" s="6">
        <f>VLOOKUP($C56,'Food Pairing Data'!$C$2:$S$188,16)</f>
        <v>0</v>
      </c>
      <c r="AF56" s="6">
        <f>VLOOKUP($C56,'Food Pairing Data'!$C$2:$S$188,17)</f>
        <v>0</v>
      </c>
      <c r="AG56" s="6" t="s">
        <v>474</v>
      </c>
      <c r="AH56" s="6" t="s">
        <v>380</v>
      </c>
    </row>
    <row r="57" spans="1:34" ht="14">
      <c r="A57" s="6">
        <f t="shared" si="0"/>
        <v>55</v>
      </c>
      <c r="B57" s="6" t="s">
        <v>181</v>
      </c>
      <c r="C57" s="6" t="s">
        <v>482</v>
      </c>
      <c r="D57" s="6" t="s">
        <v>380</v>
      </c>
      <c r="E57" s="22">
        <f>HLOOKUP(Output!$F$6,'Raw Data'!$T$2:$BO$88,(A57+1),)</f>
        <v>0</v>
      </c>
      <c r="F57" s="23">
        <f>IF(D57=Output!$B$6,1,0)</f>
        <v>0</v>
      </c>
      <c r="G57" s="23">
        <f>IF(K57&lt;=Output!$C$6,(200-'Raw Data'!K57),0)</f>
        <v>0</v>
      </c>
      <c r="H57" s="23">
        <v>4</v>
      </c>
      <c r="I57" s="24">
        <f>SUMPRODUCT(F57:H57,Output!$B$7:$D$7)*E57</f>
        <v>0</v>
      </c>
      <c r="J57" s="25">
        <v>0</v>
      </c>
      <c r="K57" s="20">
        <v>36.99</v>
      </c>
      <c r="L57" s="6" t="s">
        <v>508</v>
      </c>
      <c r="M57" s="6" t="s">
        <v>509</v>
      </c>
      <c r="N57" s="6" t="s">
        <v>510</v>
      </c>
      <c r="O57" s="6" t="s">
        <v>511</v>
      </c>
      <c r="P57" s="26">
        <v>0.14000000000000001</v>
      </c>
      <c r="Q57" s="6" t="s">
        <v>143</v>
      </c>
      <c r="R57" s="6" t="s">
        <v>36</v>
      </c>
      <c r="S57" s="6" t="s">
        <v>512</v>
      </c>
      <c r="T57" s="6">
        <f>VLOOKUP($C57,'Food Pairing Data'!$C$2:$S$188,5)</f>
        <v>0</v>
      </c>
      <c r="U57" s="6">
        <f>VLOOKUP($C57,'Food Pairing Data'!$C$2:$S$188,6)</f>
        <v>0</v>
      </c>
      <c r="V57" s="6">
        <f>VLOOKUP($C57,'Food Pairing Data'!$C$2:$S$188,7)</f>
        <v>0</v>
      </c>
      <c r="W57" s="6">
        <f>VLOOKUP($C57,'Food Pairing Data'!$C$2:$S$188,8)</f>
        <v>0</v>
      </c>
      <c r="X57" s="6">
        <f>VLOOKUP($C57,'Food Pairing Data'!$C$2:$S$188,9)</f>
        <v>0</v>
      </c>
      <c r="Y57" s="6">
        <f>VLOOKUP($C57,'Food Pairing Data'!$C$2:$S$188,10)</f>
        <v>0</v>
      </c>
      <c r="Z57" s="6">
        <f>VLOOKUP($C57,'Food Pairing Data'!$C$2:$S$188,11)</f>
        <v>0</v>
      </c>
      <c r="AA57" s="6">
        <f>VLOOKUP($C57,'Food Pairing Data'!$C$2:$S$188,12)</f>
        <v>0</v>
      </c>
      <c r="AB57" s="6">
        <f>VLOOKUP($C57,'Food Pairing Data'!$C$2:$S$188,13)</f>
        <v>0</v>
      </c>
      <c r="AC57" s="6">
        <f>VLOOKUP($C57,'Food Pairing Data'!$C$2:$S$188,14)</f>
        <v>1</v>
      </c>
      <c r="AD57" s="6">
        <f>VLOOKUP($C57,'Food Pairing Data'!$C$2:$S$188,15)</f>
        <v>0</v>
      </c>
      <c r="AE57" s="6">
        <f>VLOOKUP($C57,'Food Pairing Data'!$C$2:$S$188,16)</f>
        <v>0</v>
      </c>
      <c r="AF57" s="6">
        <f>VLOOKUP($C57,'Food Pairing Data'!$C$2:$S$188,17)</f>
        <v>0</v>
      </c>
      <c r="AG57" s="6" t="s">
        <v>482</v>
      </c>
      <c r="AH57" s="6" t="s">
        <v>380</v>
      </c>
    </row>
    <row r="58" spans="1:34" ht="14">
      <c r="A58" s="6">
        <f t="shared" si="0"/>
        <v>56</v>
      </c>
      <c r="B58" s="6" t="s">
        <v>23</v>
      </c>
      <c r="C58" s="6" t="s">
        <v>513</v>
      </c>
      <c r="D58" s="6" t="s">
        <v>380</v>
      </c>
      <c r="E58" s="22">
        <f>HLOOKUP(Output!$F$6,'Raw Data'!$T$2:$BO$88,(A58+1),)</f>
        <v>0</v>
      </c>
      <c r="F58" s="23">
        <f>IF(D58=Output!$B$6,1,0)</f>
        <v>0</v>
      </c>
      <c r="G58" s="23">
        <f>IF(K58&lt;=Output!$C$6,(200-'Raw Data'!K58),0)</f>
        <v>185.01</v>
      </c>
      <c r="H58" s="23">
        <v>4</v>
      </c>
      <c r="I58" s="24">
        <f>SUMPRODUCT(F58:H58,Output!$B$7:$D$7)*E58</f>
        <v>0</v>
      </c>
      <c r="J58" s="25">
        <v>0</v>
      </c>
      <c r="K58" s="20">
        <v>14.99</v>
      </c>
      <c r="L58" s="6" t="s">
        <v>514</v>
      </c>
      <c r="M58" s="6" t="s">
        <v>515</v>
      </c>
      <c r="N58" s="6" t="s">
        <v>516</v>
      </c>
      <c r="O58" s="6" t="s">
        <v>517</v>
      </c>
      <c r="P58" s="26">
        <v>0.105</v>
      </c>
      <c r="Q58" s="6" t="s">
        <v>518</v>
      </c>
      <c r="R58" s="6" t="s">
        <v>98</v>
      </c>
      <c r="S58" s="6" t="s">
        <v>148</v>
      </c>
      <c r="T58" s="6">
        <f>VLOOKUP($C58,'Food Pairing Data'!$C$2:$S$188,5)</f>
        <v>0</v>
      </c>
      <c r="U58" s="6">
        <f>VLOOKUP($C58,'Food Pairing Data'!$C$2:$S$188,6)</f>
        <v>0</v>
      </c>
      <c r="V58" s="6">
        <f>VLOOKUP($C58,'Food Pairing Data'!$C$2:$S$188,7)</f>
        <v>0</v>
      </c>
      <c r="W58" s="6">
        <f>VLOOKUP($C58,'Food Pairing Data'!$C$2:$S$188,8)</f>
        <v>0</v>
      </c>
      <c r="X58" s="6">
        <f>VLOOKUP($C58,'Food Pairing Data'!$C$2:$S$188,9)</f>
        <v>0</v>
      </c>
      <c r="Y58" s="6">
        <f>VLOOKUP($C58,'Food Pairing Data'!$C$2:$S$188,10)</f>
        <v>0</v>
      </c>
      <c r="Z58" s="6">
        <f>VLOOKUP($C58,'Food Pairing Data'!$C$2:$S$188,11)</f>
        <v>0</v>
      </c>
      <c r="AA58" s="6">
        <f>VLOOKUP($C58,'Food Pairing Data'!$C$2:$S$188,12)</f>
        <v>0</v>
      </c>
      <c r="AB58" s="6">
        <f>VLOOKUP($C58,'Food Pairing Data'!$C$2:$S$188,13)</f>
        <v>0</v>
      </c>
      <c r="AC58" s="6">
        <f>VLOOKUP($C58,'Food Pairing Data'!$C$2:$S$188,14)</f>
        <v>1</v>
      </c>
      <c r="AD58" s="6">
        <f>VLOOKUP($C58,'Food Pairing Data'!$C$2:$S$188,15)</f>
        <v>0</v>
      </c>
      <c r="AE58" s="6">
        <f>VLOOKUP($C58,'Food Pairing Data'!$C$2:$S$188,16)</f>
        <v>0</v>
      </c>
      <c r="AF58" s="6">
        <f>VLOOKUP($C58,'Food Pairing Data'!$C$2:$S$188,17)</f>
        <v>0</v>
      </c>
      <c r="AG58" s="6" t="s">
        <v>513</v>
      </c>
      <c r="AH58" s="6" t="s">
        <v>380</v>
      </c>
    </row>
    <row r="59" spans="1:34" ht="14">
      <c r="A59" s="6">
        <f t="shared" si="0"/>
        <v>57</v>
      </c>
      <c r="B59" s="6" t="s">
        <v>23</v>
      </c>
      <c r="C59" s="6" t="s">
        <v>519</v>
      </c>
      <c r="D59" s="6" t="s">
        <v>380</v>
      </c>
      <c r="E59" s="22">
        <f>HLOOKUP(Output!$F$6,'Raw Data'!$T$2:$BO$88,(A59+1),)</f>
        <v>0</v>
      </c>
      <c r="F59" s="23">
        <f>IF(D59=Output!$B$6,1,0)</f>
        <v>0</v>
      </c>
      <c r="G59" s="23">
        <f>IF(K59&lt;=Output!$C$6,(200-'Raw Data'!K59),0)</f>
        <v>188.01</v>
      </c>
      <c r="H59" s="23">
        <v>4</v>
      </c>
      <c r="I59" s="24">
        <f>SUMPRODUCT(F59:H59,Output!$B$7:$D$7)*E59</f>
        <v>0</v>
      </c>
      <c r="J59" s="25">
        <v>0</v>
      </c>
      <c r="K59" s="20">
        <v>11.99</v>
      </c>
      <c r="L59" s="6" t="s">
        <v>508</v>
      </c>
      <c r="M59" s="6" t="s">
        <v>520</v>
      </c>
      <c r="N59" s="6" t="s">
        <v>521</v>
      </c>
      <c r="O59" s="6" t="s">
        <v>522</v>
      </c>
      <c r="P59" s="26">
        <v>0.125</v>
      </c>
      <c r="Q59" s="6" t="s">
        <v>523</v>
      </c>
      <c r="R59" s="6" t="s">
        <v>93</v>
      </c>
      <c r="S59" s="6" t="s">
        <v>512</v>
      </c>
      <c r="T59" s="6">
        <f>VLOOKUP($C59,'Food Pairing Data'!$C$2:$S$188,5)</f>
        <v>0</v>
      </c>
      <c r="U59" s="6">
        <f>VLOOKUP($C59,'Food Pairing Data'!$C$2:$S$188,6)</f>
        <v>0</v>
      </c>
      <c r="V59" s="6">
        <f>VLOOKUP($C59,'Food Pairing Data'!$C$2:$S$188,7)</f>
        <v>0</v>
      </c>
      <c r="W59" s="6">
        <f>VLOOKUP($C59,'Food Pairing Data'!$C$2:$S$188,8)</f>
        <v>0</v>
      </c>
      <c r="X59" s="6">
        <f>VLOOKUP($C59,'Food Pairing Data'!$C$2:$S$188,9)</f>
        <v>0</v>
      </c>
      <c r="Y59" s="6">
        <f>VLOOKUP($C59,'Food Pairing Data'!$C$2:$S$188,10)</f>
        <v>0</v>
      </c>
      <c r="Z59" s="6">
        <f>VLOOKUP($C59,'Food Pairing Data'!$C$2:$S$188,11)</f>
        <v>0</v>
      </c>
      <c r="AA59" s="6">
        <f>VLOOKUP($C59,'Food Pairing Data'!$C$2:$S$188,12)</f>
        <v>0</v>
      </c>
      <c r="AB59" s="6">
        <f>VLOOKUP($C59,'Food Pairing Data'!$C$2:$S$188,13)</f>
        <v>0</v>
      </c>
      <c r="AC59" s="6">
        <f>VLOOKUP($C59,'Food Pairing Data'!$C$2:$S$188,14)</f>
        <v>1</v>
      </c>
      <c r="AD59" s="6">
        <f>VLOOKUP($C59,'Food Pairing Data'!$C$2:$S$188,15)</f>
        <v>0</v>
      </c>
      <c r="AE59" s="6">
        <f>VLOOKUP($C59,'Food Pairing Data'!$C$2:$S$188,16)</f>
        <v>0</v>
      </c>
      <c r="AF59" s="6">
        <f>VLOOKUP($C59,'Food Pairing Data'!$C$2:$S$188,17)</f>
        <v>0</v>
      </c>
      <c r="AG59" s="6" t="s">
        <v>519</v>
      </c>
      <c r="AH59" s="6" t="s">
        <v>380</v>
      </c>
    </row>
    <row r="60" spans="1:34" ht="14">
      <c r="A60" s="6">
        <f t="shared" si="0"/>
        <v>58</v>
      </c>
      <c r="B60" s="6" t="s">
        <v>23</v>
      </c>
      <c r="C60" s="6" t="s">
        <v>524</v>
      </c>
      <c r="D60" s="6" t="s">
        <v>380</v>
      </c>
      <c r="E60" s="22">
        <f>HLOOKUP(Output!$F$6,'Raw Data'!$T$2:$BO$88,(A60+1),)</f>
        <v>0</v>
      </c>
      <c r="F60" s="23">
        <f>IF(D60=Output!$B$6,1,0)</f>
        <v>0</v>
      </c>
      <c r="G60" s="23">
        <f>IF(K60&lt;=Output!$C$6,(200-'Raw Data'!K60),0)</f>
        <v>189.01</v>
      </c>
      <c r="H60" s="23">
        <v>4</v>
      </c>
      <c r="I60" s="24">
        <f>SUMPRODUCT(F60:H60,Output!$B$7:$D$7)*E60</f>
        <v>0</v>
      </c>
      <c r="J60" s="25">
        <v>0</v>
      </c>
      <c r="K60" s="20">
        <v>10.99</v>
      </c>
      <c r="L60" s="6" t="s">
        <v>525</v>
      </c>
      <c r="M60" s="6" t="s">
        <v>526</v>
      </c>
      <c r="N60" s="6" t="s">
        <v>527</v>
      </c>
      <c r="O60" s="6" t="s">
        <v>528</v>
      </c>
      <c r="P60" s="26">
        <v>0.115</v>
      </c>
      <c r="Q60" s="6" t="s">
        <v>523</v>
      </c>
      <c r="R60" s="6" t="s">
        <v>529</v>
      </c>
      <c r="S60" s="6" t="s">
        <v>512</v>
      </c>
      <c r="T60" s="6">
        <f>VLOOKUP($C60,'Food Pairing Data'!$C$2:$S$188,5)</f>
        <v>0</v>
      </c>
      <c r="U60" s="6">
        <f>VLOOKUP($C60,'Food Pairing Data'!$C$2:$S$188,6)</f>
        <v>0</v>
      </c>
      <c r="V60" s="6">
        <f>VLOOKUP($C60,'Food Pairing Data'!$C$2:$S$188,7)</f>
        <v>0</v>
      </c>
      <c r="W60" s="6">
        <f>VLOOKUP($C60,'Food Pairing Data'!$C$2:$S$188,8)</f>
        <v>1</v>
      </c>
      <c r="X60" s="6">
        <f>VLOOKUP($C60,'Food Pairing Data'!$C$2:$S$188,9)</f>
        <v>0</v>
      </c>
      <c r="Y60" s="6">
        <f>VLOOKUP($C60,'Food Pairing Data'!$C$2:$S$188,10)</f>
        <v>1</v>
      </c>
      <c r="Z60" s="6">
        <f>VLOOKUP($C60,'Food Pairing Data'!$C$2:$S$188,11)</f>
        <v>0</v>
      </c>
      <c r="AA60" s="6">
        <f>VLOOKUP($C60,'Food Pairing Data'!$C$2:$S$188,12)</f>
        <v>0</v>
      </c>
      <c r="AB60" s="6">
        <f>VLOOKUP($C60,'Food Pairing Data'!$C$2:$S$188,13)</f>
        <v>0</v>
      </c>
      <c r="AC60" s="6">
        <f>VLOOKUP($C60,'Food Pairing Data'!$C$2:$S$188,14)</f>
        <v>0</v>
      </c>
      <c r="AD60" s="6">
        <f>VLOOKUP($C60,'Food Pairing Data'!$C$2:$S$188,15)</f>
        <v>0</v>
      </c>
      <c r="AE60" s="6">
        <f>VLOOKUP($C60,'Food Pairing Data'!$C$2:$S$188,16)</f>
        <v>0</v>
      </c>
      <c r="AF60" s="6">
        <f>VLOOKUP($C60,'Food Pairing Data'!$C$2:$S$188,17)</f>
        <v>0</v>
      </c>
      <c r="AG60" s="6" t="s">
        <v>524</v>
      </c>
      <c r="AH60" s="6" t="s">
        <v>380</v>
      </c>
    </row>
    <row r="61" spans="1:34" ht="14">
      <c r="A61" s="6">
        <f t="shared" si="0"/>
        <v>59</v>
      </c>
      <c r="B61" s="6" t="s">
        <v>245</v>
      </c>
      <c r="C61" s="6" t="s">
        <v>530</v>
      </c>
      <c r="D61" s="6" t="s">
        <v>380</v>
      </c>
      <c r="E61" s="22">
        <f>HLOOKUP(Output!$F$6,'Raw Data'!$T$2:$BO$88,(A61+1),)</f>
        <v>0</v>
      </c>
      <c r="F61" s="23">
        <f>IF(D61=Output!$B$6,1,0)</f>
        <v>0</v>
      </c>
      <c r="G61" s="23">
        <f>IF(K61&lt;=Output!$C$6,(200-'Raw Data'!K61),0)</f>
        <v>190.01</v>
      </c>
      <c r="H61" s="23">
        <v>4</v>
      </c>
      <c r="I61" s="24">
        <f>SUMPRODUCT(F61:H61,Output!$B$7:$D$7)*E61</f>
        <v>0</v>
      </c>
      <c r="J61" s="25">
        <v>0</v>
      </c>
      <c r="K61" s="20">
        <v>9.99</v>
      </c>
      <c r="L61" s="6" t="s">
        <v>531</v>
      </c>
      <c r="M61" s="6" t="s">
        <v>532</v>
      </c>
      <c r="N61" s="6" t="s">
        <v>533</v>
      </c>
      <c r="O61" s="6" t="s">
        <v>534</v>
      </c>
      <c r="P61" s="26">
        <v>0.125</v>
      </c>
      <c r="Q61" s="6" t="s">
        <v>535</v>
      </c>
      <c r="R61" s="6" t="s">
        <v>536</v>
      </c>
      <c r="S61" s="6" t="s">
        <v>512</v>
      </c>
      <c r="T61" s="6">
        <v>0</v>
      </c>
      <c r="U61" s="6">
        <v>0</v>
      </c>
      <c r="V61" s="6">
        <v>1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1</v>
      </c>
      <c r="AE61" s="6">
        <v>0</v>
      </c>
      <c r="AF61" s="6">
        <v>0</v>
      </c>
      <c r="AG61" s="6" t="s">
        <v>530</v>
      </c>
      <c r="AH61" s="6" t="s">
        <v>380</v>
      </c>
    </row>
    <row r="62" spans="1:34" ht="14">
      <c r="A62" s="6">
        <f t="shared" si="0"/>
        <v>60</v>
      </c>
      <c r="B62" s="6" t="s">
        <v>245</v>
      </c>
      <c r="C62" s="6" t="s">
        <v>537</v>
      </c>
      <c r="D62" s="6" t="s">
        <v>380</v>
      </c>
      <c r="E62" s="22">
        <f>HLOOKUP(Output!$F$6,'Raw Data'!$T$2:$BO$88,(A62+1),)</f>
        <v>0</v>
      </c>
      <c r="F62" s="23">
        <f>IF(D62=Output!$B$6,1,0)</f>
        <v>0</v>
      </c>
      <c r="G62" s="23">
        <f>IF(K62&lt;=Output!$C$6,(200-'Raw Data'!K62),0)</f>
        <v>190.01</v>
      </c>
      <c r="H62" s="23">
        <v>4</v>
      </c>
      <c r="I62" s="24">
        <f>SUMPRODUCT(F62:H62,Output!$B$7:$D$7)*E62</f>
        <v>0</v>
      </c>
      <c r="J62" s="25">
        <v>0</v>
      </c>
      <c r="K62" s="20">
        <v>9.99</v>
      </c>
      <c r="L62" s="6" t="s">
        <v>538</v>
      </c>
      <c r="M62" s="6" t="s">
        <v>539</v>
      </c>
      <c r="N62" s="6" t="s">
        <v>299</v>
      </c>
      <c r="O62" s="6" t="s">
        <v>540</v>
      </c>
      <c r="P62" s="26">
        <v>0.13500000000000001</v>
      </c>
      <c r="Q62" s="6" t="s">
        <v>75</v>
      </c>
      <c r="R62" s="6" t="s">
        <v>152</v>
      </c>
      <c r="S62" s="6" t="s">
        <v>512</v>
      </c>
      <c r="T62" s="6">
        <f>VLOOKUP($C62,'Food Pairing Data'!$C$2:$S$188,5)</f>
        <v>0</v>
      </c>
      <c r="U62" s="6">
        <f>VLOOKUP($C62,'Food Pairing Data'!$C$2:$S$188,6)</f>
        <v>0</v>
      </c>
      <c r="V62" s="6">
        <f>VLOOKUP($C62,'Food Pairing Data'!$C$2:$S$188,7)</f>
        <v>0</v>
      </c>
      <c r="W62" s="6">
        <f>VLOOKUP($C62,'Food Pairing Data'!$C$2:$S$188,8)</f>
        <v>0</v>
      </c>
      <c r="X62" s="6">
        <f>VLOOKUP($C62,'Food Pairing Data'!$C$2:$S$188,9)</f>
        <v>0</v>
      </c>
      <c r="Y62" s="6">
        <f>VLOOKUP($C62,'Food Pairing Data'!$C$2:$S$188,10)</f>
        <v>0</v>
      </c>
      <c r="Z62" s="6">
        <f>VLOOKUP($C62,'Food Pairing Data'!$C$2:$S$188,11)</f>
        <v>0</v>
      </c>
      <c r="AA62" s="6">
        <f>VLOOKUP($C62,'Food Pairing Data'!$C$2:$S$188,12)</f>
        <v>0</v>
      </c>
      <c r="AB62" s="6">
        <f>VLOOKUP($C62,'Food Pairing Data'!$C$2:$S$188,13)</f>
        <v>0</v>
      </c>
      <c r="AC62" s="6">
        <f>VLOOKUP($C62,'Food Pairing Data'!$C$2:$S$188,14)</f>
        <v>1</v>
      </c>
      <c r="AD62" s="6">
        <f>VLOOKUP($C62,'Food Pairing Data'!$C$2:$S$188,15)</f>
        <v>0</v>
      </c>
      <c r="AE62" s="6">
        <f>VLOOKUP($C62,'Food Pairing Data'!$C$2:$S$188,16)</f>
        <v>0</v>
      </c>
      <c r="AF62" s="6">
        <f>VLOOKUP($C62,'Food Pairing Data'!$C$2:$S$188,17)</f>
        <v>0</v>
      </c>
      <c r="AG62" s="6" t="s">
        <v>537</v>
      </c>
      <c r="AH62" s="6" t="s">
        <v>380</v>
      </c>
    </row>
    <row r="63" spans="1:34" ht="14">
      <c r="A63" s="6">
        <f t="shared" si="0"/>
        <v>61</v>
      </c>
      <c r="B63" s="6" t="s">
        <v>23</v>
      </c>
      <c r="C63" s="6" t="s">
        <v>541</v>
      </c>
      <c r="D63" s="6" t="s">
        <v>380</v>
      </c>
      <c r="E63" s="22">
        <f>HLOOKUP(Output!$F$6,'Raw Data'!$T$2:$BO$88,(A63+1),)</f>
        <v>0</v>
      </c>
      <c r="F63" s="23">
        <f>IF(D63=Output!$B$6,1,0)</f>
        <v>0</v>
      </c>
      <c r="G63" s="23">
        <f>IF(K63&lt;=Output!$C$6,(200-'Raw Data'!K63),0)</f>
        <v>180.01</v>
      </c>
      <c r="H63" s="23">
        <v>3.5</v>
      </c>
      <c r="I63" s="24">
        <f>SUMPRODUCT(F63:H63,Output!$B$7:$D$7)*E63</f>
        <v>0</v>
      </c>
      <c r="J63" s="25">
        <v>0</v>
      </c>
      <c r="K63" s="20">
        <v>19.989999999999998</v>
      </c>
      <c r="L63" s="6" t="s">
        <v>542</v>
      </c>
      <c r="M63" s="6" t="s">
        <v>543</v>
      </c>
      <c r="N63" s="6" t="s">
        <v>544</v>
      </c>
      <c r="O63" s="6" t="s">
        <v>540</v>
      </c>
      <c r="P63" s="26">
        <v>0.09</v>
      </c>
      <c r="Q63" s="6" t="s">
        <v>75</v>
      </c>
      <c r="R63" s="6" t="s">
        <v>150</v>
      </c>
      <c r="S63" s="6" t="s">
        <v>512</v>
      </c>
      <c r="T63" s="6">
        <f>VLOOKUP($C63,'Food Pairing Data'!$C$2:$S$188,5)</f>
        <v>0</v>
      </c>
      <c r="U63" s="6">
        <f>VLOOKUP($C63,'Food Pairing Data'!$C$2:$S$188,6)</f>
        <v>0</v>
      </c>
      <c r="V63" s="6">
        <f>VLOOKUP($C63,'Food Pairing Data'!$C$2:$S$188,7)</f>
        <v>0</v>
      </c>
      <c r="W63" s="6">
        <f>VLOOKUP($C63,'Food Pairing Data'!$C$2:$S$188,8)</f>
        <v>1</v>
      </c>
      <c r="X63" s="6">
        <f>VLOOKUP($C63,'Food Pairing Data'!$C$2:$S$188,9)</f>
        <v>0</v>
      </c>
      <c r="Y63" s="6">
        <f>VLOOKUP($C63,'Food Pairing Data'!$C$2:$S$188,10)</f>
        <v>1</v>
      </c>
      <c r="Z63" s="6">
        <f>VLOOKUP($C63,'Food Pairing Data'!$C$2:$S$188,11)</f>
        <v>0</v>
      </c>
      <c r="AA63" s="6">
        <f>VLOOKUP($C63,'Food Pairing Data'!$C$2:$S$188,12)</f>
        <v>0</v>
      </c>
      <c r="AB63" s="6">
        <f>VLOOKUP($C63,'Food Pairing Data'!$C$2:$S$188,13)</f>
        <v>0</v>
      </c>
      <c r="AC63" s="6">
        <f>VLOOKUP($C63,'Food Pairing Data'!$C$2:$S$188,14)</f>
        <v>0</v>
      </c>
      <c r="AD63" s="6">
        <f>VLOOKUP($C63,'Food Pairing Data'!$C$2:$S$188,15)</f>
        <v>0</v>
      </c>
      <c r="AE63" s="6">
        <f>VLOOKUP($C63,'Food Pairing Data'!$C$2:$S$188,16)</f>
        <v>0</v>
      </c>
      <c r="AF63" s="6">
        <f>VLOOKUP($C63,'Food Pairing Data'!$C$2:$S$188,17)</f>
        <v>0</v>
      </c>
      <c r="AG63" s="6" t="s">
        <v>541</v>
      </c>
      <c r="AH63" s="6" t="s">
        <v>380</v>
      </c>
    </row>
    <row r="64" spans="1:34" ht="14">
      <c r="A64" s="6">
        <f t="shared" si="0"/>
        <v>62</v>
      </c>
      <c r="B64" s="6" t="s">
        <v>23</v>
      </c>
      <c r="C64" s="6" t="s">
        <v>545</v>
      </c>
      <c r="D64" s="6" t="s">
        <v>380</v>
      </c>
      <c r="E64" s="22">
        <f>HLOOKUP(Output!$F$6,'Raw Data'!$T$2:$BO$88,(A64+1),)</f>
        <v>0</v>
      </c>
      <c r="F64" s="23">
        <f>IF(D64=Output!$B$6,1,0)</f>
        <v>0</v>
      </c>
      <c r="G64" s="23">
        <f>IF(K64&lt;=Output!$C$6,(200-'Raw Data'!K64),0)</f>
        <v>180.01</v>
      </c>
      <c r="H64" s="23">
        <v>3.5</v>
      </c>
      <c r="I64" s="24">
        <f>SUMPRODUCT(F64:H64,Output!$B$7:$D$7)*E64</f>
        <v>0</v>
      </c>
      <c r="J64" s="25">
        <v>0</v>
      </c>
      <c r="K64" s="20">
        <v>19.989999999999998</v>
      </c>
      <c r="L64" s="6" t="s">
        <v>546</v>
      </c>
      <c r="M64" s="6" t="s">
        <v>547</v>
      </c>
      <c r="N64" s="6" t="s">
        <v>548</v>
      </c>
      <c r="O64" s="6" t="s">
        <v>167</v>
      </c>
      <c r="P64" s="26">
        <v>0.13</v>
      </c>
      <c r="Q64" s="6" t="s">
        <v>523</v>
      </c>
      <c r="R64" s="6" t="s">
        <v>150</v>
      </c>
      <c r="S64" s="6" t="s">
        <v>512</v>
      </c>
      <c r="T64" s="6">
        <f>VLOOKUP($C64,'Food Pairing Data'!$C$2:$S$188,5)</f>
        <v>0</v>
      </c>
      <c r="U64" s="6">
        <f>VLOOKUP($C64,'Food Pairing Data'!$C$2:$S$188,6)</f>
        <v>0</v>
      </c>
      <c r="V64" s="6">
        <f>VLOOKUP($C64,'Food Pairing Data'!$C$2:$S$188,7)</f>
        <v>0</v>
      </c>
      <c r="W64" s="6">
        <f>VLOOKUP($C64,'Food Pairing Data'!$C$2:$S$188,8)</f>
        <v>0</v>
      </c>
      <c r="X64" s="6">
        <f>VLOOKUP($C64,'Food Pairing Data'!$C$2:$S$188,9)</f>
        <v>0</v>
      </c>
      <c r="Y64" s="6">
        <f>VLOOKUP($C64,'Food Pairing Data'!$C$2:$S$188,10)</f>
        <v>0</v>
      </c>
      <c r="Z64" s="6">
        <f>VLOOKUP($C64,'Food Pairing Data'!$C$2:$S$188,11)</f>
        <v>0</v>
      </c>
      <c r="AA64" s="6">
        <f>VLOOKUP($C64,'Food Pairing Data'!$C$2:$S$188,12)</f>
        <v>0</v>
      </c>
      <c r="AB64" s="6">
        <f>VLOOKUP($C64,'Food Pairing Data'!$C$2:$S$188,13)</f>
        <v>0</v>
      </c>
      <c r="AC64" s="6">
        <f>VLOOKUP($C64,'Food Pairing Data'!$C$2:$S$188,14)</f>
        <v>1</v>
      </c>
      <c r="AD64" s="6">
        <f>VLOOKUP($C64,'Food Pairing Data'!$C$2:$S$188,15)</f>
        <v>0</v>
      </c>
      <c r="AE64" s="6">
        <f>VLOOKUP($C64,'Food Pairing Data'!$C$2:$S$188,16)</f>
        <v>0</v>
      </c>
      <c r="AF64" s="6">
        <f>VLOOKUP($C64,'Food Pairing Data'!$C$2:$S$188,17)</f>
        <v>0</v>
      </c>
      <c r="AG64" s="6" t="s">
        <v>545</v>
      </c>
      <c r="AH64" s="6" t="s">
        <v>380</v>
      </c>
    </row>
    <row r="65" spans="1:34" ht="14">
      <c r="A65" s="6">
        <f t="shared" si="0"/>
        <v>63</v>
      </c>
      <c r="B65" s="6" t="s">
        <v>23</v>
      </c>
      <c r="C65" s="6" t="s">
        <v>549</v>
      </c>
      <c r="D65" s="6" t="s">
        <v>380</v>
      </c>
      <c r="E65" s="22">
        <f>HLOOKUP(Output!$F$6,'Raw Data'!$T$2:$BO$88,(A65+1),)</f>
        <v>0</v>
      </c>
      <c r="F65" s="23">
        <f>IF(D65=Output!$B$6,1,0)</f>
        <v>0</v>
      </c>
      <c r="G65" s="23">
        <f>IF(K65&lt;=Output!$C$6,(200-'Raw Data'!K65),0)</f>
        <v>183.01</v>
      </c>
      <c r="H65" s="23">
        <v>3.5</v>
      </c>
      <c r="I65" s="24">
        <f>SUMPRODUCT(F65:H65,Output!$B$7:$D$7)*E65</f>
        <v>0</v>
      </c>
      <c r="J65" s="25">
        <v>0</v>
      </c>
      <c r="K65" s="20">
        <v>16.989999999999998</v>
      </c>
      <c r="L65" s="6" t="s">
        <v>550</v>
      </c>
      <c r="M65" s="6" t="s">
        <v>551</v>
      </c>
      <c r="N65" s="6" t="s">
        <v>552</v>
      </c>
      <c r="O65" s="6" t="s">
        <v>300</v>
      </c>
      <c r="P65" s="26">
        <v>0.13</v>
      </c>
      <c r="Q65" s="6" t="s">
        <v>523</v>
      </c>
      <c r="R65" s="6" t="s">
        <v>529</v>
      </c>
      <c r="S65" s="6" t="s">
        <v>553</v>
      </c>
      <c r="T65" s="6">
        <f>VLOOKUP($C65,'Food Pairing Data'!$C$2:$S$188,5)</f>
        <v>0</v>
      </c>
      <c r="U65" s="6">
        <f>VLOOKUP($C65,'Food Pairing Data'!$C$2:$S$188,6)</f>
        <v>0</v>
      </c>
      <c r="V65" s="6">
        <f>VLOOKUP($C65,'Food Pairing Data'!$C$2:$S$188,7)</f>
        <v>1</v>
      </c>
      <c r="W65" s="6">
        <f>VLOOKUP($C65,'Food Pairing Data'!$C$2:$S$188,8)</f>
        <v>1</v>
      </c>
      <c r="X65" s="6">
        <f>VLOOKUP($C65,'Food Pairing Data'!$C$2:$S$188,9)</f>
        <v>0</v>
      </c>
      <c r="Y65" s="6">
        <f>VLOOKUP($C65,'Food Pairing Data'!$C$2:$S$188,10)</f>
        <v>0</v>
      </c>
      <c r="Z65" s="6">
        <f>VLOOKUP($C65,'Food Pairing Data'!$C$2:$S$188,11)</f>
        <v>0</v>
      </c>
      <c r="AA65" s="6">
        <f>VLOOKUP($C65,'Food Pairing Data'!$C$2:$S$188,12)</f>
        <v>0</v>
      </c>
      <c r="AB65" s="6">
        <f>VLOOKUP($C65,'Food Pairing Data'!$C$2:$S$188,13)</f>
        <v>0</v>
      </c>
      <c r="AC65" s="6">
        <f>VLOOKUP($C65,'Food Pairing Data'!$C$2:$S$188,14)</f>
        <v>0</v>
      </c>
      <c r="AD65" s="6">
        <f>VLOOKUP($C65,'Food Pairing Data'!$C$2:$S$188,15)</f>
        <v>0</v>
      </c>
      <c r="AE65" s="6">
        <f>VLOOKUP($C65,'Food Pairing Data'!$C$2:$S$188,16)</f>
        <v>0</v>
      </c>
      <c r="AF65" s="6">
        <f>VLOOKUP($C65,'Food Pairing Data'!$C$2:$S$188,17)</f>
        <v>0</v>
      </c>
      <c r="AG65" s="6" t="s">
        <v>549</v>
      </c>
      <c r="AH65" s="6" t="s">
        <v>380</v>
      </c>
    </row>
    <row r="66" spans="1:34" ht="14">
      <c r="A66" s="6">
        <f t="shared" si="0"/>
        <v>64</v>
      </c>
      <c r="B66" s="6" t="s">
        <v>23</v>
      </c>
      <c r="C66" s="6" t="s">
        <v>554</v>
      </c>
      <c r="D66" s="6" t="s">
        <v>380</v>
      </c>
      <c r="E66" s="22">
        <f>HLOOKUP(Output!$F$6,'Raw Data'!$T$2:$BO$88,(A66+1),)</f>
        <v>0</v>
      </c>
      <c r="F66" s="23">
        <f>IF(D66=Output!$B$6,1,0)</f>
        <v>0</v>
      </c>
      <c r="G66" s="23">
        <f>IF(K66&lt;=Output!$C$6,(200-'Raw Data'!K66),0)</f>
        <v>189.01</v>
      </c>
      <c r="H66" s="23">
        <v>3</v>
      </c>
      <c r="I66" s="24">
        <f>SUMPRODUCT(F66:H66,Output!$B$7:$D$7)*E66</f>
        <v>0</v>
      </c>
      <c r="J66" s="25">
        <v>0</v>
      </c>
      <c r="K66" s="20">
        <v>10.99</v>
      </c>
      <c r="L66" s="6" t="s">
        <v>164</v>
      </c>
      <c r="M66" s="6" t="s">
        <v>555</v>
      </c>
      <c r="N66" s="6" t="s">
        <v>556</v>
      </c>
      <c r="O66" s="6" t="s">
        <v>557</v>
      </c>
      <c r="P66" s="26">
        <v>0.125</v>
      </c>
      <c r="Q66" s="6" t="s">
        <v>518</v>
      </c>
      <c r="R66" s="6" t="s">
        <v>558</v>
      </c>
      <c r="S66" s="6" t="s">
        <v>148</v>
      </c>
      <c r="T66" s="6">
        <f>VLOOKUP($C66,'Food Pairing Data'!$C$2:$S$188,5)</f>
        <v>0</v>
      </c>
      <c r="U66" s="6">
        <f>VLOOKUP($C66,'Food Pairing Data'!$C$2:$S$188,6)</f>
        <v>0</v>
      </c>
      <c r="V66" s="6">
        <f>VLOOKUP($C66,'Food Pairing Data'!$C$2:$S$188,7)</f>
        <v>1</v>
      </c>
      <c r="W66" s="6">
        <f>VLOOKUP($C66,'Food Pairing Data'!$C$2:$S$188,8)</f>
        <v>1</v>
      </c>
      <c r="X66" s="6">
        <f>VLOOKUP($C66,'Food Pairing Data'!$C$2:$S$188,9)</f>
        <v>0</v>
      </c>
      <c r="Y66" s="6">
        <f>VLOOKUP($C66,'Food Pairing Data'!$C$2:$S$188,10)</f>
        <v>0</v>
      </c>
      <c r="Z66" s="6">
        <f>VLOOKUP($C66,'Food Pairing Data'!$C$2:$S$188,11)</f>
        <v>0</v>
      </c>
      <c r="AA66" s="6">
        <f>VLOOKUP($C66,'Food Pairing Data'!$C$2:$S$188,12)</f>
        <v>0</v>
      </c>
      <c r="AB66" s="6">
        <f>VLOOKUP($C66,'Food Pairing Data'!$C$2:$S$188,13)</f>
        <v>0</v>
      </c>
      <c r="AC66" s="6">
        <f>VLOOKUP($C66,'Food Pairing Data'!$C$2:$S$188,14)</f>
        <v>0</v>
      </c>
      <c r="AD66" s="6">
        <f>VLOOKUP($C66,'Food Pairing Data'!$C$2:$S$188,15)</f>
        <v>0</v>
      </c>
      <c r="AE66" s="6">
        <f>VLOOKUP($C66,'Food Pairing Data'!$C$2:$S$188,16)</f>
        <v>0</v>
      </c>
      <c r="AF66" s="6">
        <f>VLOOKUP($C66,'Food Pairing Data'!$C$2:$S$188,17)</f>
        <v>0</v>
      </c>
      <c r="AG66" s="6" t="s">
        <v>554</v>
      </c>
      <c r="AH66" s="6" t="s">
        <v>380</v>
      </c>
    </row>
    <row r="67" spans="1:34" ht="14">
      <c r="A67" s="6">
        <f t="shared" si="0"/>
        <v>65</v>
      </c>
      <c r="B67" s="6" t="s">
        <v>23</v>
      </c>
      <c r="C67" s="6" t="s">
        <v>559</v>
      </c>
      <c r="D67" s="6" t="s">
        <v>380</v>
      </c>
      <c r="E67" s="22">
        <f>HLOOKUP(Output!$F$6,'Raw Data'!$T$2:$BO$88,(A67+1),)</f>
        <v>0</v>
      </c>
      <c r="F67" s="23">
        <f>IF(D67=Output!$B$6,1,0)</f>
        <v>0</v>
      </c>
      <c r="G67" s="23">
        <f>IF(K67&lt;=Output!$C$6,(200-'Raw Data'!K67),0)</f>
        <v>189.01</v>
      </c>
      <c r="H67" s="23">
        <v>3</v>
      </c>
      <c r="I67" s="24">
        <f>SUMPRODUCT(F67:H67,Output!$B$7:$D$7)*E67</f>
        <v>0</v>
      </c>
      <c r="J67" s="25">
        <v>0</v>
      </c>
      <c r="K67" s="20">
        <v>10.99</v>
      </c>
      <c r="L67" s="6" t="s">
        <v>531</v>
      </c>
      <c r="M67" s="6" t="s">
        <v>560</v>
      </c>
      <c r="N67" s="6" t="s">
        <v>533</v>
      </c>
      <c r="O67" s="6" t="s">
        <v>561</v>
      </c>
      <c r="P67" s="26">
        <v>0.13500000000000001</v>
      </c>
      <c r="Q67" s="6" t="s">
        <v>87</v>
      </c>
      <c r="R67" s="6" t="s">
        <v>156</v>
      </c>
      <c r="S67" s="6" t="s">
        <v>562</v>
      </c>
      <c r="T67" s="6">
        <f>VLOOKUP($C67,'Food Pairing Data'!$C$2:$S$188,5)</f>
        <v>0</v>
      </c>
      <c r="U67" s="6">
        <f>VLOOKUP($C67,'Food Pairing Data'!$C$2:$S$188,6)</f>
        <v>0</v>
      </c>
      <c r="V67" s="6">
        <f>VLOOKUP($C67,'Food Pairing Data'!$C$2:$S$188,7)</f>
        <v>0</v>
      </c>
      <c r="W67" s="6">
        <f>VLOOKUP($C67,'Food Pairing Data'!$C$2:$S$188,8)</f>
        <v>0</v>
      </c>
      <c r="X67" s="6">
        <f>VLOOKUP($C67,'Food Pairing Data'!$C$2:$S$188,9)</f>
        <v>0</v>
      </c>
      <c r="Y67" s="6">
        <f>VLOOKUP($C67,'Food Pairing Data'!$C$2:$S$188,10)</f>
        <v>0</v>
      </c>
      <c r="Z67" s="6">
        <f>VLOOKUP($C67,'Food Pairing Data'!$C$2:$S$188,11)</f>
        <v>0</v>
      </c>
      <c r="AA67" s="6">
        <f>VLOOKUP($C67,'Food Pairing Data'!$C$2:$S$188,12)</f>
        <v>0</v>
      </c>
      <c r="AB67" s="6">
        <f>VLOOKUP($C67,'Food Pairing Data'!$C$2:$S$188,13)</f>
        <v>0</v>
      </c>
      <c r="AC67" s="6">
        <f>VLOOKUP($C67,'Food Pairing Data'!$C$2:$S$188,14)</f>
        <v>1</v>
      </c>
      <c r="AD67" s="6">
        <f>VLOOKUP($C67,'Food Pairing Data'!$C$2:$S$188,15)</f>
        <v>0</v>
      </c>
      <c r="AE67" s="6">
        <f>VLOOKUP($C67,'Food Pairing Data'!$C$2:$S$188,16)</f>
        <v>0</v>
      </c>
      <c r="AF67" s="6">
        <f>VLOOKUP($C67,'Food Pairing Data'!$C$2:$S$188,17)</f>
        <v>0</v>
      </c>
      <c r="AG67" s="6" t="s">
        <v>559</v>
      </c>
      <c r="AH67" s="6" t="s">
        <v>380</v>
      </c>
    </row>
    <row r="68" spans="1:34" ht="14">
      <c r="A68" s="6">
        <f t="shared" si="0"/>
        <v>66</v>
      </c>
      <c r="B68" s="6" t="s">
        <v>245</v>
      </c>
      <c r="C68" s="6" t="s">
        <v>563</v>
      </c>
      <c r="D68" s="6" t="s">
        <v>380</v>
      </c>
      <c r="E68" s="22">
        <f>HLOOKUP(Output!$F$6,'Raw Data'!$T$2:$BO$88,(A68+1),)</f>
        <v>0</v>
      </c>
      <c r="F68" s="23">
        <f>IF(D68=Output!$B$6,1,0)</f>
        <v>0</v>
      </c>
      <c r="G68" s="23">
        <f>IF(K68&lt;=Output!$C$6,(200-'Raw Data'!K68),0)</f>
        <v>190.01</v>
      </c>
      <c r="H68" s="23">
        <v>3</v>
      </c>
      <c r="I68" s="24">
        <f>SUMPRODUCT(F68:H68,Output!$B$7:$D$7)*E68</f>
        <v>0</v>
      </c>
      <c r="J68" s="25">
        <v>0</v>
      </c>
      <c r="K68" s="20">
        <v>9.99</v>
      </c>
      <c r="L68" s="6" t="s">
        <v>164</v>
      </c>
      <c r="M68" s="6" t="s">
        <v>564</v>
      </c>
      <c r="N68" s="6" t="s">
        <v>565</v>
      </c>
      <c r="O68" s="6" t="s">
        <v>566</v>
      </c>
      <c r="P68" s="26">
        <v>0.115</v>
      </c>
      <c r="Q68" s="6" t="s">
        <v>36</v>
      </c>
      <c r="R68" s="6" t="s">
        <v>90</v>
      </c>
      <c r="S68" s="6" t="s">
        <v>147</v>
      </c>
      <c r="T68" s="6">
        <f>VLOOKUP($C68,'Food Pairing Data'!$C$2:$S$188,5)</f>
        <v>0</v>
      </c>
      <c r="U68" s="6">
        <f>VLOOKUP($C68,'Food Pairing Data'!$C$2:$S$188,6)</f>
        <v>0</v>
      </c>
      <c r="V68" s="6">
        <f>VLOOKUP($C68,'Food Pairing Data'!$C$2:$S$188,7)</f>
        <v>1</v>
      </c>
      <c r="W68" s="6">
        <f>VLOOKUP($C68,'Food Pairing Data'!$C$2:$S$188,8)</f>
        <v>1</v>
      </c>
      <c r="X68" s="6">
        <f>VLOOKUP($C68,'Food Pairing Data'!$C$2:$S$188,9)</f>
        <v>0</v>
      </c>
      <c r="Y68" s="6">
        <f>VLOOKUP($C68,'Food Pairing Data'!$C$2:$S$188,10)</f>
        <v>0</v>
      </c>
      <c r="Z68" s="6">
        <f>VLOOKUP($C68,'Food Pairing Data'!$C$2:$S$188,11)</f>
        <v>0</v>
      </c>
      <c r="AA68" s="6">
        <f>VLOOKUP($C68,'Food Pairing Data'!$C$2:$S$188,12)</f>
        <v>0</v>
      </c>
      <c r="AB68" s="6">
        <f>VLOOKUP($C68,'Food Pairing Data'!$C$2:$S$188,13)</f>
        <v>0</v>
      </c>
      <c r="AC68" s="6">
        <f>VLOOKUP($C68,'Food Pairing Data'!$C$2:$S$188,14)</f>
        <v>0</v>
      </c>
      <c r="AD68" s="6">
        <f>VLOOKUP($C68,'Food Pairing Data'!$C$2:$S$188,15)</f>
        <v>0</v>
      </c>
      <c r="AE68" s="6">
        <f>VLOOKUP($C68,'Food Pairing Data'!$C$2:$S$188,16)</f>
        <v>0</v>
      </c>
      <c r="AF68" s="6">
        <f>VLOOKUP($C68,'Food Pairing Data'!$C$2:$S$188,17)</f>
        <v>0</v>
      </c>
      <c r="AG68" s="6" t="s">
        <v>563</v>
      </c>
      <c r="AH68" s="6" t="s">
        <v>380</v>
      </c>
    </row>
    <row r="69" spans="1:34" ht="14">
      <c r="A69" s="6">
        <f t="shared" ref="A69:A88" si="1">A68+1</f>
        <v>67</v>
      </c>
      <c r="B69" s="6" t="s">
        <v>245</v>
      </c>
      <c r="C69" s="6" t="s">
        <v>567</v>
      </c>
      <c r="D69" s="6" t="s">
        <v>380</v>
      </c>
      <c r="E69" s="22">
        <f>HLOOKUP(Output!$F$6,'Raw Data'!$T$2:$BO$88,(A69+1),)</f>
        <v>0</v>
      </c>
      <c r="F69" s="23">
        <f>IF(D69=Output!$B$6,1,0)</f>
        <v>0</v>
      </c>
      <c r="G69" s="23">
        <f>IF(K69&lt;=Output!$C$6,(200-'Raw Data'!K69),0)</f>
        <v>193.01</v>
      </c>
      <c r="H69" s="23">
        <v>3</v>
      </c>
      <c r="I69" s="24">
        <f>SUMPRODUCT(F69:H69,Output!$B$7:$D$7)*E69</f>
        <v>0</v>
      </c>
      <c r="J69" s="25">
        <v>0</v>
      </c>
      <c r="K69" s="20">
        <v>6.99</v>
      </c>
      <c r="L69" s="6" t="s">
        <v>296</v>
      </c>
      <c r="M69" s="6" t="s">
        <v>568</v>
      </c>
      <c r="N69" s="6" t="s">
        <v>569</v>
      </c>
      <c r="O69" s="6" t="s">
        <v>570</v>
      </c>
      <c r="P69" s="26">
        <v>9.5000000000000001E-2</v>
      </c>
      <c r="Q69" s="6" t="s">
        <v>75</v>
      </c>
      <c r="R69" s="6" t="s">
        <v>92</v>
      </c>
      <c r="S69" s="6" t="s">
        <v>141</v>
      </c>
      <c r="T69" s="6">
        <f>VLOOKUP($C69,'Food Pairing Data'!$C$2:$S$188,5)</f>
        <v>0</v>
      </c>
      <c r="U69" s="6">
        <f>VLOOKUP($C69,'Food Pairing Data'!$C$2:$S$188,6)</f>
        <v>0</v>
      </c>
      <c r="V69" s="6">
        <f>VLOOKUP($C69,'Food Pairing Data'!$C$2:$S$188,7)</f>
        <v>0</v>
      </c>
      <c r="W69" s="6">
        <f>VLOOKUP($C69,'Food Pairing Data'!$C$2:$S$188,8)</f>
        <v>0</v>
      </c>
      <c r="X69" s="6">
        <f>VLOOKUP($C69,'Food Pairing Data'!$C$2:$S$188,9)</f>
        <v>0</v>
      </c>
      <c r="Y69" s="6">
        <f>VLOOKUP($C69,'Food Pairing Data'!$C$2:$S$188,10)</f>
        <v>0</v>
      </c>
      <c r="Z69" s="6">
        <f>VLOOKUP($C69,'Food Pairing Data'!$C$2:$S$188,11)</f>
        <v>0</v>
      </c>
      <c r="AA69" s="6">
        <f>VLOOKUP($C69,'Food Pairing Data'!$C$2:$S$188,12)</f>
        <v>0</v>
      </c>
      <c r="AB69" s="6">
        <f>VLOOKUP($C69,'Food Pairing Data'!$C$2:$S$188,13)</f>
        <v>0</v>
      </c>
      <c r="AC69" s="6">
        <f>VLOOKUP($C69,'Food Pairing Data'!$C$2:$S$188,14)</f>
        <v>1</v>
      </c>
      <c r="AD69" s="6">
        <f>VLOOKUP($C69,'Food Pairing Data'!$C$2:$S$188,15)</f>
        <v>0</v>
      </c>
      <c r="AE69" s="6">
        <f>VLOOKUP($C69,'Food Pairing Data'!$C$2:$S$188,16)</f>
        <v>0</v>
      </c>
      <c r="AF69" s="6">
        <f>VLOOKUP($C69,'Food Pairing Data'!$C$2:$S$188,17)</f>
        <v>0</v>
      </c>
      <c r="AG69" s="6" t="s">
        <v>567</v>
      </c>
      <c r="AH69" s="6" t="s">
        <v>380</v>
      </c>
    </row>
    <row r="70" spans="1:34" ht="14">
      <c r="A70" s="6">
        <f t="shared" si="1"/>
        <v>68</v>
      </c>
      <c r="B70" s="6" t="s">
        <v>23</v>
      </c>
      <c r="C70" s="6" t="s">
        <v>571</v>
      </c>
      <c r="D70" s="6" t="s">
        <v>380</v>
      </c>
      <c r="E70" s="22">
        <f>HLOOKUP(Output!$F$6,'Raw Data'!$T$2:$BO$88,(A70+1),)</f>
        <v>0</v>
      </c>
      <c r="F70" s="23">
        <f>IF(D70=Output!$B$6,1,0)</f>
        <v>0</v>
      </c>
      <c r="G70" s="23">
        <f>IF(K70&lt;=Output!$C$6,(200-'Raw Data'!K70),0)</f>
        <v>186.01</v>
      </c>
      <c r="H70" s="23">
        <v>2.5</v>
      </c>
      <c r="I70" s="24">
        <f>SUMPRODUCT(F70:H70,Output!$B$7:$D$7)*E70</f>
        <v>0</v>
      </c>
      <c r="J70" s="25">
        <v>0</v>
      </c>
      <c r="K70" s="20">
        <v>13.99</v>
      </c>
      <c r="L70" s="6" t="s">
        <v>546</v>
      </c>
      <c r="M70" s="6" t="s">
        <v>547</v>
      </c>
      <c r="N70" s="6" t="s">
        <v>533</v>
      </c>
      <c r="O70" s="6" t="s">
        <v>297</v>
      </c>
      <c r="P70" s="26">
        <v>0.13500000000000001</v>
      </c>
      <c r="Q70" s="6" t="s">
        <v>61</v>
      </c>
      <c r="R70" s="6" t="s">
        <v>142</v>
      </c>
      <c r="S70" s="6" t="s">
        <v>102</v>
      </c>
      <c r="T70" s="6">
        <f>VLOOKUP($C70,'Food Pairing Data'!$C$2:$S$188,5)</f>
        <v>0</v>
      </c>
      <c r="U70" s="6">
        <f>VLOOKUP($C70,'Food Pairing Data'!$C$2:$S$188,6)</f>
        <v>0</v>
      </c>
      <c r="V70" s="6">
        <f>VLOOKUP($C70,'Food Pairing Data'!$C$2:$S$188,7)</f>
        <v>0</v>
      </c>
      <c r="W70" s="6">
        <f>VLOOKUP($C70,'Food Pairing Data'!$C$2:$S$188,8)</f>
        <v>0</v>
      </c>
      <c r="X70" s="6">
        <f>VLOOKUP($C70,'Food Pairing Data'!$C$2:$S$188,9)</f>
        <v>0</v>
      </c>
      <c r="Y70" s="6">
        <f>VLOOKUP($C70,'Food Pairing Data'!$C$2:$S$188,10)</f>
        <v>0</v>
      </c>
      <c r="Z70" s="6">
        <f>VLOOKUP($C70,'Food Pairing Data'!$C$2:$S$188,11)</f>
        <v>0</v>
      </c>
      <c r="AA70" s="6">
        <f>VLOOKUP($C70,'Food Pairing Data'!$C$2:$S$188,12)</f>
        <v>0</v>
      </c>
      <c r="AB70" s="6">
        <f>VLOOKUP($C70,'Food Pairing Data'!$C$2:$S$188,13)</f>
        <v>0</v>
      </c>
      <c r="AC70" s="6">
        <f>VLOOKUP($C70,'Food Pairing Data'!$C$2:$S$188,14)</f>
        <v>1</v>
      </c>
      <c r="AD70" s="6">
        <f>VLOOKUP($C70,'Food Pairing Data'!$C$2:$S$188,15)</f>
        <v>0</v>
      </c>
      <c r="AE70" s="6">
        <f>VLOOKUP($C70,'Food Pairing Data'!$C$2:$S$188,16)</f>
        <v>0</v>
      </c>
      <c r="AF70" s="6">
        <f>VLOOKUP($C70,'Food Pairing Data'!$C$2:$S$188,17)</f>
        <v>0</v>
      </c>
      <c r="AG70" s="6" t="s">
        <v>571</v>
      </c>
      <c r="AH70" s="6" t="s">
        <v>380</v>
      </c>
    </row>
    <row r="71" spans="1:34" ht="14">
      <c r="A71" s="6">
        <f t="shared" si="1"/>
        <v>69</v>
      </c>
      <c r="B71" s="6" t="s">
        <v>23</v>
      </c>
      <c r="C71" s="6" t="s">
        <v>572</v>
      </c>
      <c r="D71" s="6" t="s">
        <v>573</v>
      </c>
      <c r="E71" s="22">
        <f>HLOOKUP(Output!$F$6,'Raw Data'!$T$2:$BO$88,(A71+1),)</f>
        <v>0</v>
      </c>
      <c r="F71" s="23">
        <f>IF(D71=Output!$B$6,1,0)</f>
        <v>0</v>
      </c>
      <c r="G71" s="23">
        <f>IF(K71&lt;=Output!$C$6,(200-'Raw Data'!K71),0)</f>
        <v>180.01</v>
      </c>
      <c r="H71" s="23">
        <v>5</v>
      </c>
      <c r="I71" s="24">
        <f>SUMPRODUCT(F71:H71,Output!$B$7:$D$7)*E71</f>
        <v>0</v>
      </c>
      <c r="J71" s="25">
        <v>0</v>
      </c>
      <c r="K71" s="20">
        <v>19.989999999999998</v>
      </c>
      <c r="L71" s="6" t="s">
        <v>574</v>
      </c>
      <c r="M71" s="6" t="s">
        <v>575</v>
      </c>
      <c r="N71" s="6" t="s">
        <v>416</v>
      </c>
      <c r="O71" s="6" t="s">
        <v>417</v>
      </c>
      <c r="P71" s="26">
        <v>0.115</v>
      </c>
      <c r="Q71" s="6" t="s">
        <v>56</v>
      </c>
      <c r="R71" s="6" t="s">
        <v>418</v>
      </c>
      <c r="S71" s="6" t="s">
        <v>148</v>
      </c>
      <c r="T71" s="6">
        <f>VLOOKUP($C71,'Food Pairing Data'!$C$2:$S$188,5)</f>
        <v>0</v>
      </c>
      <c r="U71" s="6">
        <f>VLOOKUP($C71,'Food Pairing Data'!$C$2:$S$188,6)</f>
        <v>0</v>
      </c>
      <c r="V71" s="6">
        <f>VLOOKUP($C71,'Food Pairing Data'!$C$2:$S$188,7)</f>
        <v>0</v>
      </c>
      <c r="W71" s="6">
        <f>VLOOKUP($C71,'Food Pairing Data'!$C$2:$S$188,8)</f>
        <v>0</v>
      </c>
      <c r="X71" s="6">
        <f>VLOOKUP($C71,'Food Pairing Data'!$C$2:$S$188,9)</f>
        <v>0</v>
      </c>
      <c r="Y71" s="6">
        <f>VLOOKUP($C71,'Food Pairing Data'!$C$2:$S$188,10)</f>
        <v>0</v>
      </c>
      <c r="Z71" s="6">
        <f>VLOOKUP($C71,'Food Pairing Data'!$C$2:$S$188,11)</f>
        <v>0</v>
      </c>
      <c r="AA71" s="6">
        <f>VLOOKUP($C71,'Food Pairing Data'!$C$2:$S$188,12)</f>
        <v>0</v>
      </c>
      <c r="AB71" s="6">
        <f>VLOOKUP($C71,'Food Pairing Data'!$C$2:$S$188,13)</f>
        <v>0</v>
      </c>
      <c r="AC71" s="6">
        <f>VLOOKUP($C71,'Food Pairing Data'!$C$2:$S$188,14)</f>
        <v>1</v>
      </c>
      <c r="AD71" s="6">
        <f>VLOOKUP($C71,'Food Pairing Data'!$C$2:$S$188,15)</f>
        <v>0</v>
      </c>
      <c r="AE71" s="6">
        <f>VLOOKUP($C71,'Food Pairing Data'!$C$2:$S$188,16)</f>
        <v>0</v>
      </c>
      <c r="AF71" s="6">
        <f>VLOOKUP($C71,'Food Pairing Data'!$C$2:$S$188,17)</f>
        <v>0</v>
      </c>
      <c r="AG71" s="6" t="s">
        <v>572</v>
      </c>
      <c r="AH71" s="6" t="s">
        <v>573</v>
      </c>
    </row>
    <row r="72" spans="1:34" ht="14">
      <c r="A72" s="6">
        <f t="shared" si="1"/>
        <v>70</v>
      </c>
      <c r="B72" s="6" t="s">
        <v>23</v>
      </c>
      <c r="C72" s="6" t="s">
        <v>419</v>
      </c>
      <c r="D72" s="6" t="s">
        <v>573</v>
      </c>
      <c r="E72" s="22">
        <f>HLOOKUP(Output!$F$6,'Raw Data'!$T$2:$BO$88,(A72+1),)</f>
        <v>0</v>
      </c>
      <c r="F72" s="23">
        <f>IF(D72=Output!$B$6,1,0)</f>
        <v>0</v>
      </c>
      <c r="G72" s="23">
        <f>IF(K72&lt;=Output!$C$6,(200-'Raw Data'!K72),0)</f>
        <v>181.01</v>
      </c>
      <c r="H72" s="23">
        <v>5</v>
      </c>
      <c r="I72" s="24">
        <f>SUMPRODUCT(F72:H72,Output!$B$7:$D$7)*E72</f>
        <v>0</v>
      </c>
      <c r="J72" s="25">
        <v>0</v>
      </c>
      <c r="K72" s="20">
        <v>18.989999999999998</v>
      </c>
      <c r="L72" s="6" t="s">
        <v>525</v>
      </c>
      <c r="M72" s="6" t="s">
        <v>580</v>
      </c>
      <c r="N72" s="6" t="s">
        <v>421</v>
      </c>
      <c r="O72" s="6" t="s">
        <v>422</v>
      </c>
      <c r="P72" s="26">
        <v>0.14000000000000001</v>
      </c>
      <c r="Q72" s="6" t="s">
        <v>523</v>
      </c>
      <c r="R72" s="6" t="s">
        <v>558</v>
      </c>
      <c r="S72" s="6" t="s">
        <v>102</v>
      </c>
      <c r="T72" s="6">
        <f>VLOOKUP($C72,'Food Pairing Data'!$C$2:$S$188,5)</f>
        <v>0</v>
      </c>
      <c r="U72" s="6">
        <f>VLOOKUP($C72,'Food Pairing Data'!$C$2:$S$188,6)</f>
        <v>0</v>
      </c>
      <c r="V72" s="6">
        <f>VLOOKUP($C72,'Food Pairing Data'!$C$2:$S$188,7)</f>
        <v>0</v>
      </c>
      <c r="W72" s="6">
        <f>VLOOKUP($C72,'Food Pairing Data'!$C$2:$S$188,8)</f>
        <v>1</v>
      </c>
      <c r="X72" s="6">
        <f>VLOOKUP($C72,'Food Pairing Data'!$C$2:$S$188,9)</f>
        <v>0</v>
      </c>
      <c r="Y72" s="6">
        <f>VLOOKUP($C72,'Food Pairing Data'!$C$2:$S$188,10)</f>
        <v>1</v>
      </c>
      <c r="Z72" s="6">
        <f>VLOOKUP($C72,'Food Pairing Data'!$C$2:$S$188,11)</f>
        <v>0</v>
      </c>
      <c r="AA72" s="6">
        <f>VLOOKUP($C72,'Food Pairing Data'!$C$2:$S$188,12)</f>
        <v>0</v>
      </c>
      <c r="AB72" s="6">
        <f>VLOOKUP($C72,'Food Pairing Data'!$C$2:$S$188,13)</f>
        <v>0</v>
      </c>
      <c r="AC72" s="6">
        <f>VLOOKUP($C72,'Food Pairing Data'!$C$2:$S$188,14)</f>
        <v>0</v>
      </c>
      <c r="AD72" s="6">
        <f>VLOOKUP($C72,'Food Pairing Data'!$C$2:$S$188,15)</f>
        <v>0</v>
      </c>
      <c r="AE72" s="6">
        <f>VLOOKUP($C72,'Food Pairing Data'!$C$2:$S$188,16)</f>
        <v>0</v>
      </c>
      <c r="AF72" s="6">
        <f>VLOOKUP($C72,'Food Pairing Data'!$C$2:$S$188,17)</f>
        <v>0</v>
      </c>
      <c r="AG72" s="6" t="s">
        <v>419</v>
      </c>
      <c r="AH72" s="6" t="s">
        <v>573</v>
      </c>
    </row>
    <row r="73" spans="1:34" ht="14">
      <c r="A73" s="6">
        <f t="shared" si="1"/>
        <v>71</v>
      </c>
      <c r="B73" s="6" t="s">
        <v>23</v>
      </c>
      <c r="C73" s="6" t="s">
        <v>423</v>
      </c>
      <c r="D73" s="6" t="s">
        <v>573</v>
      </c>
      <c r="E73" s="22">
        <f>HLOOKUP(Output!$F$6,'Raw Data'!$T$2:$BO$88,(A73+1),)</f>
        <v>0</v>
      </c>
      <c r="F73" s="23">
        <f>IF(D73=Output!$B$6,1,0)</f>
        <v>0</v>
      </c>
      <c r="G73" s="23">
        <f>IF(K73&lt;=Output!$C$6,(200-'Raw Data'!K73),0)</f>
        <v>185.01</v>
      </c>
      <c r="H73" s="23">
        <v>4.5</v>
      </c>
      <c r="I73" s="24">
        <f>SUMPRODUCT(F73:H73,Output!$B$7:$D$7)*E73</f>
        <v>0</v>
      </c>
      <c r="J73" s="25">
        <v>0</v>
      </c>
      <c r="K73" s="20">
        <v>14.99</v>
      </c>
      <c r="L73" s="6" t="s">
        <v>164</v>
      </c>
      <c r="M73" s="6" t="s">
        <v>424</v>
      </c>
      <c r="N73" s="6" t="s">
        <v>425</v>
      </c>
      <c r="O73" s="6" t="s">
        <v>540</v>
      </c>
      <c r="P73" s="26">
        <v>0.13</v>
      </c>
      <c r="Q73" s="6" t="s">
        <v>56</v>
      </c>
      <c r="R73" s="6" t="s">
        <v>518</v>
      </c>
      <c r="S73" s="6" t="s">
        <v>149</v>
      </c>
      <c r="T73" s="6">
        <f>VLOOKUP($C73,'Food Pairing Data'!$C$2:$S$188,5)</f>
        <v>0</v>
      </c>
      <c r="U73" s="6">
        <f>VLOOKUP($C73,'Food Pairing Data'!$C$2:$S$188,6)</f>
        <v>0</v>
      </c>
      <c r="V73" s="6">
        <f>VLOOKUP($C73,'Food Pairing Data'!$C$2:$S$188,7)</f>
        <v>1</v>
      </c>
      <c r="W73" s="6">
        <f>VLOOKUP($C73,'Food Pairing Data'!$C$2:$S$188,8)</f>
        <v>1</v>
      </c>
      <c r="X73" s="6">
        <f>VLOOKUP($C73,'Food Pairing Data'!$C$2:$S$188,9)</f>
        <v>0</v>
      </c>
      <c r="Y73" s="6">
        <f>VLOOKUP($C73,'Food Pairing Data'!$C$2:$S$188,10)</f>
        <v>0</v>
      </c>
      <c r="Z73" s="6">
        <f>VLOOKUP($C73,'Food Pairing Data'!$C$2:$S$188,11)</f>
        <v>0</v>
      </c>
      <c r="AA73" s="6">
        <f>VLOOKUP($C73,'Food Pairing Data'!$C$2:$S$188,12)</f>
        <v>0</v>
      </c>
      <c r="AB73" s="6">
        <f>VLOOKUP($C73,'Food Pairing Data'!$C$2:$S$188,13)</f>
        <v>0</v>
      </c>
      <c r="AC73" s="6">
        <f>VLOOKUP($C73,'Food Pairing Data'!$C$2:$S$188,14)</f>
        <v>0</v>
      </c>
      <c r="AD73" s="6">
        <f>VLOOKUP($C73,'Food Pairing Data'!$C$2:$S$188,15)</f>
        <v>0</v>
      </c>
      <c r="AE73" s="6">
        <f>VLOOKUP($C73,'Food Pairing Data'!$C$2:$S$188,16)</f>
        <v>0</v>
      </c>
      <c r="AF73" s="6">
        <f>VLOOKUP($C73,'Food Pairing Data'!$C$2:$S$188,17)</f>
        <v>0</v>
      </c>
      <c r="AG73" s="6" t="s">
        <v>423</v>
      </c>
      <c r="AH73" s="6" t="s">
        <v>573</v>
      </c>
    </row>
    <row r="74" spans="1:34" ht="14">
      <c r="A74" s="6">
        <f t="shared" si="1"/>
        <v>72</v>
      </c>
      <c r="B74" s="6" t="s">
        <v>23</v>
      </c>
      <c r="C74" s="6" t="s">
        <v>426</v>
      </c>
      <c r="D74" s="6" t="s">
        <v>573</v>
      </c>
      <c r="E74" s="22">
        <f>HLOOKUP(Output!$F$6,'Raw Data'!$T$2:$BO$88,(A74+1),)</f>
        <v>0</v>
      </c>
      <c r="F74" s="23">
        <f>IF(D74=Output!$B$6,1,0)</f>
        <v>0</v>
      </c>
      <c r="G74" s="23">
        <f>IF(K74&lt;=Output!$C$6,(200-'Raw Data'!K74),0)</f>
        <v>183.01</v>
      </c>
      <c r="H74" s="23">
        <v>4</v>
      </c>
      <c r="I74" s="24">
        <f>SUMPRODUCT(F74:H74,Output!$B$7:$D$7)*E74</f>
        <v>0</v>
      </c>
      <c r="J74" s="25">
        <v>0</v>
      </c>
      <c r="K74" s="20">
        <v>16.989999999999998</v>
      </c>
      <c r="L74" s="6" t="s">
        <v>525</v>
      </c>
      <c r="M74" s="6" t="s">
        <v>427</v>
      </c>
      <c r="N74" s="6" t="s">
        <v>428</v>
      </c>
      <c r="O74" s="6" t="s">
        <v>429</v>
      </c>
      <c r="P74" s="26">
        <v>0.14000000000000001</v>
      </c>
      <c r="Q74" s="6" t="s">
        <v>63</v>
      </c>
      <c r="R74" s="6" t="s">
        <v>56</v>
      </c>
      <c r="S74" s="6" t="s">
        <v>553</v>
      </c>
      <c r="T74" s="6">
        <f>VLOOKUP($C74,'Food Pairing Data'!$C$2:$S$188,5)</f>
        <v>0</v>
      </c>
      <c r="U74" s="6">
        <f>VLOOKUP($C74,'Food Pairing Data'!$C$2:$S$188,6)</f>
        <v>0</v>
      </c>
      <c r="V74" s="6">
        <f>VLOOKUP($C74,'Food Pairing Data'!$C$2:$S$188,7)</f>
        <v>0</v>
      </c>
      <c r="W74" s="6">
        <f>VLOOKUP($C74,'Food Pairing Data'!$C$2:$S$188,8)</f>
        <v>1</v>
      </c>
      <c r="X74" s="6">
        <f>VLOOKUP($C74,'Food Pairing Data'!$C$2:$S$188,9)</f>
        <v>0</v>
      </c>
      <c r="Y74" s="6">
        <f>VLOOKUP($C74,'Food Pairing Data'!$C$2:$S$188,10)</f>
        <v>1</v>
      </c>
      <c r="Z74" s="6">
        <f>VLOOKUP($C74,'Food Pairing Data'!$C$2:$S$188,11)</f>
        <v>0</v>
      </c>
      <c r="AA74" s="6">
        <f>VLOOKUP($C74,'Food Pairing Data'!$C$2:$S$188,12)</f>
        <v>0</v>
      </c>
      <c r="AB74" s="6">
        <f>VLOOKUP($C74,'Food Pairing Data'!$C$2:$S$188,13)</f>
        <v>0</v>
      </c>
      <c r="AC74" s="6">
        <f>VLOOKUP($C74,'Food Pairing Data'!$C$2:$S$188,14)</f>
        <v>0</v>
      </c>
      <c r="AD74" s="6">
        <f>VLOOKUP($C74,'Food Pairing Data'!$C$2:$S$188,15)</f>
        <v>0</v>
      </c>
      <c r="AE74" s="6">
        <f>VLOOKUP($C74,'Food Pairing Data'!$C$2:$S$188,16)</f>
        <v>0</v>
      </c>
      <c r="AF74" s="6">
        <f>VLOOKUP($C74,'Food Pairing Data'!$C$2:$S$188,17)</f>
        <v>0</v>
      </c>
      <c r="AG74" s="6" t="s">
        <v>426</v>
      </c>
      <c r="AH74" s="6" t="s">
        <v>573</v>
      </c>
    </row>
    <row r="75" spans="1:34" ht="14">
      <c r="A75" s="6">
        <f t="shared" si="1"/>
        <v>73</v>
      </c>
      <c r="B75" s="6" t="s">
        <v>245</v>
      </c>
      <c r="C75" s="6" t="s">
        <v>601</v>
      </c>
      <c r="D75" s="6" t="s">
        <v>573</v>
      </c>
      <c r="E75" s="22">
        <f>HLOOKUP(Output!$F$6,'Raw Data'!$T$2:$BO$88,(A75+1),)</f>
        <v>0</v>
      </c>
      <c r="F75" s="23">
        <f>IF(D75=Output!$B$6,1,0)</f>
        <v>0</v>
      </c>
      <c r="G75" s="23">
        <f>IF(K75&lt;=Output!$C$6,(200-'Raw Data'!K75),0)</f>
        <v>190.01</v>
      </c>
      <c r="H75" s="23">
        <v>4</v>
      </c>
      <c r="I75" s="24">
        <f>SUMPRODUCT(F75:H75,Output!$B$7:$D$7)*E75</f>
        <v>0</v>
      </c>
      <c r="J75" s="25">
        <v>0</v>
      </c>
      <c r="K75" s="20">
        <v>9.99</v>
      </c>
      <c r="L75" s="6" t="s">
        <v>525</v>
      </c>
      <c r="M75" s="6" t="s">
        <v>602</v>
      </c>
      <c r="N75" s="6" t="s">
        <v>603</v>
      </c>
      <c r="O75" s="6" t="s">
        <v>604</v>
      </c>
      <c r="P75" s="26">
        <v>0.12</v>
      </c>
      <c r="Q75" s="6" t="s">
        <v>518</v>
      </c>
      <c r="R75" s="6" t="s">
        <v>90</v>
      </c>
      <c r="S75" s="6" t="s">
        <v>102</v>
      </c>
      <c r="T75" s="6">
        <f>VLOOKUP($C75,'Food Pairing Data'!$C$2:$S$188,5)</f>
        <v>0</v>
      </c>
      <c r="U75" s="6">
        <f>VLOOKUP($C75,'Food Pairing Data'!$C$2:$S$188,6)</f>
        <v>0</v>
      </c>
      <c r="V75" s="6">
        <f>VLOOKUP($C75,'Food Pairing Data'!$C$2:$S$188,7)</f>
        <v>0</v>
      </c>
      <c r="W75" s="6">
        <f>VLOOKUP($C75,'Food Pairing Data'!$C$2:$S$188,8)</f>
        <v>0</v>
      </c>
      <c r="X75" s="6">
        <f>VLOOKUP($C75,'Food Pairing Data'!$C$2:$S$188,9)</f>
        <v>0</v>
      </c>
      <c r="Y75" s="6">
        <f>VLOOKUP($C75,'Food Pairing Data'!$C$2:$S$188,10)</f>
        <v>0</v>
      </c>
      <c r="Z75" s="6">
        <f>VLOOKUP($C75,'Food Pairing Data'!$C$2:$S$188,11)</f>
        <v>0</v>
      </c>
      <c r="AA75" s="6">
        <f>VLOOKUP($C75,'Food Pairing Data'!$C$2:$S$188,12)</f>
        <v>0</v>
      </c>
      <c r="AB75" s="6">
        <f>VLOOKUP($C75,'Food Pairing Data'!$C$2:$S$188,13)</f>
        <v>0</v>
      </c>
      <c r="AC75" s="6">
        <f>VLOOKUP($C75,'Food Pairing Data'!$C$2:$S$188,14)</f>
        <v>1</v>
      </c>
      <c r="AD75" s="6">
        <f>VLOOKUP($C75,'Food Pairing Data'!$C$2:$S$188,15)</f>
        <v>0</v>
      </c>
      <c r="AE75" s="6">
        <f>VLOOKUP($C75,'Food Pairing Data'!$C$2:$S$188,16)</f>
        <v>0</v>
      </c>
      <c r="AF75" s="6">
        <f>VLOOKUP($C75,'Food Pairing Data'!$C$2:$S$188,17)</f>
        <v>0</v>
      </c>
      <c r="AG75" s="6" t="s">
        <v>601</v>
      </c>
      <c r="AH75" s="6" t="s">
        <v>573</v>
      </c>
    </row>
    <row r="76" spans="1:34" ht="14">
      <c r="A76" s="6">
        <f t="shared" si="1"/>
        <v>74</v>
      </c>
      <c r="B76" s="6" t="s">
        <v>161</v>
      </c>
      <c r="C76" s="6" t="s">
        <v>605</v>
      </c>
      <c r="D76" s="6" t="s">
        <v>606</v>
      </c>
      <c r="E76" s="22">
        <f>HLOOKUP(Output!$F$6,'Raw Data'!$T$2:$BO$88,(A76+1),)</f>
        <v>0</v>
      </c>
      <c r="F76" s="23">
        <f>IF(D76=Output!$B$6,1,0)</f>
        <v>0</v>
      </c>
      <c r="G76" s="23">
        <f>IF(K76&lt;=Output!$C$6,(200-'Raw Data'!K76),0)</f>
        <v>0</v>
      </c>
      <c r="H76" s="23">
        <v>5</v>
      </c>
      <c r="I76" s="24">
        <f>SUMPRODUCT(F76:H76,Output!$B$7:$D$7)*E76</f>
        <v>0</v>
      </c>
      <c r="J76" s="25">
        <v>0</v>
      </c>
      <c r="K76" s="20">
        <v>54.99</v>
      </c>
      <c r="L76" s="6" t="s">
        <v>525</v>
      </c>
      <c r="M76" s="6" t="s">
        <v>607</v>
      </c>
      <c r="N76" s="6" t="s">
        <v>608</v>
      </c>
      <c r="O76" s="6" t="s">
        <v>540</v>
      </c>
      <c r="P76" s="26">
        <v>0.125</v>
      </c>
      <c r="Q76" s="6" t="s">
        <v>74</v>
      </c>
      <c r="R76" s="6" t="s">
        <v>86</v>
      </c>
      <c r="S76" s="6" t="s">
        <v>104</v>
      </c>
      <c r="T76" s="6">
        <f>VLOOKUP($C76,'Food Pairing Data'!$C$2:$S$188,5)</f>
        <v>0</v>
      </c>
      <c r="U76" s="6">
        <f>VLOOKUP($C76,'Food Pairing Data'!$C$2:$S$188,6)</f>
        <v>0</v>
      </c>
      <c r="V76" s="6">
        <f>VLOOKUP($C76,'Food Pairing Data'!$C$2:$S$188,7)</f>
        <v>0</v>
      </c>
      <c r="W76" s="6">
        <f>VLOOKUP($C76,'Food Pairing Data'!$C$2:$S$188,8)</f>
        <v>0</v>
      </c>
      <c r="X76" s="6">
        <f>VLOOKUP($C76,'Food Pairing Data'!$C$2:$S$188,9)</f>
        <v>0</v>
      </c>
      <c r="Y76" s="6">
        <f>VLOOKUP($C76,'Food Pairing Data'!$C$2:$S$188,10)</f>
        <v>0</v>
      </c>
      <c r="Z76" s="6">
        <f>VLOOKUP($C76,'Food Pairing Data'!$C$2:$S$188,11)</f>
        <v>0</v>
      </c>
      <c r="AA76" s="6">
        <f>VLOOKUP($C76,'Food Pairing Data'!$C$2:$S$188,12)</f>
        <v>0</v>
      </c>
      <c r="AB76" s="6">
        <f>VLOOKUP($C76,'Food Pairing Data'!$C$2:$S$188,13)</f>
        <v>0</v>
      </c>
      <c r="AC76" s="6">
        <f>VLOOKUP($C76,'Food Pairing Data'!$C$2:$S$188,14)</f>
        <v>1</v>
      </c>
      <c r="AD76" s="6">
        <f>VLOOKUP($C76,'Food Pairing Data'!$C$2:$S$188,15)</f>
        <v>0</v>
      </c>
      <c r="AE76" s="6">
        <f>VLOOKUP($C76,'Food Pairing Data'!$C$2:$S$188,16)</f>
        <v>0</v>
      </c>
      <c r="AF76" s="6">
        <f>VLOOKUP($C76,'Food Pairing Data'!$C$2:$S$188,17)</f>
        <v>0</v>
      </c>
      <c r="AG76" s="6" t="s">
        <v>605</v>
      </c>
      <c r="AH76" s="6" t="s">
        <v>606</v>
      </c>
    </row>
    <row r="77" spans="1:34" ht="14">
      <c r="A77" s="6">
        <f t="shared" si="1"/>
        <v>75</v>
      </c>
      <c r="B77" s="6" t="s">
        <v>181</v>
      </c>
      <c r="C77" s="6" t="s">
        <v>609</v>
      </c>
      <c r="D77" s="6" t="s">
        <v>606</v>
      </c>
      <c r="E77" s="22">
        <f>HLOOKUP(Output!$F$6,'Raw Data'!$T$2:$BO$88,(A77+1),)</f>
        <v>0</v>
      </c>
      <c r="F77" s="23">
        <f>IF(D77=Output!$B$6,1,0)</f>
        <v>0</v>
      </c>
      <c r="G77" s="23">
        <f>IF(K77&lt;=Output!$C$6,(200-'Raw Data'!K77),0)</f>
        <v>0</v>
      </c>
      <c r="H77" s="23">
        <v>5</v>
      </c>
      <c r="I77" s="24">
        <f>SUMPRODUCT(F77:H77,Output!$B$7:$D$7)*E77</f>
        <v>0</v>
      </c>
      <c r="J77" s="25">
        <v>0</v>
      </c>
      <c r="K77" s="20">
        <v>37.99</v>
      </c>
      <c r="L77" s="6" t="s">
        <v>525</v>
      </c>
      <c r="M77" s="6" t="s">
        <v>610</v>
      </c>
      <c r="N77" s="6" t="s">
        <v>611</v>
      </c>
      <c r="O77" s="6" t="s">
        <v>612</v>
      </c>
      <c r="P77" s="26">
        <v>0.12</v>
      </c>
      <c r="Q77" s="6" t="s">
        <v>518</v>
      </c>
      <c r="R77" s="6" t="s">
        <v>74</v>
      </c>
      <c r="S77" s="6" t="s">
        <v>53</v>
      </c>
      <c r="T77" s="6">
        <f>VLOOKUP($C77,'Food Pairing Data'!$C$2:$S$188,5)</f>
        <v>0</v>
      </c>
      <c r="U77" s="6">
        <f>VLOOKUP($C77,'Food Pairing Data'!$C$2:$S$188,6)</f>
        <v>0</v>
      </c>
      <c r="V77" s="6">
        <f>VLOOKUP($C77,'Food Pairing Data'!$C$2:$S$188,7)</f>
        <v>0</v>
      </c>
      <c r="W77" s="6">
        <f>VLOOKUP($C77,'Food Pairing Data'!$C$2:$S$188,8)</f>
        <v>1</v>
      </c>
      <c r="X77" s="6">
        <f>VLOOKUP($C77,'Food Pairing Data'!$C$2:$S$188,9)</f>
        <v>0</v>
      </c>
      <c r="Y77" s="6">
        <f>VLOOKUP($C77,'Food Pairing Data'!$C$2:$S$188,10)</f>
        <v>1</v>
      </c>
      <c r="Z77" s="6">
        <f>VLOOKUP($C77,'Food Pairing Data'!$C$2:$S$188,11)</f>
        <v>0</v>
      </c>
      <c r="AA77" s="6">
        <f>VLOOKUP($C77,'Food Pairing Data'!$C$2:$S$188,12)</f>
        <v>0</v>
      </c>
      <c r="AB77" s="6">
        <f>VLOOKUP($C77,'Food Pairing Data'!$C$2:$S$188,13)</f>
        <v>0</v>
      </c>
      <c r="AC77" s="6">
        <f>VLOOKUP($C77,'Food Pairing Data'!$C$2:$S$188,14)</f>
        <v>0</v>
      </c>
      <c r="AD77" s="6">
        <f>VLOOKUP($C77,'Food Pairing Data'!$C$2:$S$188,15)</f>
        <v>0</v>
      </c>
      <c r="AE77" s="6">
        <f>VLOOKUP($C77,'Food Pairing Data'!$C$2:$S$188,16)</f>
        <v>0</v>
      </c>
      <c r="AF77" s="6">
        <f>VLOOKUP($C77,'Food Pairing Data'!$C$2:$S$188,17)</f>
        <v>0</v>
      </c>
      <c r="AG77" s="6" t="s">
        <v>609</v>
      </c>
      <c r="AH77" s="6" t="s">
        <v>606</v>
      </c>
    </row>
    <row r="78" spans="1:34" ht="14">
      <c r="A78" s="6">
        <f t="shared" si="1"/>
        <v>76</v>
      </c>
      <c r="B78" s="6" t="s">
        <v>23</v>
      </c>
      <c r="C78" s="6" t="s">
        <v>572</v>
      </c>
      <c r="D78" s="6" t="s">
        <v>606</v>
      </c>
      <c r="E78" s="22">
        <f>HLOOKUP(Output!$F$6,'Raw Data'!$T$2:$BO$88,(A78+1),)</f>
        <v>0</v>
      </c>
      <c r="F78" s="23">
        <f>IF(D78=Output!$B$6,1,0)</f>
        <v>0</v>
      </c>
      <c r="G78" s="23">
        <f>IF(K78&lt;=Output!$C$6,(200-'Raw Data'!K78),0)</f>
        <v>180.01</v>
      </c>
      <c r="H78" s="23">
        <v>5</v>
      </c>
      <c r="I78" s="24">
        <f>SUMPRODUCT(F78:H78,Output!$B$7:$D$7)*E78</f>
        <v>0</v>
      </c>
      <c r="J78" s="25">
        <v>0</v>
      </c>
      <c r="K78" s="20">
        <v>19.989999999999998</v>
      </c>
      <c r="L78" s="6" t="s">
        <v>574</v>
      </c>
      <c r="M78" s="6" t="s">
        <v>575</v>
      </c>
      <c r="N78" s="6" t="s">
        <v>416</v>
      </c>
      <c r="O78" s="6" t="s">
        <v>417</v>
      </c>
      <c r="P78" s="26">
        <v>0.115</v>
      </c>
      <c r="Q78" s="6" t="s">
        <v>56</v>
      </c>
      <c r="R78" s="6" t="s">
        <v>78</v>
      </c>
      <c r="S78" s="6" t="s">
        <v>148</v>
      </c>
      <c r="T78" s="6">
        <f>VLOOKUP($C78,'Food Pairing Data'!$C$2:$S$188,5)</f>
        <v>0</v>
      </c>
      <c r="U78" s="6">
        <f>VLOOKUP($C78,'Food Pairing Data'!$C$2:$S$188,6)</f>
        <v>0</v>
      </c>
      <c r="V78" s="6">
        <f>VLOOKUP($C78,'Food Pairing Data'!$C$2:$S$188,7)</f>
        <v>0</v>
      </c>
      <c r="W78" s="6">
        <f>VLOOKUP($C78,'Food Pairing Data'!$C$2:$S$188,8)</f>
        <v>0</v>
      </c>
      <c r="X78" s="6">
        <f>VLOOKUP($C78,'Food Pairing Data'!$C$2:$S$188,9)</f>
        <v>0</v>
      </c>
      <c r="Y78" s="6">
        <f>VLOOKUP($C78,'Food Pairing Data'!$C$2:$S$188,10)</f>
        <v>0</v>
      </c>
      <c r="Z78" s="6">
        <f>VLOOKUP($C78,'Food Pairing Data'!$C$2:$S$188,11)</f>
        <v>0</v>
      </c>
      <c r="AA78" s="6">
        <f>VLOOKUP($C78,'Food Pairing Data'!$C$2:$S$188,12)</f>
        <v>0</v>
      </c>
      <c r="AB78" s="6">
        <f>VLOOKUP($C78,'Food Pairing Data'!$C$2:$S$188,13)</f>
        <v>0</v>
      </c>
      <c r="AC78" s="6">
        <f>VLOOKUP($C78,'Food Pairing Data'!$C$2:$S$188,14)</f>
        <v>1</v>
      </c>
      <c r="AD78" s="6">
        <f>VLOOKUP($C78,'Food Pairing Data'!$C$2:$S$188,15)</f>
        <v>0</v>
      </c>
      <c r="AE78" s="6">
        <f>VLOOKUP($C78,'Food Pairing Data'!$C$2:$S$188,16)</f>
        <v>0</v>
      </c>
      <c r="AF78" s="6">
        <f>VLOOKUP($C78,'Food Pairing Data'!$C$2:$S$188,17)</f>
        <v>0</v>
      </c>
      <c r="AG78" s="6" t="s">
        <v>572</v>
      </c>
      <c r="AH78" s="6" t="s">
        <v>606</v>
      </c>
    </row>
    <row r="79" spans="1:34" ht="14">
      <c r="A79" s="6">
        <f t="shared" si="1"/>
        <v>77</v>
      </c>
      <c r="B79" s="6" t="s">
        <v>245</v>
      </c>
      <c r="C79" s="6" t="s">
        <v>613</v>
      </c>
      <c r="D79" s="6" t="s">
        <v>606</v>
      </c>
      <c r="E79" s="22">
        <f>HLOOKUP(Output!$F$6,'Raw Data'!$T$2:$BO$88,(A79+1),)</f>
        <v>0</v>
      </c>
      <c r="F79" s="23">
        <f>IF(D79=Output!$B$6,1,0)</f>
        <v>0</v>
      </c>
      <c r="G79" s="23">
        <f>IF(K79&lt;=Output!$C$6,(200-'Raw Data'!K79),0)</f>
        <v>191.01</v>
      </c>
      <c r="H79" s="23">
        <v>4.5</v>
      </c>
      <c r="I79" s="24">
        <f>SUMPRODUCT(F79:H79,Output!$B$7:$D$7)*E79</f>
        <v>0</v>
      </c>
      <c r="J79" s="25">
        <v>0</v>
      </c>
      <c r="K79" s="20">
        <v>8.99</v>
      </c>
      <c r="L79" s="6" t="s">
        <v>525</v>
      </c>
      <c r="M79" s="6" t="s">
        <v>602</v>
      </c>
      <c r="N79" s="6" t="s">
        <v>614</v>
      </c>
      <c r="O79" s="6" t="s">
        <v>615</v>
      </c>
      <c r="P79" s="26">
        <v>0.11</v>
      </c>
      <c r="Q79" s="6" t="s">
        <v>168</v>
      </c>
      <c r="R79" s="6" t="s">
        <v>616</v>
      </c>
      <c r="S79" s="6" t="s">
        <v>147</v>
      </c>
      <c r="T79" s="6">
        <f>VLOOKUP($C79,'Food Pairing Data'!$C$2:$S$188,5)</f>
        <v>0</v>
      </c>
      <c r="U79" s="6">
        <f>VLOOKUP($C79,'Food Pairing Data'!$C$2:$S$188,6)</f>
        <v>0</v>
      </c>
      <c r="V79" s="6">
        <f>VLOOKUP($C79,'Food Pairing Data'!$C$2:$S$188,7)</f>
        <v>0</v>
      </c>
      <c r="W79" s="6">
        <f>VLOOKUP($C79,'Food Pairing Data'!$C$2:$S$188,8)</f>
        <v>0</v>
      </c>
      <c r="X79" s="6">
        <f>VLOOKUP($C79,'Food Pairing Data'!$C$2:$S$188,9)</f>
        <v>0</v>
      </c>
      <c r="Y79" s="6">
        <f>VLOOKUP($C79,'Food Pairing Data'!$C$2:$S$188,10)</f>
        <v>0</v>
      </c>
      <c r="Z79" s="6">
        <f>VLOOKUP($C79,'Food Pairing Data'!$C$2:$S$188,11)</f>
        <v>0</v>
      </c>
      <c r="AA79" s="6">
        <f>VLOOKUP($C79,'Food Pairing Data'!$C$2:$S$188,12)</f>
        <v>0</v>
      </c>
      <c r="AB79" s="6">
        <f>VLOOKUP($C79,'Food Pairing Data'!$C$2:$S$188,13)</f>
        <v>0</v>
      </c>
      <c r="AC79" s="6">
        <f>VLOOKUP($C79,'Food Pairing Data'!$C$2:$S$188,14)</f>
        <v>1</v>
      </c>
      <c r="AD79" s="6">
        <f>VLOOKUP($C79,'Food Pairing Data'!$C$2:$S$188,15)</f>
        <v>0</v>
      </c>
      <c r="AE79" s="6">
        <f>VLOOKUP($C79,'Food Pairing Data'!$C$2:$S$188,16)</f>
        <v>0</v>
      </c>
      <c r="AF79" s="6">
        <f>VLOOKUP($C79,'Food Pairing Data'!$C$2:$S$188,17)</f>
        <v>0</v>
      </c>
      <c r="AG79" s="6" t="s">
        <v>613</v>
      </c>
      <c r="AH79" s="6" t="s">
        <v>606</v>
      </c>
    </row>
    <row r="80" spans="1:34" ht="14">
      <c r="A80" s="6">
        <f t="shared" si="1"/>
        <v>78</v>
      </c>
      <c r="B80" s="6" t="s">
        <v>161</v>
      </c>
      <c r="C80" s="6" t="s">
        <v>617</v>
      </c>
      <c r="D80" s="6" t="s">
        <v>606</v>
      </c>
      <c r="E80" s="22">
        <f>HLOOKUP(Output!$F$6,'Raw Data'!$T$2:$BO$88,(A80+1),)</f>
        <v>0</v>
      </c>
      <c r="F80" s="23">
        <f>IF(D80=Output!$B$6,1,0)</f>
        <v>0</v>
      </c>
      <c r="G80" s="23">
        <f>IF(K80&lt;=Output!$C$6,(200-'Raw Data'!K80),0)</f>
        <v>0</v>
      </c>
      <c r="H80" s="23">
        <v>4</v>
      </c>
      <c r="I80" s="24">
        <f>SUMPRODUCT(F80:H80,Output!$B$7:$D$7)*E80</f>
        <v>0</v>
      </c>
      <c r="J80" s="25">
        <v>0</v>
      </c>
      <c r="K80" s="20">
        <v>57.99</v>
      </c>
      <c r="L80" s="6" t="s">
        <v>525</v>
      </c>
      <c r="M80" s="6" t="s">
        <v>618</v>
      </c>
      <c r="N80" s="6" t="s">
        <v>619</v>
      </c>
      <c r="O80" s="6" t="s">
        <v>620</v>
      </c>
      <c r="P80" s="26">
        <v>0.12</v>
      </c>
      <c r="Q80" s="6" t="s">
        <v>75</v>
      </c>
      <c r="R80" s="6" t="s">
        <v>74</v>
      </c>
      <c r="S80" s="6" t="s">
        <v>148</v>
      </c>
      <c r="T80" s="6">
        <v>0</v>
      </c>
      <c r="U80" s="6">
        <v>0</v>
      </c>
      <c r="V80" s="6">
        <v>0</v>
      </c>
      <c r="W80" s="6">
        <v>1</v>
      </c>
      <c r="X80" s="6">
        <v>1</v>
      </c>
      <c r="Y80" s="6">
        <v>0</v>
      </c>
      <c r="Z80" s="6">
        <v>0</v>
      </c>
      <c r="AA80" s="6">
        <v>0</v>
      </c>
      <c r="AB80" s="6">
        <v>0</v>
      </c>
      <c r="AC80" s="6">
        <v>0</v>
      </c>
      <c r="AD80" s="6">
        <v>0</v>
      </c>
      <c r="AE80" s="6">
        <v>0</v>
      </c>
      <c r="AF80" s="6">
        <v>0</v>
      </c>
      <c r="AG80" s="6" t="s">
        <v>617</v>
      </c>
      <c r="AH80" s="6" t="s">
        <v>606</v>
      </c>
    </row>
    <row r="81" spans="1:34" ht="14">
      <c r="A81" s="6">
        <f t="shared" si="1"/>
        <v>79</v>
      </c>
      <c r="B81" s="6" t="s">
        <v>23</v>
      </c>
      <c r="C81" s="6" t="s">
        <v>621</v>
      </c>
      <c r="D81" s="6" t="s">
        <v>606</v>
      </c>
      <c r="E81" s="22">
        <f>HLOOKUP(Output!$F$6,'Raw Data'!$T$2:$BO$88,(A81+1),)</f>
        <v>0</v>
      </c>
      <c r="F81" s="23">
        <f>IF(D81=Output!$B$6,1,0)</f>
        <v>0</v>
      </c>
      <c r="G81" s="23">
        <f>IF(K81&lt;=Output!$C$6,(200-'Raw Data'!K81),0)</f>
        <v>184.01</v>
      </c>
      <c r="H81" s="23">
        <v>4</v>
      </c>
      <c r="I81" s="24">
        <f>SUMPRODUCT(F81:H81,Output!$B$7:$D$7)*E81</f>
        <v>0</v>
      </c>
      <c r="J81" s="25">
        <v>0</v>
      </c>
      <c r="K81" s="20">
        <v>15.99</v>
      </c>
      <c r="L81" s="6" t="s">
        <v>574</v>
      </c>
      <c r="N81" s="6" t="s">
        <v>622</v>
      </c>
      <c r="O81" s="6" t="s">
        <v>623</v>
      </c>
      <c r="P81" s="26">
        <v>0.115</v>
      </c>
      <c r="Q81" s="6" t="s">
        <v>74</v>
      </c>
      <c r="R81" s="6" t="s">
        <v>624</v>
      </c>
      <c r="S81" s="6" t="s">
        <v>53</v>
      </c>
      <c r="T81" s="6">
        <f>VLOOKUP($C81,'Food Pairing Data'!$C$2:$S$188,5)</f>
        <v>0</v>
      </c>
      <c r="U81" s="6">
        <f>VLOOKUP($C81,'Food Pairing Data'!$C$2:$S$188,6)</f>
        <v>0</v>
      </c>
      <c r="V81" s="6">
        <f>VLOOKUP($C81,'Food Pairing Data'!$C$2:$S$188,7)</f>
        <v>1</v>
      </c>
      <c r="W81" s="6">
        <f>VLOOKUP($C81,'Food Pairing Data'!$C$2:$S$188,8)</f>
        <v>1</v>
      </c>
      <c r="X81" s="6">
        <f>VLOOKUP($C81,'Food Pairing Data'!$C$2:$S$188,9)</f>
        <v>0</v>
      </c>
      <c r="Y81" s="6">
        <f>VLOOKUP($C81,'Food Pairing Data'!$C$2:$S$188,10)</f>
        <v>0</v>
      </c>
      <c r="Z81" s="6">
        <f>VLOOKUP($C81,'Food Pairing Data'!$C$2:$S$188,11)</f>
        <v>0</v>
      </c>
      <c r="AA81" s="6">
        <f>VLOOKUP($C81,'Food Pairing Data'!$C$2:$S$188,12)</f>
        <v>0</v>
      </c>
      <c r="AB81" s="6">
        <f>VLOOKUP($C81,'Food Pairing Data'!$C$2:$S$188,13)</f>
        <v>0</v>
      </c>
      <c r="AC81" s="6">
        <f>VLOOKUP($C81,'Food Pairing Data'!$C$2:$S$188,14)</f>
        <v>0</v>
      </c>
      <c r="AD81" s="6">
        <f>VLOOKUP($C81,'Food Pairing Data'!$C$2:$S$188,15)</f>
        <v>0</v>
      </c>
      <c r="AE81" s="6">
        <f>VLOOKUP($C81,'Food Pairing Data'!$C$2:$S$188,16)</f>
        <v>0</v>
      </c>
      <c r="AF81" s="6">
        <f>VLOOKUP($C81,'Food Pairing Data'!$C$2:$S$188,17)</f>
        <v>0</v>
      </c>
      <c r="AG81" s="6" t="s">
        <v>621</v>
      </c>
      <c r="AH81" s="6" t="s">
        <v>606</v>
      </c>
    </row>
    <row r="82" spans="1:34" ht="14">
      <c r="A82" s="6">
        <f t="shared" si="1"/>
        <v>80</v>
      </c>
      <c r="B82" s="6" t="s">
        <v>245</v>
      </c>
      <c r="C82" s="6" t="s">
        <v>601</v>
      </c>
      <c r="D82" s="6" t="s">
        <v>606</v>
      </c>
      <c r="E82" s="22">
        <f>HLOOKUP(Output!$F$6,'Raw Data'!$T$2:$BO$88,(A82+1),)</f>
        <v>0</v>
      </c>
      <c r="F82" s="23">
        <f>IF(D82=Output!$B$6,1,0)</f>
        <v>0</v>
      </c>
      <c r="G82" s="23">
        <f>IF(K82&lt;=Output!$C$6,(200-'Raw Data'!K82),0)</f>
        <v>190.01</v>
      </c>
      <c r="H82" s="23">
        <v>4</v>
      </c>
      <c r="I82" s="24">
        <f>SUMPRODUCT(F82:H82,Output!$B$7:$D$7)*E82</f>
        <v>0</v>
      </c>
      <c r="J82" s="25">
        <v>0</v>
      </c>
      <c r="K82" s="20">
        <v>9.99</v>
      </c>
      <c r="L82" s="6" t="s">
        <v>525</v>
      </c>
      <c r="M82" s="6" t="s">
        <v>602</v>
      </c>
      <c r="N82" s="6" t="s">
        <v>603</v>
      </c>
      <c r="O82" s="6" t="s">
        <v>604</v>
      </c>
      <c r="P82" s="26">
        <v>0.12</v>
      </c>
      <c r="Q82" s="6" t="s">
        <v>518</v>
      </c>
      <c r="R82" s="6" t="s">
        <v>625</v>
      </c>
      <c r="S82" s="6" t="s">
        <v>512</v>
      </c>
      <c r="T82" s="6">
        <f>VLOOKUP($C82,'Food Pairing Data'!$C$2:$S$188,5)</f>
        <v>0</v>
      </c>
      <c r="U82" s="6">
        <f>VLOOKUP($C82,'Food Pairing Data'!$C$2:$S$188,6)</f>
        <v>0</v>
      </c>
      <c r="V82" s="6">
        <f>VLOOKUP($C82,'Food Pairing Data'!$C$2:$S$188,7)</f>
        <v>0</v>
      </c>
      <c r="W82" s="6">
        <f>VLOOKUP($C82,'Food Pairing Data'!$C$2:$S$188,8)</f>
        <v>0</v>
      </c>
      <c r="X82" s="6">
        <f>VLOOKUP($C82,'Food Pairing Data'!$C$2:$S$188,9)</f>
        <v>0</v>
      </c>
      <c r="Y82" s="6">
        <f>VLOOKUP($C82,'Food Pairing Data'!$C$2:$S$188,10)</f>
        <v>0</v>
      </c>
      <c r="Z82" s="6">
        <f>VLOOKUP($C82,'Food Pairing Data'!$C$2:$S$188,11)</f>
        <v>0</v>
      </c>
      <c r="AA82" s="6">
        <f>VLOOKUP($C82,'Food Pairing Data'!$C$2:$S$188,12)</f>
        <v>0</v>
      </c>
      <c r="AB82" s="6">
        <f>VLOOKUP($C82,'Food Pairing Data'!$C$2:$S$188,13)</f>
        <v>0</v>
      </c>
      <c r="AC82" s="6">
        <f>VLOOKUP($C82,'Food Pairing Data'!$C$2:$S$188,14)</f>
        <v>1</v>
      </c>
      <c r="AD82" s="6">
        <f>VLOOKUP($C82,'Food Pairing Data'!$C$2:$S$188,15)</f>
        <v>0</v>
      </c>
      <c r="AE82" s="6">
        <f>VLOOKUP($C82,'Food Pairing Data'!$C$2:$S$188,16)</f>
        <v>0</v>
      </c>
      <c r="AF82" s="6">
        <f>VLOOKUP($C82,'Food Pairing Data'!$C$2:$S$188,17)</f>
        <v>0</v>
      </c>
      <c r="AG82" s="6" t="s">
        <v>601</v>
      </c>
      <c r="AH82" s="6" t="s">
        <v>606</v>
      </c>
    </row>
    <row r="83" spans="1:34" ht="14">
      <c r="A83" s="6">
        <f t="shared" si="1"/>
        <v>81</v>
      </c>
      <c r="B83" s="6" t="s">
        <v>23</v>
      </c>
      <c r="C83" s="6" t="s">
        <v>626</v>
      </c>
      <c r="D83" s="6" t="s">
        <v>606</v>
      </c>
      <c r="E83" s="22">
        <f>HLOOKUP(Output!$F$6,'Raw Data'!$T$2:$BO$88,(A83+1),)</f>
        <v>0</v>
      </c>
      <c r="F83" s="23">
        <f>IF(D83=Output!$B$6,1,0)</f>
        <v>0</v>
      </c>
      <c r="G83" s="23">
        <f>IF(K83&lt;=Output!$C$6,(200-'Raw Data'!K83),0)</f>
        <v>185.01</v>
      </c>
      <c r="H83" s="23">
        <v>3.5</v>
      </c>
      <c r="I83" s="24">
        <f>SUMPRODUCT(F83:H83,Output!$B$7:$D$7)*E83</f>
        <v>0</v>
      </c>
      <c r="J83" s="25">
        <v>0</v>
      </c>
      <c r="K83" s="20">
        <v>14.99</v>
      </c>
      <c r="L83" s="6" t="s">
        <v>164</v>
      </c>
      <c r="M83" s="6" t="s">
        <v>627</v>
      </c>
      <c r="N83" s="6" t="s">
        <v>628</v>
      </c>
      <c r="O83" s="6" t="s">
        <v>300</v>
      </c>
      <c r="P83" s="26">
        <v>0.05</v>
      </c>
      <c r="Q83" s="6" t="s">
        <v>168</v>
      </c>
      <c r="R83" s="6" t="s">
        <v>85</v>
      </c>
      <c r="S83" s="6" t="s">
        <v>102</v>
      </c>
      <c r="T83" s="6">
        <v>0</v>
      </c>
      <c r="U83" s="6">
        <v>0</v>
      </c>
      <c r="V83" s="6">
        <v>0</v>
      </c>
      <c r="W83" s="6">
        <v>0</v>
      </c>
      <c r="X83" s="6">
        <v>0</v>
      </c>
      <c r="Y83" s="6">
        <v>1</v>
      </c>
      <c r="Z83" s="6">
        <v>0</v>
      </c>
      <c r="AA83" s="6">
        <v>0</v>
      </c>
      <c r="AB83" s="6">
        <v>0</v>
      </c>
      <c r="AC83" s="6">
        <v>1</v>
      </c>
      <c r="AD83" s="6">
        <v>0</v>
      </c>
      <c r="AE83" s="6">
        <v>0</v>
      </c>
      <c r="AF83" s="6">
        <v>1</v>
      </c>
      <c r="AG83" s="6" t="s">
        <v>626</v>
      </c>
      <c r="AH83" s="6" t="s">
        <v>606</v>
      </c>
    </row>
    <row r="84" spans="1:34" ht="14">
      <c r="A84" s="6">
        <f t="shared" si="1"/>
        <v>82</v>
      </c>
      <c r="B84" s="6" t="s">
        <v>23</v>
      </c>
      <c r="C84" s="6" t="s">
        <v>629</v>
      </c>
      <c r="D84" s="6" t="s">
        <v>606</v>
      </c>
      <c r="E84" s="22">
        <f>HLOOKUP(Output!$F$6,'Raw Data'!$T$2:$BO$88,(A84+1),)</f>
        <v>0</v>
      </c>
      <c r="F84" s="23">
        <f>IF(D84=Output!$B$6,1,0)</f>
        <v>0</v>
      </c>
      <c r="G84" s="23">
        <f>IF(K84&lt;=Output!$C$6,(200-'Raw Data'!K84),0)</f>
        <v>187.01</v>
      </c>
      <c r="H84" s="23">
        <v>3.5</v>
      </c>
      <c r="I84" s="24">
        <f>SUMPRODUCT(F84:H84,Output!$B$7:$D$7)*E84</f>
        <v>0</v>
      </c>
      <c r="J84" s="25">
        <v>0</v>
      </c>
      <c r="K84" s="20">
        <v>12.99</v>
      </c>
      <c r="L84" s="6" t="s">
        <v>164</v>
      </c>
      <c r="M84" s="6" t="s">
        <v>630</v>
      </c>
      <c r="N84" s="6" t="s">
        <v>631</v>
      </c>
      <c r="O84" s="6" t="s">
        <v>557</v>
      </c>
      <c r="P84" s="26">
        <v>0.115</v>
      </c>
      <c r="Q84" s="6" t="s">
        <v>68</v>
      </c>
      <c r="R84" s="6" t="s">
        <v>84</v>
      </c>
      <c r="S84" s="6" t="s">
        <v>104</v>
      </c>
      <c r="T84" s="6">
        <f>VLOOKUP($C84,'Food Pairing Data'!$C$2:$S$188,5)</f>
        <v>0</v>
      </c>
      <c r="U84" s="6">
        <f>VLOOKUP($C84,'Food Pairing Data'!$C$2:$S$188,6)</f>
        <v>0</v>
      </c>
      <c r="V84" s="6">
        <f>VLOOKUP($C84,'Food Pairing Data'!$C$2:$S$188,7)</f>
        <v>0</v>
      </c>
      <c r="W84" s="6">
        <f>VLOOKUP($C84,'Food Pairing Data'!$C$2:$S$188,8)</f>
        <v>0</v>
      </c>
      <c r="X84" s="6">
        <f>VLOOKUP($C84,'Food Pairing Data'!$C$2:$S$188,9)</f>
        <v>0</v>
      </c>
      <c r="Y84" s="6">
        <f>VLOOKUP($C84,'Food Pairing Data'!$C$2:$S$188,10)</f>
        <v>0</v>
      </c>
      <c r="Z84" s="6">
        <f>VLOOKUP($C84,'Food Pairing Data'!$C$2:$S$188,11)</f>
        <v>0</v>
      </c>
      <c r="AA84" s="6">
        <f>VLOOKUP($C84,'Food Pairing Data'!$C$2:$S$188,12)</f>
        <v>0</v>
      </c>
      <c r="AB84" s="6">
        <f>VLOOKUP($C84,'Food Pairing Data'!$C$2:$S$188,13)</f>
        <v>0</v>
      </c>
      <c r="AC84" s="6">
        <f>VLOOKUP($C84,'Food Pairing Data'!$C$2:$S$188,14)</f>
        <v>1</v>
      </c>
      <c r="AD84" s="6">
        <f>VLOOKUP($C84,'Food Pairing Data'!$C$2:$S$188,15)</f>
        <v>0</v>
      </c>
      <c r="AE84" s="6">
        <f>VLOOKUP($C84,'Food Pairing Data'!$C$2:$S$188,16)</f>
        <v>0</v>
      </c>
      <c r="AF84" s="6">
        <f>VLOOKUP($C84,'Food Pairing Data'!$C$2:$S$188,17)</f>
        <v>0</v>
      </c>
      <c r="AG84" s="6" t="s">
        <v>629</v>
      </c>
      <c r="AH84" s="6" t="s">
        <v>606</v>
      </c>
    </row>
    <row r="85" spans="1:34" ht="14">
      <c r="A85" s="6">
        <f t="shared" si="1"/>
        <v>83</v>
      </c>
      <c r="B85" s="6" t="s">
        <v>23</v>
      </c>
      <c r="C85" s="6" t="s">
        <v>632</v>
      </c>
      <c r="D85" s="6" t="s">
        <v>295</v>
      </c>
      <c r="E85" s="22">
        <f>HLOOKUP(Output!$F$6,'Raw Data'!$T$2:$BO$88,(A85+1),)</f>
        <v>0</v>
      </c>
      <c r="F85" s="23">
        <f>IF(D85=Output!$B$6,1,0)</f>
        <v>0</v>
      </c>
      <c r="G85" s="23">
        <f>IF(K85&lt;=Output!$C$6,(200-'Raw Data'!K85),0)</f>
        <v>183.01</v>
      </c>
      <c r="H85" s="23">
        <v>5</v>
      </c>
      <c r="I85" s="24">
        <f>SUMPRODUCT(F85:H85,Output!$B$7:$D$7)*E85</f>
        <v>0</v>
      </c>
      <c r="J85" s="25">
        <v>0</v>
      </c>
      <c r="K85" s="20">
        <v>16.989999999999998</v>
      </c>
      <c r="L85" s="6" t="s">
        <v>574</v>
      </c>
      <c r="M85" s="6" t="s">
        <v>633</v>
      </c>
      <c r="O85" s="6" t="s">
        <v>540</v>
      </c>
      <c r="P85" s="26">
        <v>0.15</v>
      </c>
      <c r="Q85" s="6" t="s">
        <v>96</v>
      </c>
      <c r="R85" s="6" t="s">
        <v>97</v>
      </c>
      <c r="S85" s="6" t="s">
        <v>53</v>
      </c>
      <c r="T85" s="6">
        <f>VLOOKUP($C85,'Food Pairing Data'!$C$2:$S$188,5)</f>
        <v>0</v>
      </c>
      <c r="U85" s="6">
        <f>VLOOKUP($C85,'Food Pairing Data'!$C$2:$S$188,6)</f>
        <v>0</v>
      </c>
      <c r="V85" s="6">
        <f>VLOOKUP($C85,'Food Pairing Data'!$C$2:$S$188,7)</f>
        <v>0</v>
      </c>
      <c r="W85" s="6">
        <f>VLOOKUP($C85,'Food Pairing Data'!$C$2:$S$188,8)</f>
        <v>0</v>
      </c>
      <c r="X85" s="6">
        <f>VLOOKUP($C85,'Food Pairing Data'!$C$2:$S$188,9)</f>
        <v>0</v>
      </c>
      <c r="Y85" s="6">
        <f>VLOOKUP($C85,'Food Pairing Data'!$C$2:$S$188,10)</f>
        <v>0</v>
      </c>
      <c r="Z85" s="6">
        <f>VLOOKUP($C85,'Food Pairing Data'!$C$2:$S$188,11)</f>
        <v>0</v>
      </c>
      <c r="AA85" s="6">
        <f>VLOOKUP($C85,'Food Pairing Data'!$C$2:$S$188,12)</f>
        <v>0</v>
      </c>
      <c r="AB85" s="6">
        <f>VLOOKUP($C85,'Food Pairing Data'!$C$2:$S$188,13)</f>
        <v>0</v>
      </c>
      <c r="AC85" s="6">
        <f>VLOOKUP($C85,'Food Pairing Data'!$C$2:$S$188,14)</f>
        <v>1</v>
      </c>
      <c r="AD85" s="6">
        <f>VLOOKUP($C85,'Food Pairing Data'!$C$2:$S$188,15)</f>
        <v>0</v>
      </c>
      <c r="AE85" s="6">
        <f>VLOOKUP($C85,'Food Pairing Data'!$C$2:$S$188,16)</f>
        <v>0</v>
      </c>
      <c r="AF85" s="6">
        <f>VLOOKUP($C85,'Food Pairing Data'!$C$2:$S$188,17)</f>
        <v>0</v>
      </c>
      <c r="AG85" s="6" t="s">
        <v>632</v>
      </c>
      <c r="AH85" s="6" t="s">
        <v>295</v>
      </c>
    </row>
    <row r="86" spans="1:34" ht="14">
      <c r="A86" s="6">
        <f t="shared" si="1"/>
        <v>84</v>
      </c>
      <c r="B86" s="6" t="s">
        <v>23</v>
      </c>
      <c r="C86" s="6" t="s">
        <v>634</v>
      </c>
      <c r="D86" s="6" t="s">
        <v>295</v>
      </c>
      <c r="E86" s="22">
        <f>HLOOKUP(Output!$F$6,'Raw Data'!$T$2:$BO$88,(A86+1),)</f>
        <v>0</v>
      </c>
      <c r="F86" s="23">
        <f>IF(D86=Output!$B$6,1,0)</f>
        <v>0</v>
      </c>
      <c r="G86" s="23">
        <f>IF(K86&lt;=Output!$C$6,(200-'Raw Data'!K86),0)</f>
        <v>183.01</v>
      </c>
      <c r="H86" s="23">
        <v>4.5</v>
      </c>
      <c r="I86" s="24">
        <f>SUMPRODUCT(F86:H86,Output!$B$7:$D$7)*E86</f>
        <v>0</v>
      </c>
      <c r="J86" s="25">
        <v>0</v>
      </c>
      <c r="K86" s="20">
        <v>16.989999999999998</v>
      </c>
      <c r="L86" s="6" t="s">
        <v>635</v>
      </c>
      <c r="M86" s="6" t="s">
        <v>636</v>
      </c>
      <c r="O86" s="6" t="s">
        <v>637</v>
      </c>
      <c r="P86" s="26">
        <v>0.14599999999999999</v>
      </c>
      <c r="Q86" s="6" t="s">
        <v>153</v>
      </c>
      <c r="R86" s="6" t="s">
        <v>91</v>
      </c>
      <c r="S86" s="6" t="s">
        <v>141</v>
      </c>
      <c r="T86" s="6">
        <f>VLOOKUP($C86,'Food Pairing Data'!$C$2:$S$188,5)</f>
        <v>0</v>
      </c>
      <c r="U86" s="6">
        <f>VLOOKUP($C86,'Food Pairing Data'!$C$2:$S$188,6)</f>
        <v>0</v>
      </c>
      <c r="V86" s="6">
        <f>VLOOKUP($C86,'Food Pairing Data'!$C$2:$S$188,7)</f>
        <v>0</v>
      </c>
      <c r="W86" s="6">
        <f>VLOOKUP($C86,'Food Pairing Data'!$C$2:$S$188,8)</f>
        <v>1</v>
      </c>
      <c r="X86" s="6">
        <f>VLOOKUP($C86,'Food Pairing Data'!$C$2:$S$188,9)</f>
        <v>0</v>
      </c>
      <c r="Y86" s="6">
        <f>VLOOKUP($C86,'Food Pairing Data'!$C$2:$S$188,10)</f>
        <v>1</v>
      </c>
      <c r="Z86" s="6">
        <f>VLOOKUP($C86,'Food Pairing Data'!$C$2:$S$188,11)</f>
        <v>0</v>
      </c>
      <c r="AA86" s="6">
        <f>VLOOKUP($C86,'Food Pairing Data'!$C$2:$S$188,12)</f>
        <v>0</v>
      </c>
      <c r="AB86" s="6">
        <f>VLOOKUP($C86,'Food Pairing Data'!$C$2:$S$188,13)</f>
        <v>0</v>
      </c>
      <c r="AC86" s="6">
        <f>VLOOKUP($C86,'Food Pairing Data'!$C$2:$S$188,14)</f>
        <v>0</v>
      </c>
      <c r="AD86" s="6">
        <f>VLOOKUP($C86,'Food Pairing Data'!$C$2:$S$188,15)</f>
        <v>0</v>
      </c>
      <c r="AE86" s="6">
        <f>VLOOKUP($C86,'Food Pairing Data'!$C$2:$S$188,16)</f>
        <v>0</v>
      </c>
      <c r="AF86" s="6">
        <f>VLOOKUP($C86,'Food Pairing Data'!$C$2:$S$188,17)</f>
        <v>0</v>
      </c>
      <c r="AG86" s="6" t="s">
        <v>634</v>
      </c>
      <c r="AH86" s="6" t="s">
        <v>295</v>
      </c>
    </row>
    <row r="87" spans="1:34" ht="14">
      <c r="A87" s="6">
        <f t="shared" si="1"/>
        <v>85</v>
      </c>
      <c r="B87" s="6" t="s">
        <v>23</v>
      </c>
      <c r="C87" s="6" t="s">
        <v>638</v>
      </c>
      <c r="D87" s="6" t="s">
        <v>295</v>
      </c>
      <c r="E87" s="22">
        <f>HLOOKUP(Output!$F$6,'Raw Data'!$T$2:$BO$88,(A87+1),)</f>
        <v>0</v>
      </c>
      <c r="F87" s="23">
        <f>IF(D87=Output!$B$6,1,0)</f>
        <v>0</v>
      </c>
      <c r="G87" s="23">
        <f>IF(K87&lt;=Output!$C$6,(200-'Raw Data'!K87),0)</f>
        <v>185.01</v>
      </c>
      <c r="H87" s="23">
        <v>4.5</v>
      </c>
      <c r="I87" s="24">
        <f>SUMPRODUCT(F87:H87,Output!$B$7:$D$7)*E87</f>
        <v>0</v>
      </c>
      <c r="J87" s="25">
        <v>0</v>
      </c>
      <c r="K87" s="20">
        <v>14.99</v>
      </c>
      <c r="L87" s="6" t="s">
        <v>574</v>
      </c>
      <c r="M87" s="6" t="s">
        <v>639</v>
      </c>
      <c r="N87" s="6" t="s">
        <v>640</v>
      </c>
      <c r="O87" s="6" t="s">
        <v>641</v>
      </c>
      <c r="P87" s="26">
        <v>0.15</v>
      </c>
      <c r="Q87" s="6" t="s">
        <v>96</v>
      </c>
      <c r="R87" s="6" t="s">
        <v>642</v>
      </c>
      <c r="S87" s="6" t="s">
        <v>643</v>
      </c>
      <c r="T87" s="6">
        <f>VLOOKUP($C87,'Food Pairing Data'!$C$2:$S$188,5)</f>
        <v>0</v>
      </c>
      <c r="U87" s="6">
        <f>VLOOKUP($C87,'Food Pairing Data'!$C$2:$S$188,6)</f>
        <v>0</v>
      </c>
      <c r="V87" s="6">
        <f>VLOOKUP($C87,'Food Pairing Data'!$C$2:$S$188,7)</f>
        <v>0</v>
      </c>
      <c r="W87" s="6">
        <f>VLOOKUP($C87,'Food Pairing Data'!$C$2:$S$188,8)</f>
        <v>0</v>
      </c>
      <c r="X87" s="6">
        <f>VLOOKUP($C87,'Food Pairing Data'!$C$2:$S$188,9)</f>
        <v>0</v>
      </c>
      <c r="Y87" s="6">
        <f>VLOOKUP($C87,'Food Pairing Data'!$C$2:$S$188,10)</f>
        <v>0</v>
      </c>
      <c r="Z87" s="6">
        <f>VLOOKUP($C87,'Food Pairing Data'!$C$2:$S$188,11)</f>
        <v>0</v>
      </c>
      <c r="AA87" s="6">
        <f>VLOOKUP($C87,'Food Pairing Data'!$C$2:$S$188,12)</f>
        <v>0</v>
      </c>
      <c r="AB87" s="6">
        <f>VLOOKUP($C87,'Food Pairing Data'!$C$2:$S$188,13)</f>
        <v>0</v>
      </c>
      <c r="AC87" s="6">
        <f>VLOOKUP($C87,'Food Pairing Data'!$C$2:$S$188,14)</f>
        <v>1</v>
      </c>
      <c r="AD87" s="6">
        <f>VLOOKUP($C87,'Food Pairing Data'!$C$2:$S$188,15)</f>
        <v>0</v>
      </c>
      <c r="AE87" s="6">
        <f>VLOOKUP($C87,'Food Pairing Data'!$C$2:$S$188,16)</f>
        <v>0</v>
      </c>
      <c r="AF87" s="6">
        <f>VLOOKUP($C87,'Food Pairing Data'!$C$2:$S$188,17)</f>
        <v>0</v>
      </c>
      <c r="AG87" s="6" t="s">
        <v>638</v>
      </c>
      <c r="AH87" s="6" t="s">
        <v>295</v>
      </c>
    </row>
    <row r="88" spans="1:34" ht="15" thickBot="1">
      <c r="A88" s="6">
        <f t="shared" si="1"/>
        <v>86</v>
      </c>
      <c r="B88" s="6" t="s">
        <v>23</v>
      </c>
      <c r="C88" s="6" t="s">
        <v>491</v>
      </c>
      <c r="D88" s="6" t="s">
        <v>295</v>
      </c>
      <c r="E88" s="27">
        <f>HLOOKUP(Output!$F$6,'Raw Data'!$T$2:$BO$88,(A88+1),)</f>
        <v>0</v>
      </c>
      <c r="F88" s="28">
        <f>IF(D88=Output!$B$6,1,0)</f>
        <v>0</v>
      </c>
      <c r="G88" s="28">
        <f>IF(K88&lt;=Output!$C$6,(200-'Raw Data'!K88),0)</f>
        <v>180.01</v>
      </c>
      <c r="H88" s="28">
        <v>4</v>
      </c>
      <c r="I88" s="29">
        <f>SUMPRODUCT(F88:H88,Output!$B$7:$D$7)*E88</f>
        <v>0</v>
      </c>
      <c r="J88" s="30">
        <v>0</v>
      </c>
      <c r="K88" s="20">
        <v>19.989999999999998</v>
      </c>
      <c r="L88" s="6" t="s">
        <v>296</v>
      </c>
      <c r="M88" s="6" t="s">
        <v>492</v>
      </c>
      <c r="N88" s="6" t="s">
        <v>493</v>
      </c>
      <c r="O88" s="6" t="s">
        <v>297</v>
      </c>
      <c r="P88" s="26">
        <v>0.19</v>
      </c>
      <c r="Q88" s="6" t="s">
        <v>69</v>
      </c>
      <c r="R88" s="6" t="s">
        <v>616</v>
      </c>
      <c r="S88" s="6" t="s">
        <v>147</v>
      </c>
      <c r="T88" s="6">
        <f>VLOOKUP($C88,'Food Pairing Data'!$C$2:$S$188,5)</f>
        <v>0</v>
      </c>
      <c r="U88" s="6">
        <f>VLOOKUP($C88,'Food Pairing Data'!$C$2:$S$188,6)</f>
        <v>0</v>
      </c>
      <c r="V88" s="6">
        <f>VLOOKUP($C88,'Food Pairing Data'!$C$2:$S$188,7)</f>
        <v>1</v>
      </c>
      <c r="W88" s="6">
        <f>VLOOKUP($C88,'Food Pairing Data'!$C$2:$S$188,8)</f>
        <v>1</v>
      </c>
      <c r="X88" s="6">
        <f>VLOOKUP($C88,'Food Pairing Data'!$C$2:$S$188,9)</f>
        <v>0</v>
      </c>
      <c r="Y88" s="6">
        <f>VLOOKUP($C88,'Food Pairing Data'!$C$2:$S$188,10)</f>
        <v>0</v>
      </c>
      <c r="Z88" s="6">
        <f>VLOOKUP($C88,'Food Pairing Data'!$C$2:$S$188,11)</f>
        <v>0</v>
      </c>
      <c r="AA88" s="6">
        <f>VLOOKUP($C88,'Food Pairing Data'!$C$2:$S$188,12)</f>
        <v>0</v>
      </c>
      <c r="AB88" s="6">
        <f>VLOOKUP($C88,'Food Pairing Data'!$C$2:$S$188,13)</f>
        <v>0</v>
      </c>
      <c r="AC88" s="6">
        <f>VLOOKUP($C88,'Food Pairing Data'!$C$2:$S$188,14)</f>
        <v>0</v>
      </c>
      <c r="AD88" s="6">
        <f>VLOOKUP($C88,'Food Pairing Data'!$C$2:$S$188,15)</f>
        <v>0</v>
      </c>
      <c r="AE88" s="6">
        <f>VLOOKUP($C88,'Food Pairing Data'!$C$2:$S$188,16)</f>
        <v>0</v>
      </c>
      <c r="AF88" s="6">
        <f>VLOOKUP($C88,'Food Pairing Data'!$C$2:$S$188,17)</f>
        <v>0</v>
      </c>
      <c r="AG88" s="6" t="s">
        <v>491</v>
      </c>
      <c r="AH88" s="6" t="s">
        <v>295</v>
      </c>
    </row>
    <row r="89" spans="1:34">
      <c r="J89" s="31">
        <f>SUM(J3:J88)</f>
        <v>1</v>
      </c>
    </row>
    <row r="90" spans="1:34">
      <c r="J90" s="6" t="s">
        <v>302</v>
      </c>
    </row>
    <row r="91" spans="1:34" ht="14">
      <c r="E91" s="38" t="s">
        <v>713</v>
      </c>
      <c r="J91" s="31">
        <v>1</v>
      </c>
      <c r="K91" s="20"/>
    </row>
    <row r="92" spans="1:34">
      <c r="E92" s="38" t="s">
        <v>305</v>
      </c>
      <c r="F92" s="6" t="s">
        <v>44</v>
      </c>
      <c r="G92" s="6" t="s">
        <v>714</v>
      </c>
      <c r="H92" s="38" t="s">
        <v>715</v>
      </c>
    </row>
    <row r="93" spans="1:34">
      <c r="E93" s="6">
        <f>Output!B7</f>
        <v>0.2</v>
      </c>
      <c r="F93" s="6">
        <f>Output!C7</f>
        <v>0.6</v>
      </c>
      <c r="G93" s="6">
        <f>Output!D7</f>
        <v>0.2</v>
      </c>
      <c r="H93" s="6">
        <f>SUM(E93:G93)</f>
        <v>1</v>
      </c>
      <c r="I93" s="38" t="s">
        <v>302</v>
      </c>
      <c r="J93" s="6">
        <v>1</v>
      </c>
      <c r="K93" s="15"/>
    </row>
    <row r="95" spans="1:34" ht="14" thickBot="1">
      <c r="G95" s="6" t="s">
        <v>303</v>
      </c>
    </row>
    <row r="96" spans="1:34" ht="14" thickBot="1">
      <c r="G96" s="32">
        <f>SUMPRODUCT(I3:I88,J3:J88)</f>
        <v>115.806</v>
      </c>
    </row>
    <row r="98" spans="3:9" ht="14" thickBot="1">
      <c r="C98" s="6" t="s">
        <v>304</v>
      </c>
      <c r="D98" s="6" t="s">
        <v>305</v>
      </c>
      <c r="E98" s="6" t="s">
        <v>44</v>
      </c>
      <c r="F98" s="6" t="s">
        <v>45</v>
      </c>
      <c r="G98" s="6" t="s">
        <v>46</v>
      </c>
      <c r="H98" s="6" t="s">
        <v>47</v>
      </c>
      <c r="I98" s="38" t="s">
        <v>105</v>
      </c>
    </row>
    <row r="99" spans="3:9" ht="14" thickBot="1">
      <c r="C99" s="33" t="str">
        <f>VLOOKUP($G$96,$I$3:$AH$88,25)</f>
        <v>Blandy's Alvada Madeira 5 Year Old</v>
      </c>
      <c r="D99" s="34" t="str">
        <f>VLOOKUP($G$96,$I$3:$AH$88,26,)</f>
        <v>Red</v>
      </c>
      <c r="E99" s="34">
        <f>VLOOKUP($G$96,$I$3:$AH$88,3)</f>
        <v>19.989999999999998</v>
      </c>
      <c r="F99" s="34" t="str">
        <f>VLOOKUP($G$96,$I$3:$AH$88,4)</f>
        <v>Portugal</v>
      </c>
      <c r="G99" s="34" t="str">
        <f>VLOOKUP($G$96,$I$3:$AH$88,5)</f>
        <v xml:space="preserve">Madeira </v>
      </c>
      <c r="H99" s="34" t="str">
        <f>VLOOKUP($G$96,$I$3:$AH$88,6)</f>
        <v>Malmsey (50%), Bual (50%)</v>
      </c>
      <c r="I99" s="35" t="str">
        <f>VLOOKUP($G$96,$I$3:$AH$88,11)</f>
        <v>tomato pasta</v>
      </c>
    </row>
  </sheetData>
  <sheetCalcPr fullCalcOnLoad="1"/>
  <mergeCells count="3">
    <mergeCell ref="U1:AR1"/>
    <mergeCell ref="AS1:BF1"/>
    <mergeCell ref="BG1:BO1"/>
  </mergeCells>
  <phoneticPr fontId="4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Output (Salad)</vt:lpstr>
      <vt:lpstr>Raw Data (Salad)</vt:lpstr>
      <vt:lpstr>Output (Entree)</vt:lpstr>
      <vt:lpstr>Raw Data (Entree)</vt:lpstr>
      <vt:lpstr>Output (Dessert)</vt:lpstr>
      <vt:lpstr>Raw Data (Dessert)</vt:lpstr>
      <vt:lpstr>Output</vt:lpstr>
      <vt:lpstr>Raw Data</vt:lpstr>
      <vt:lpstr>Food Pairing Data</vt:lpstr>
    </vt:vector>
  </TitlesOfParts>
  <Company>NYU Stern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Rachael Linn Spooner</dc:creator>
  <cp:lastModifiedBy>Rachael Linn Spooner</cp:lastModifiedBy>
  <dcterms:created xsi:type="dcterms:W3CDTF">2011-12-04T20:11:33Z</dcterms:created>
  <dcterms:modified xsi:type="dcterms:W3CDTF">2011-12-05T15:38:06Z</dcterms:modified>
</cp:coreProperties>
</file>